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C:\Users\mikes.SAFMC\My SecuriSync\Tier 1\Office Share\Staff Folders\Mike S\"/>
    </mc:Choice>
  </mc:AlternateContent>
  <xr:revisionPtr revIDLastSave="0" documentId="13_ncr:1_{F903D7BA-EFAE-480C-A02F-744DB8D71310}" xr6:coauthVersionLast="47" xr6:coauthVersionMax="47" xr10:uidLastSave="{00000000-0000-0000-0000-000000000000}"/>
  <bookViews>
    <workbookView xWindow="-28920" yWindow="-3465" windowWidth="29040" windowHeight="15720" tabRatio="596" activeTab="2" xr2:uid="{00000000-000D-0000-FFFF-FFFF00000000}"/>
  </bookViews>
  <sheets>
    <sheet name="Read Me" sheetId="13" r:id="rId1"/>
    <sheet name="All Species Scores" sheetId="17" r:id="rId2"/>
    <sheet name="WorkingSheet" sheetId="22" r:id="rId3"/>
    <sheet name="All Risk Ratings" sheetId="21" r:id="rId4"/>
    <sheet name="ACL Landings" sheetId="23" r:id="rId5"/>
    <sheet name="Sheet1" sheetId="24" r:id="rId6"/>
  </sheets>
  <definedNames>
    <definedName name="_xlnm._FilterDatabase" localSheetId="3" hidden="1">'All Risk Ratings'!$B$2:$B$51</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6">#REF!</definedName>
    <definedName name="Data7">#REF!</definedName>
    <definedName name="Data8">#REF!</definedName>
    <definedName name="Data9">#REF!</definedName>
    <definedName name="Pdata1">#REF!</definedName>
    <definedName name="Pdata10">#REF!</definedName>
    <definedName name="Pdata11">#REF!</definedName>
    <definedName name="Pdata12">#REF!</definedName>
    <definedName name="Pdata13">#REF!</definedName>
    <definedName name="Pdata14">#REF!</definedName>
    <definedName name="Pdata15">#REF!</definedName>
    <definedName name="Pdata16">#REF!</definedName>
    <definedName name="Pdata17">#REF!</definedName>
    <definedName name="Pdata18">#REF!</definedName>
    <definedName name="Pdata19">#REF!</definedName>
    <definedName name="Pdata2">#REF!</definedName>
    <definedName name="Pdata20">#REF!</definedName>
    <definedName name="Pdata21">#REF!</definedName>
    <definedName name="Pdata22">#REF!</definedName>
    <definedName name="Pdata23">#REF!</definedName>
    <definedName name="Pdata24">#REF!</definedName>
    <definedName name="Pdata25">#REF!</definedName>
    <definedName name="Pdata26">#REF!</definedName>
    <definedName name="Pdata27">#REF!</definedName>
    <definedName name="Pdata28">#REF!</definedName>
    <definedName name="Pdata29">#REF!</definedName>
    <definedName name="Pdata3">#REF!</definedName>
    <definedName name="Pdata30">#REF!</definedName>
    <definedName name="Pdata31">#REF!</definedName>
    <definedName name="Pdata32">#REF!</definedName>
    <definedName name="Pdata33">#REF!</definedName>
    <definedName name="Pdata34">#REF!</definedName>
    <definedName name="Pdata35">#REF!</definedName>
    <definedName name="Pdata36">#REF!</definedName>
    <definedName name="Pdata37">#REF!</definedName>
    <definedName name="Pdata38">#REF!</definedName>
    <definedName name="Pdata39">#REF!</definedName>
    <definedName name="Pdata4">#REF!</definedName>
    <definedName name="Pdata40">#REF!</definedName>
    <definedName name="Pdata41">#REF!</definedName>
    <definedName name="Pdata42">#REF!</definedName>
    <definedName name="Pdata43">#REF!</definedName>
    <definedName name="Pdata44">#REF!</definedName>
    <definedName name="Pdata45">#REF!</definedName>
    <definedName name="Pdata46">#REF!</definedName>
    <definedName name="Pdata47">#REF!</definedName>
    <definedName name="Pdata48">#REF!</definedName>
    <definedName name="Pdata49">#REF!</definedName>
    <definedName name="Pdata5">#REF!</definedName>
    <definedName name="Pdata50">#REF!</definedName>
    <definedName name="Pdata6">#REF!</definedName>
    <definedName name="Pdata7">#REF!</definedName>
    <definedName name="Pdata8">#REF!</definedName>
    <definedName name="Pdata9">#REF!</definedName>
    <definedName name="Productivity1">#REF!</definedName>
    <definedName name="Productivity10">#REF!</definedName>
    <definedName name="Productivity11">#REF!</definedName>
    <definedName name="Productivity12">#REF!</definedName>
    <definedName name="Productivity13">#REF!</definedName>
    <definedName name="Productivity14">#REF!</definedName>
    <definedName name="Productivity15">#REF!</definedName>
    <definedName name="Productivity16">#REF!</definedName>
    <definedName name="Productivity17">#REF!</definedName>
    <definedName name="Productivity18">#REF!</definedName>
    <definedName name="Productivity19">#REF!</definedName>
    <definedName name="Productivity2">#REF!</definedName>
    <definedName name="Productivity20">#REF!</definedName>
    <definedName name="Productivity21">#REF!</definedName>
    <definedName name="Productivity22">#REF!</definedName>
    <definedName name="Productivity23">#REF!</definedName>
    <definedName name="Productivity24">#REF!</definedName>
    <definedName name="productivity25">#REF!</definedName>
    <definedName name="productivity26">#REF!</definedName>
    <definedName name="Productivity27">#REF!</definedName>
    <definedName name="Productivity28">#REF!</definedName>
    <definedName name="Productivity29">#REF!</definedName>
    <definedName name="Productivity3">#REF!</definedName>
    <definedName name="Productivity30">#REF!</definedName>
    <definedName name="Productivity31">#REF!</definedName>
    <definedName name="Productivity32">#REF!</definedName>
    <definedName name="Productivity33">#REF!</definedName>
    <definedName name="Productivity34">#REF!</definedName>
    <definedName name="Productivity35">#REF!</definedName>
    <definedName name="Productivity36">#REF!</definedName>
    <definedName name="Productivity37">#REF!</definedName>
    <definedName name="Productivity38">#REF!</definedName>
    <definedName name="Productivity39">#REF!</definedName>
    <definedName name="Productivity4">#REF!</definedName>
    <definedName name="Productivity40">#REF!</definedName>
    <definedName name="Productivity41">#REF!</definedName>
    <definedName name="Productivity42">#REF!</definedName>
    <definedName name="Productivity43">#REF!</definedName>
    <definedName name="Productivity44">#REF!</definedName>
    <definedName name="Productivity45">#REF!</definedName>
    <definedName name="Productivity46">#REF!</definedName>
    <definedName name="Productivity47">#REF!</definedName>
    <definedName name="Productivity48">#REF!</definedName>
    <definedName name="productivity49">#REF!</definedName>
    <definedName name="Productivity5">#REF!</definedName>
    <definedName name="Productivity50">#REF!</definedName>
    <definedName name="Productivity6">#REF!</definedName>
    <definedName name="Productivity7">#REF!</definedName>
    <definedName name="Productivity8">#REF!</definedName>
    <definedName name="Productivity9">#REF!</definedName>
    <definedName name="Productivty47">#REF!</definedName>
    <definedName name="Sdata1">#REF!</definedName>
    <definedName name="Sdata10">#REF!</definedName>
    <definedName name="Sdata11">#REF!</definedName>
    <definedName name="Sdata12">#REF!</definedName>
    <definedName name="Sdata13">#REF!</definedName>
    <definedName name="Sdata14">#REF!</definedName>
    <definedName name="Sdata15">#REF!</definedName>
    <definedName name="Sdata16">#REF!</definedName>
    <definedName name="Sdata17">#REF!</definedName>
    <definedName name="Sdata18">#REF!</definedName>
    <definedName name="Sdata19">#REF!</definedName>
    <definedName name="Sdata2">#REF!</definedName>
    <definedName name="Sdata20">#REF!</definedName>
    <definedName name="Sdata21">#REF!</definedName>
    <definedName name="Sdata22">#REF!</definedName>
    <definedName name="Sdata23">#REF!</definedName>
    <definedName name="Sdata24">#REF!</definedName>
    <definedName name="Sdata25">#REF!</definedName>
    <definedName name="Sdata26">#REF!</definedName>
    <definedName name="Sdata27">#REF!</definedName>
    <definedName name="Sdata28">#REF!</definedName>
    <definedName name="Sdata29">#REF!</definedName>
    <definedName name="Sdata3">#REF!</definedName>
    <definedName name="Sdata30">#REF!</definedName>
    <definedName name="Sdata31">#REF!</definedName>
    <definedName name="Sdata32">#REF!</definedName>
    <definedName name="Sdata33">#REF!</definedName>
    <definedName name="Sdata34">#REF!</definedName>
    <definedName name="Sdata35">#REF!</definedName>
    <definedName name="Sdata36">#REF!</definedName>
    <definedName name="Sdata37">#REF!</definedName>
    <definedName name="Sdata38">#REF!</definedName>
    <definedName name="Sdata39">#REF!</definedName>
    <definedName name="Sdata4">#REF!</definedName>
    <definedName name="Sdata40">#REF!</definedName>
    <definedName name="Sdata41">#REF!</definedName>
    <definedName name="Sdata42">#REF!</definedName>
    <definedName name="Sdata43">#REF!</definedName>
    <definedName name="Sdata44">#REF!</definedName>
    <definedName name="Sdata45">#REF!</definedName>
    <definedName name="Sdata46">#REF!</definedName>
    <definedName name="Sdata47">#REF!</definedName>
    <definedName name="Sdata48">#REF!</definedName>
    <definedName name="Sdata49">#REF!</definedName>
    <definedName name="Sdata5">#REF!</definedName>
    <definedName name="Sdata50">#REF!</definedName>
    <definedName name="Sdata6">#REF!</definedName>
    <definedName name="Sdata7">#REF!</definedName>
    <definedName name="Sdata8">#REF!</definedName>
    <definedName name="Sdata9">#REF!</definedName>
    <definedName name="solver_eng" localSheetId="1" hidden="1">1</definedName>
    <definedName name="solver_neg" localSheetId="1" hidden="1">1</definedName>
    <definedName name="solver_num" localSheetId="1" hidden="1">0</definedName>
    <definedName name="solver_opt" localSheetId="1" hidden="1">'All Species Scores'!$S$4</definedName>
    <definedName name="solver_typ" localSheetId="1" hidden="1">1</definedName>
    <definedName name="solver_val" localSheetId="1" hidden="1">0</definedName>
    <definedName name="solver_ver" localSheetId="1" hidden="1">3</definedName>
    <definedName name="Suceptibility4">#REF!</definedName>
    <definedName name="Susceptibility1">#REF!</definedName>
    <definedName name="Susceptibility10">#REF!</definedName>
    <definedName name="Susceptibility11">#REF!</definedName>
    <definedName name="Susceptibility12">#REF!</definedName>
    <definedName name="Susceptibility13">#REF!</definedName>
    <definedName name="Susceptibility14">#REF!</definedName>
    <definedName name="Susceptibility15">#REF!</definedName>
    <definedName name="Susceptibility16">#REF!</definedName>
    <definedName name="Susceptibility17">#REF!</definedName>
    <definedName name="Susceptibility18">#REF!</definedName>
    <definedName name="Susceptibility19">#REF!</definedName>
    <definedName name="Susceptibility2">#REF!</definedName>
    <definedName name="Susceptibility20">#REF!</definedName>
    <definedName name="Susceptibility21">#REF!</definedName>
    <definedName name="Susceptibility22">#REF!</definedName>
    <definedName name="Susceptibility23">#REF!</definedName>
    <definedName name="Susceptibility24">#REF!</definedName>
    <definedName name="Susceptibility25">#REF!</definedName>
    <definedName name="susceptibility26">#REF!</definedName>
    <definedName name="Susceptibility27">#REF!</definedName>
    <definedName name="Susceptibility28">#REF!</definedName>
    <definedName name="Susceptibility29">#REF!</definedName>
    <definedName name="Susceptibility3">#REF!</definedName>
    <definedName name="Susceptibility30">#REF!</definedName>
    <definedName name="Susceptibility31">#REF!</definedName>
    <definedName name="Susceptibility32">#REF!</definedName>
    <definedName name="Susceptibility33">#REF!</definedName>
    <definedName name="Susceptibility34">#REF!</definedName>
    <definedName name="Susceptibility35">#REF!</definedName>
    <definedName name="Susceptibility36">#REF!</definedName>
    <definedName name="Susceptibility37">#REF!</definedName>
    <definedName name="Susceptibility38">#REF!</definedName>
    <definedName name="Susceptibility39">#REF!</definedName>
    <definedName name="Susceptibility4">#REF!</definedName>
    <definedName name="Susceptibility40">#REF!</definedName>
    <definedName name="Susceptibility41">#REF!</definedName>
    <definedName name="Susceptibility42">#REF!</definedName>
    <definedName name="Susceptibility43">#REF!</definedName>
    <definedName name="Susceptibility44">#REF!</definedName>
    <definedName name="Susceptibility45">#REF!</definedName>
    <definedName name="Susceptibility46">#REF!</definedName>
    <definedName name="Susceptibility47">#REF!</definedName>
    <definedName name="Susceptibility48">#REF!</definedName>
    <definedName name="Susceptibility49">#REF!</definedName>
    <definedName name="Susceptibility5">#REF!</definedName>
    <definedName name="Susceptibility50">#REF!</definedName>
    <definedName name="Susceptibility6">#REF!</definedName>
    <definedName name="Susceptibility7">#REF!</definedName>
    <definedName name="Susceptibility8">#REF!</definedName>
    <definedName name="Susceptibility9">#REF!</definedName>
    <definedName name="Susceptiblity37">#REF!</definedName>
    <definedName name="Susceptiblity38">#REF!</definedName>
    <definedName name="Vulnerability1">#REF!</definedName>
    <definedName name="Vulnerability10">#REF!</definedName>
    <definedName name="Vulnerability11">#REF!</definedName>
    <definedName name="Vulnerability12">#REF!</definedName>
    <definedName name="Vulnerability13">#REF!</definedName>
    <definedName name="Vulnerability14">#REF!</definedName>
    <definedName name="Vulnerability15">#REF!</definedName>
    <definedName name="Vulnerability16">#REF!</definedName>
    <definedName name="Vulnerability17">#REF!</definedName>
    <definedName name="Vulnerability18">#REF!</definedName>
    <definedName name="Vulnerability19">#REF!</definedName>
    <definedName name="Vulnerability2">#REF!</definedName>
    <definedName name="Vulnerability20">#REF!</definedName>
    <definedName name="Vulnerability21">#REF!</definedName>
    <definedName name="Vulnerability22">#REF!</definedName>
    <definedName name="Vulnerability23">#REF!</definedName>
    <definedName name="Vulnerability24">#REF!</definedName>
    <definedName name="Vulnerability25">#REF!</definedName>
    <definedName name="Vulnerability26">#REF!</definedName>
    <definedName name="Vulnerability27">#REF!</definedName>
    <definedName name="Vulnerability28">#REF!</definedName>
    <definedName name="Vulnerability29">#REF!</definedName>
    <definedName name="Vulnerability3">#REF!</definedName>
    <definedName name="Vulnerability30">#REF!</definedName>
    <definedName name="Vulnerability31">#REF!</definedName>
    <definedName name="Vulnerability32">#REF!</definedName>
    <definedName name="Vulnerability33">#REF!</definedName>
    <definedName name="Vulnerability34">#REF!</definedName>
    <definedName name="Vulnerability35">#REF!</definedName>
    <definedName name="Vulnerability36">#REF!</definedName>
    <definedName name="Vulnerability37">#REF!</definedName>
    <definedName name="Vulnerability38">#REF!</definedName>
    <definedName name="Vulnerability39">#REF!</definedName>
    <definedName name="Vulnerability4">#REF!</definedName>
    <definedName name="Vulnerability40">#REF!</definedName>
    <definedName name="Vulnerability41">#REF!</definedName>
    <definedName name="Vulnerability42">#REF!</definedName>
    <definedName name="Vulnerability43">#REF!</definedName>
    <definedName name="Vulnerability44">#REF!</definedName>
    <definedName name="Vulnerability45">#REF!</definedName>
    <definedName name="Vulnerability46">#REF!</definedName>
    <definedName name="Vulnerability47">#REF!</definedName>
    <definedName name="Vulnerability48">#REF!</definedName>
    <definedName name="Vulnerability49">#REF!</definedName>
    <definedName name="Vulnerability5">#REF!</definedName>
    <definedName name="Vulnerability50">#REF!</definedName>
    <definedName name="Vulnerability6">#REF!</definedName>
    <definedName name="Vulnerability7">#REF!</definedName>
    <definedName name="Vulnerability8">#REF!</definedName>
    <definedName name="Vulnerability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21" i="22" l="1"/>
  <c r="AA15" i="22"/>
  <c r="W21" i="22"/>
  <c r="W15" i="22"/>
  <c r="S21" i="22"/>
  <c r="S15" i="22"/>
  <c r="O21" i="22"/>
  <c r="O15" i="22"/>
  <c r="K21" i="22"/>
  <c r="K15" i="22"/>
  <c r="E6" i="24"/>
  <c r="E5" i="24"/>
  <c r="E4" i="24"/>
  <c r="E3" i="24"/>
  <c r="E2" i="24"/>
  <c r="D6" i="24"/>
  <c r="D5" i="24"/>
  <c r="D4" i="24"/>
  <c r="D3" i="24"/>
  <c r="D2" i="24"/>
  <c r="B6" i="24"/>
  <c r="B5" i="24"/>
  <c r="B4" i="24"/>
  <c r="B3" i="24"/>
  <c r="B2" i="24"/>
  <c r="H17" i="23" l="1"/>
  <c r="J17" i="23" s="1"/>
  <c r="I17" i="23"/>
  <c r="H18" i="23"/>
  <c r="I18" i="23"/>
  <c r="H19" i="23"/>
  <c r="J19" i="23" s="1"/>
  <c r="I19" i="23"/>
  <c r="H20" i="23"/>
  <c r="I20" i="23"/>
  <c r="J20" i="23" s="1"/>
  <c r="I16" i="23"/>
  <c r="H16" i="23"/>
  <c r="I12" i="23"/>
  <c r="J12" i="23" s="1"/>
  <c r="I13" i="23"/>
  <c r="B9" i="23"/>
  <c r="C13" i="23"/>
  <c r="C12" i="23"/>
  <c r="C11" i="23"/>
  <c r="I11" i="23" s="1"/>
  <c r="C10" i="23"/>
  <c r="I10" i="23" s="1"/>
  <c r="J10" i="23" s="1"/>
  <c r="C9" i="23"/>
  <c r="B13" i="23"/>
  <c r="B12" i="23"/>
  <c r="B11" i="23"/>
  <c r="B10" i="23"/>
  <c r="I9" i="23"/>
  <c r="J13" i="23"/>
  <c r="G20" i="23"/>
  <c r="D20" i="23"/>
  <c r="O19" i="23"/>
  <c r="G19" i="23"/>
  <c r="D19" i="23"/>
  <c r="O18" i="23"/>
  <c r="J18" i="23"/>
  <c r="G18" i="23"/>
  <c r="D18" i="23"/>
  <c r="O17" i="23"/>
  <c r="G17" i="23"/>
  <c r="D17" i="23"/>
  <c r="G16" i="23"/>
  <c r="D16" i="23"/>
  <c r="G13" i="23"/>
  <c r="G12" i="23"/>
  <c r="G11" i="23"/>
  <c r="G10" i="23"/>
  <c r="G9" i="23"/>
  <c r="O4" i="23"/>
  <c r="O5" i="23"/>
  <c r="O3" i="23"/>
  <c r="I3" i="23"/>
  <c r="J3" i="23" s="1"/>
  <c r="I4" i="23"/>
  <c r="J4" i="23" s="1"/>
  <c r="I5" i="23"/>
  <c r="I6" i="23"/>
  <c r="J6" i="23" s="1"/>
  <c r="I2" i="23"/>
  <c r="G6" i="23"/>
  <c r="G5" i="23"/>
  <c r="G4" i="23"/>
  <c r="G3" i="23"/>
  <c r="G2" i="23"/>
  <c r="D6" i="23"/>
  <c r="D5" i="23"/>
  <c r="D4" i="23"/>
  <c r="D3" i="23"/>
  <c r="D2" i="23"/>
  <c r="J16" i="23" l="1"/>
  <c r="J9" i="23"/>
  <c r="D13" i="23"/>
  <c r="D12" i="23"/>
  <c r="D11" i="23"/>
  <c r="J11" i="23"/>
  <c r="D10" i="23"/>
  <c r="D9" i="23"/>
  <c r="J5" i="23"/>
  <c r="J2" i="23"/>
  <c r="R19" i="22" l="1"/>
  <c r="R18" i="22"/>
  <c r="R17" i="22"/>
  <c r="R12" i="22"/>
  <c r="R10" i="22"/>
  <c r="R9" i="22"/>
  <c r="R8" i="22"/>
  <c r="S6" i="22"/>
  <c r="R3" i="22"/>
  <c r="N19" i="22"/>
  <c r="N18" i="22"/>
  <c r="N17" i="22"/>
  <c r="N12" i="22"/>
  <c r="N10" i="22"/>
  <c r="N9" i="22"/>
  <c r="N8" i="22"/>
  <c r="O6" i="22"/>
  <c r="N4" i="22"/>
  <c r="N3" i="22"/>
  <c r="Z19" i="22"/>
  <c r="Z18" i="22"/>
  <c r="Z17" i="22"/>
  <c r="Z12" i="22"/>
  <c r="Z10" i="22"/>
  <c r="Z9" i="22"/>
  <c r="Z8" i="22"/>
  <c r="AA6" i="22"/>
  <c r="Z4" i="22"/>
  <c r="Z3" i="22"/>
  <c r="V19" i="22"/>
  <c r="V18" i="22"/>
  <c r="V17" i="22"/>
  <c r="V12" i="22"/>
  <c r="V8" i="22"/>
  <c r="V4" i="22"/>
  <c r="V3" i="22"/>
  <c r="F19" i="22"/>
  <c r="F18" i="22"/>
  <c r="F17" i="22"/>
  <c r="F13" i="22"/>
  <c r="F9" i="22"/>
  <c r="F4" i="22"/>
  <c r="F3" i="22"/>
  <c r="J19" i="22"/>
  <c r="J18" i="22"/>
  <c r="J17" i="22"/>
  <c r="J9" i="22"/>
  <c r="J8" i="22"/>
  <c r="J4" i="22"/>
  <c r="J3" i="22"/>
  <c r="W6" i="22"/>
  <c r="K6" i="22"/>
  <c r="G21" i="22"/>
  <c r="G15" i="22"/>
  <c r="G6" i="22"/>
  <c r="V21" i="22" l="1"/>
  <c r="R21" i="22"/>
  <c r="V6" i="22"/>
  <c r="J6" i="22"/>
  <c r="F6" i="22"/>
  <c r="V15" i="22"/>
  <c r="Z6" i="22"/>
  <c r="N6" i="22"/>
  <c r="R6" i="22"/>
  <c r="F21" i="22"/>
  <c r="Z21" i="22"/>
  <c r="N21" i="22"/>
  <c r="R15" i="22"/>
  <c r="F15" i="22"/>
  <c r="AA22" i="22"/>
  <c r="AA23" i="22" s="1"/>
  <c r="O22" i="22"/>
  <c r="O23" i="22" s="1"/>
  <c r="S22" i="22"/>
  <c r="S23" i="22" s="1"/>
  <c r="J21" i="22"/>
  <c r="Z15" i="22"/>
  <c r="N15" i="22"/>
  <c r="J15" i="22"/>
  <c r="W22" i="22"/>
  <c r="W23" i="22" s="1"/>
  <c r="K22" i="22"/>
  <c r="K23" i="22" s="1"/>
  <c r="G22" i="22"/>
  <c r="G23" i="22" s="1"/>
  <c r="W3" i="17"/>
  <c r="W5" i="17"/>
  <c r="W4" i="17"/>
  <c r="T5" i="17"/>
  <c r="T6" i="17"/>
  <c r="T7" i="17"/>
  <c r="T8" i="17"/>
  <c r="T9" i="17"/>
  <c r="T10" i="17"/>
  <c r="T11" i="17"/>
  <c r="T12" i="17"/>
  <c r="T13" i="17"/>
  <c r="T14" i="17"/>
  <c r="T15" i="17"/>
  <c r="T16" i="17"/>
  <c r="T17" i="17"/>
  <c r="T18" i="17"/>
  <c r="T19" i="17"/>
  <c r="T20" i="17"/>
  <c r="T21" i="17"/>
  <c r="T22" i="17"/>
  <c r="T23" i="17"/>
  <c r="T24" i="17"/>
  <c r="T25" i="17"/>
  <c r="T26" i="17"/>
  <c r="T27" i="17"/>
  <c r="T28" i="17"/>
  <c r="T29" i="17"/>
  <c r="T30" i="17"/>
  <c r="T31" i="17"/>
  <c r="T32" i="17"/>
  <c r="T33" i="17"/>
  <c r="T34" i="17"/>
  <c r="T35" i="17"/>
  <c r="T36" i="17"/>
  <c r="T37" i="17"/>
  <c r="T38" i="17"/>
  <c r="T39" i="17"/>
  <c r="T40" i="17"/>
  <c r="T41" i="17"/>
  <c r="T42" i="17"/>
  <c r="T43" i="17"/>
  <c r="T44" i="17"/>
  <c r="T45" i="17"/>
  <c r="T46" i="17"/>
  <c r="T47" i="17"/>
  <c r="T48" i="17"/>
  <c r="T49" i="17"/>
  <c r="T50" i="17"/>
  <c r="T51" i="17"/>
  <c r="T52" i="17"/>
  <c r="T4" i="17"/>
  <c r="X11" i="17"/>
  <c r="X10" i="17"/>
  <c r="V22" i="22" l="1"/>
  <c r="V23" i="22" s="1"/>
  <c r="F22" i="22"/>
  <c r="F23" i="22" s="1"/>
  <c r="J22" i="22"/>
  <c r="J23" i="22" s="1"/>
  <c r="R22" i="22"/>
  <c r="R23" i="22" s="1"/>
  <c r="Z22" i="22"/>
  <c r="Z23" i="22" s="1"/>
  <c r="N22" i="22"/>
  <c r="N23" i="22" s="1"/>
  <c r="R6" i="17"/>
  <c r="R7" i="17"/>
  <c r="R8" i="17"/>
  <c r="R9" i="17"/>
  <c r="R10" i="17"/>
  <c r="R11" i="17"/>
  <c r="R12" i="17"/>
  <c r="R13" i="17"/>
  <c r="R14" i="17"/>
  <c r="R15" i="17"/>
  <c r="R16" i="17"/>
  <c r="R17" i="17"/>
  <c r="R18" i="17"/>
  <c r="R19" i="17"/>
  <c r="R20" i="17"/>
  <c r="R21" i="17"/>
  <c r="R22" i="17"/>
  <c r="R23" i="17"/>
  <c r="R24" i="17"/>
  <c r="R25" i="17"/>
  <c r="R26" i="17"/>
  <c r="R27" i="17"/>
  <c r="R28" i="17"/>
  <c r="R29" i="17"/>
  <c r="R30" i="17"/>
  <c r="R31" i="17"/>
  <c r="R32" i="17"/>
  <c r="R33" i="17"/>
  <c r="R34" i="17"/>
  <c r="R35" i="17"/>
  <c r="R36" i="17"/>
  <c r="R37" i="17"/>
  <c r="R38" i="17"/>
  <c r="R39" i="17"/>
  <c r="R40" i="17"/>
  <c r="R41" i="17"/>
  <c r="R42" i="17"/>
  <c r="R43" i="17"/>
  <c r="R44" i="17"/>
  <c r="R45" i="17"/>
  <c r="R46" i="17"/>
  <c r="R47" i="17"/>
  <c r="R48" i="17"/>
  <c r="R49" i="17"/>
  <c r="R50" i="17"/>
  <c r="R51" i="17"/>
  <c r="R52" i="17"/>
  <c r="R5" i="17"/>
  <c r="R4" i="17"/>
  <c r="D5" i="21"/>
  <c r="D4" i="21"/>
  <c r="D3" i="21"/>
  <c r="M52" i="17" l="1"/>
  <c r="M51" i="17"/>
  <c r="M50" i="17"/>
  <c r="M49" i="17"/>
  <c r="M48" i="17"/>
  <c r="M47" i="17"/>
  <c r="M46" i="17"/>
  <c r="M45" i="17"/>
  <c r="M44" i="17"/>
  <c r="M43" i="17"/>
  <c r="M42" i="17"/>
  <c r="M41" i="17"/>
  <c r="M40" i="17"/>
  <c r="M39" i="17"/>
  <c r="M38" i="17"/>
  <c r="M37" i="17"/>
  <c r="M36" i="17"/>
  <c r="M35" i="17"/>
  <c r="M34" i="17"/>
  <c r="M33" i="17"/>
  <c r="M32" i="17"/>
  <c r="M31" i="17"/>
  <c r="M30" i="17"/>
  <c r="M29" i="17"/>
  <c r="M28" i="17"/>
  <c r="M27" i="17"/>
  <c r="M26" i="17"/>
  <c r="M25" i="17"/>
  <c r="M24" i="17"/>
  <c r="M23" i="17"/>
  <c r="M22" i="17"/>
  <c r="M21" i="17"/>
  <c r="M20" i="17"/>
  <c r="M19" i="17"/>
  <c r="M18" i="17"/>
  <c r="M17" i="17"/>
  <c r="M16" i="17"/>
  <c r="M15" i="17"/>
  <c r="M14" i="17"/>
  <c r="M13" i="17"/>
  <c r="M12" i="17"/>
  <c r="M11" i="17"/>
  <c r="M10" i="17"/>
  <c r="M9" i="17"/>
  <c r="M8" i="17"/>
  <c r="M7" i="17"/>
  <c r="M6" i="17"/>
  <c r="M5" i="17"/>
  <c r="M4" i="17"/>
  <c r="F4"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F7" i="17"/>
  <c r="F6" i="17"/>
  <c r="F5" i="17"/>
  <c r="S4" i="17" l="1"/>
  <c r="B3" i="21" l="1"/>
  <c r="S7" i="17"/>
  <c r="S15" i="17"/>
  <c r="S23" i="17"/>
  <c r="S31" i="17"/>
  <c r="S39" i="17"/>
  <c r="S47" i="17"/>
  <c r="S11" i="17"/>
  <c r="S19" i="17"/>
  <c r="S27" i="17"/>
  <c r="S35" i="17"/>
  <c r="S43" i="17"/>
  <c r="S51" i="17"/>
  <c r="S6" i="17"/>
  <c r="S46" i="17"/>
  <c r="S17" i="17"/>
  <c r="S25" i="17"/>
  <c r="S33" i="17"/>
  <c r="S41" i="17"/>
  <c r="S49" i="17"/>
  <c r="S22" i="17"/>
  <c r="S30" i="17"/>
  <c r="S38" i="17"/>
  <c r="S9" i="17"/>
  <c r="S12" i="17"/>
  <c r="S20" i="17"/>
  <c r="S28" i="17"/>
  <c r="S36" i="17"/>
  <c r="S44" i="17"/>
  <c r="S52" i="17"/>
  <c r="S10" i="17"/>
  <c r="S18" i="17"/>
  <c r="S26" i="17"/>
  <c r="S34" i="17"/>
  <c r="S42" i="17"/>
  <c r="S50" i="17"/>
  <c r="S14" i="17"/>
  <c r="S5" i="17"/>
  <c r="S13" i="17"/>
  <c r="S29" i="17"/>
  <c r="S37" i="17"/>
  <c r="S45" i="17"/>
  <c r="S21" i="17"/>
  <c r="S8" i="17"/>
  <c r="S16" i="17"/>
  <c r="S24" i="17"/>
  <c r="S32" i="17"/>
  <c r="S40" i="17"/>
  <c r="S48" i="17"/>
  <c r="B41" i="21" l="1"/>
  <c r="B40" i="21"/>
  <c r="B14" i="21"/>
  <c r="B44" i="21"/>
  <c r="B19" i="21"/>
  <c r="B26" i="21"/>
  <c r="B47" i="21"/>
  <c r="B36" i="21"/>
  <c r="B25" i="21"/>
  <c r="B11" i="21"/>
  <c r="B24" i="21"/>
  <c r="B18" i="21"/>
  <c r="B39" i="21"/>
  <c r="B28" i="21"/>
  <c r="B17" i="21"/>
  <c r="B8" i="21"/>
  <c r="B16" i="21"/>
  <c r="B10" i="21"/>
  <c r="B20" i="21"/>
  <c r="B27" i="21"/>
  <c r="B34" i="21"/>
  <c r="B33" i="21"/>
  <c r="B32" i="21"/>
  <c r="B6" i="21"/>
  <c r="B31" i="21"/>
  <c r="B12" i="21"/>
  <c r="B9" i="21"/>
  <c r="B37" i="21"/>
  <c r="B45" i="21"/>
  <c r="B46" i="21"/>
  <c r="B23" i="21"/>
  <c r="B4" i="21"/>
  <c r="B51" i="21"/>
  <c r="B29" i="21"/>
  <c r="B5" i="21"/>
  <c r="B38" i="21"/>
  <c r="B15" i="21"/>
  <c r="B13" i="21"/>
  <c r="B43" i="21"/>
  <c r="B21" i="21"/>
  <c r="B50" i="21"/>
  <c r="B30" i="21"/>
  <c r="B7" i="21"/>
  <c r="B49" i="21"/>
  <c r="B35" i="21"/>
  <c r="B48" i="21"/>
  <c r="B42" i="21"/>
  <c r="B22" i="21"/>
  <c r="E4" i="21" l="1"/>
  <c r="E3" i="21"/>
  <c r="E5" i="21"/>
</calcChain>
</file>

<file path=xl/sharedStrings.xml><?xml version="1.0" encoding="utf-8"?>
<sst xmlns="http://schemas.openxmlformats.org/spreadsheetml/2006/main" count="404" uniqueCount="235">
  <si>
    <t>&gt;0.40</t>
  </si>
  <si>
    <t>&lt;0.20</t>
  </si>
  <si>
    <t>CONCERN</t>
  </si>
  <si>
    <t>Estimated natural mortality (M)</t>
  </si>
  <si>
    <t>0.20-0.40 (mid-point 0.30)</t>
  </si>
  <si>
    <t>Age at maturity</t>
  </si>
  <si>
    <t>&lt;2 yrs</t>
  </si>
  <si>
    <t>2-4 yrs (mid-point 3.0)</t>
  </si>
  <si>
    <t>&gt;4 yrs</t>
  </si>
  <si>
    <t>Species ID</t>
  </si>
  <si>
    <t>Common Name</t>
  </si>
  <si>
    <t>Low</t>
  </si>
  <si>
    <t>High</t>
  </si>
  <si>
    <t>Recreational desirability</t>
  </si>
  <si>
    <t>Atlantic Spadefish</t>
  </si>
  <si>
    <t>Bar Jack</t>
  </si>
  <si>
    <t>Black Grouper</t>
  </si>
  <si>
    <t>Black Sea Bass</t>
  </si>
  <si>
    <t>Blueline Tilefish</t>
  </si>
  <si>
    <t>Gag</t>
  </si>
  <si>
    <t>Golden Tilefish</t>
  </si>
  <si>
    <t>Gray Triggerfish</t>
  </si>
  <si>
    <t>Greater Amberjack</t>
  </si>
  <si>
    <t>FLK/EFL Hogfish</t>
  </si>
  <si>
    <t>GA-NC Hogfish</t>
  </si>
  <si>
    <t>Mutton Snapper</t>
  </si>
  <si>
    <t>Red Grouper</t>
  </si>
  <si>
    <t>Red Porgy</t>
  </si>
  <si>
    <t>Red Snapper</t>
  </si>
  <si>
    <t>Scamp</t>
  </si>
  <si>
    <t>Snowy Grouper</t>
  </si>
  <si>
    <t>Vermilion Snapper</t>
  </si>
  <si>
    <t>Wreckfish</t>
  </si>
  <si>
    <t>Yellowtail Snapper</t>
  </si>
  <si>
    <t>Blackfin Snapper</t>
  </si>
  <si>
    <t>Misty Grouper</t>
  </si>
  <si>
    <t>Queen Snapper</t>
  </si>
  <si>
    <t>Sand Tilefish</t>
  </si>
  <si>
    <t>Silk Snapper</t>
  </si>
  <si>
    <t>Yellowedge Grouper</t>
  </si>
  <si>
    <t>Almaco Jack</t>
  </si>
  <si>
    <t>Banded Rudderfish</t>
  </si>
  <si>
    <t>Lesser Amberjack</t>
  </si>
  <si>
    <t>Cubera Snapper</t>
  </si>
  <si>
    <t>Gray Snapper</t>
  </si>
  <si>
    <t>Lane Snapper</t>
  </si>
  <si>
    <t>Margate</t>
  </si>
  <si>
    <t>Sailors Choice</t>
  </si>
  <si>
    <t>Tomtate</t>
  </si>
  <si>
    <t>White Grunt</t>
  </si>
  <si>
    <t>Coney</t>
  </si>
  <si>
    <t>Graysby</t>
  </si>
  <si>
    <t>Red Hind</t>
  </si>
  <si>
    <t>Rock Hind</t>
  </si>
  <si>
    <t>Yellowfin Grouper</t>
  </si>
  <si>
    <t>Yellowmouth Grouper</t>
  </si>
  <si>
    <t>Jolthead Porgy</t>
  </si>
  <si>
    <t>Knobbed Porgy</t>
  </si>
  <si>
    <t>Saucereye Porgy</t>
  </si>
  <si>
    <t>Scup</t>
  </si>
  <si>
    <t>Whitebone Porgy</t>
  </si>
  <si>
    <t>Dolphin</t>
  </si>
  <si>
    <t>Wahoo</t>
  </si>
  <si>
    <t>Ability to regulate fishery</t>
  </si>
  <si>
    <t>Potential for discard losses</t>
  </si>
  <si>
    <t>Social concerns</t>
  </si>
  <si>
    <t>Climate change</t>
  </si>
  <si>
    <t>Ecosystem importance</t>
  </si>
  <si>
    <t>fishery consistently kept below Total ACL</t>
  </si>
  <si>
    <t>fishery consistently exceeds Total ACL (ex. 3+ out of 5 years) and/or exceeds Total ACL by more than 15%</t>
  </si>
  <si>
    <t>Dead discards very small component  of total catch (&lt;15%-20%)</t>
  </si>
  <si>
    <t>Dead discards are a significant proportion of the total catch (over 40%)</t>
  </si>
  <si>
    <t>Affected by climate change: ex. Range expansion or collapse, Interaction with new sp, change in habitat availability/suitability</t>
  </si>
  <si>
    <t>fishery mostly kept below Total  ACL (ex. Exceeds ACL 1-2 out of 5 years) and/or does not exceed ACL by more than 15%</t>
  </si>
  <si>
    <t>Biological Attributes</t>
  </si>
  <si>
    <t>Final Risk Score</t>
  </si>
  <si>
    <t>Final Biological Score</t>
  </si>
  <si>
    <t>Dead discards are a moderate proportion of the total catch (20%-40%)</t>
  </si>
  <si>
    <t>Human Dimension Attributes</t>
  </si>
  <si>
    <t>Final Human Dimension Score</t>
  </si>
  <si>
    <t>Annual Commercial value</t>
  </si>
  <si>
    <t>Est. Natural Mortality (M)</t>
  </si>
  <si>
    <t>Age at Maturity</t>
  </si>
  <si>
    <t>Bio Score</t>
  </si>
  <si>
    <t>Ability to Regulate Fishery</t>
  </si>
  <si>
    <t>Potential for Discard Losses</t>
  </si>
  <si>
    <t>Annual Commercial Value</t>
  </si>
  <si>
    <t>Recreational Desirability</t>
  </si>
  <si>
    <t>Social Concerns</t>
  </si>
  <si>
    <t>Ecosystem Importance</t>
  </si>
  <si>
    <t>Climate Change</t>
  </si>
  <si>
    <t>Human Dim Score</t>
  </si>
  <si>
    <t>Species</t>
  </si>
  <si>
    <t>&gt; 10% total annual revenue</t>
  </si>
  <si>
    <t>Environmental Attributes</t>
  </si>
  <si>
    <t>Env Score</t>
  </si>
  <si>
    <t>&lt; 1% trips report targeting this species</t>
  </si>
  <si>
    <t>Between 1% and 5% of trips report targeting this species</t>
  </si>
  <si>
    <t>&gt; 5% trips report targeting this species</t>
  </si>
  <si>
    <t>Final Environmental Score</t>
  </si>
  <si>
    <t>&lt; 1% total annual revenue</t>
  </si>
  <si>
    <t>Between 1% and 10% of total annual revenue</t>
  </si>
  <si>
    <t>&gt; 40% of total trip revenue, on average</t>
  </si>
  <si>
    <t>Between 10% and 40% of total trip revenue, on average</t>
  </si>
  <si>
    <t>&lt; 10% total trip revenue, on average</t>
  </si>
  <si>
    <t/>
  </si>
  <si>
    <t>High (1)</t>
  </si>
  <si>
    <t>Low (3)</t>
  </si>
  <si>
    <t>See accompanying documentation</t>
  </si>
  <si>
    <t>Risk of Overexploitation</t>
  </si>
  <si>
    <t>Each empty attribute counts as a half when averaged to calculate the final score for either the Biological or Human Impact categories.</t>
  </si>
  <si>
    <t>Env Wgt</t>
  </si>
  <si>
    <t>Human Dim Wgt</t>
  </si>
  <si>
    <t>Bio Wgt</t>
  </si>
  <si>
    <t>All Attribute Scores in Same Direction</t>
  </si>
  <si>
    <t>Penalty for UNK? Yes/No</t>
  </si>
  <si>
    <t>No</t>
  </si>
  <si>
    <t>Risk Score</t>
  </si>
  <si>
    <t>Include Attribute? 1=yes, 0=no</t>
  </si>
  <si>
    <t>Frequency</t>
  </si>
  <si>
    <t>Risk Score (Weighted Avg)</t>
  </si>
  <si>
    <t>Risk Category</t>
  </si>
  <si>
    <t>Other Env Variables</t>
  </si>
  <si>
    <t>Other Environmental Variables</t>
  </si>
  <si>
    <t>Regime shifts, environmentally driven recruitment collapse, etc.</t>
  </si>
  <si>
    <t>RISK Score</t>
  </si>
  <si>
    <t>Alternate Scoring</t>
  </si>
  <si>
    <t>Medium</t>
  </si>
  <si>
    <t>Medium (2)</t>
  </si>
  <si>
    <t>Risk Rating</t>
  </si>
  <si>
    <t>This score is either blank (meaning these attributes have no bearing on the Final Risk Score) or is a 1 if one or more attributes have been scored.</t>
  </si>
  <si>
    <t>Each attribute is scored either a 1 (High), a 2 (Medium), or a 3 (Low).  The category score is the average of all scored attributes.  If no attributes are scored, the category score is 2 (Medium).</t>
  </si>
  <si>
    <t>Higher M indicates a more productive stock and allows for more risk tolerance.</t>
  </si>
  <si>
    <t xml:space="preserve"> Higher age at maturity is associated with lower productivity and results in greater risk of overexploitation.</t>
  </si>
  <si>
    <t>If management is unable to control harvest and large overages occur on a regular basis, this presents a higher risk of overfishing occurring and the stock status declining. Therefore, the more effective regulations are at limiting harvest to the ACL, the more risk tolerant regulations can be. There are many factors to keep in mind, such as variability and trends in landings, state compatability and consistency with federal regs, if there are significant landings in state waters, and to apply a discount for regulatory overages due to changing the ACL mid-season (shouldn't get a poor score because an ACL was suddenly cut in half mid-way through the season).</t>
  </si>
  <si>
    <t>If a species is prone to discard losses, either from large amounts of discarding, a high discard M, or both, then being too risk tolerant when setting catch limits can more easily lead to overfishing. In these situations, the Council should be less risk tolerant when setting catch limits for the stock. In considering proportions of dead discard removals, this attribute accounts for both proportions of caught fish that are released and discard mortality.</t>
  </si>
  <si>
    <t>This attribute evaluates the importance (value) of a species to either the total annual revenue of all the species in the FMP or the relative importance of a species on trips that catch that species and considers the long-term implications of risk on that stock. Therefore, the higher the proportion of the value of the stock in question to the total annual value or total trip value, the less risk tolerant the Council should be when setting catch limits.</t>
  </si>
  <si>
    <t>This attribute also evaluates the importance of a species, but to the recreational fishery. This is determined by estimating the proportion of trips reported targeting this species within an FMP. The assumption is the higher the proportion of trips reported targeting a species, the more important the species is to the recreational fishery overall. This attribute also considers long-term implications of risk on the stock, meaning the more important it is to the fishery, the less risk tolerant the Council should be when setting catch limits. DW was compared to the total targeted trips of SG.</t>
  </si>
  <si>
    <t>This attribute examines concerns from a species related to communities in the South Atlantic. The categories are determined using the Social Quotient, which is calculated using data such as revenue, landings, and directed trips for a particular species in relation to all other species affecting communities in the South Atlantic. This attribute considers long-term costs and benefits over short-term effects. If a stock is of high social concern, then the Council should be less risk tolerant when setting catch limits. This is because if a biomass decline occurs for a stock with high social concern, it will have a stronger negative effect on fishing communities than stocks of less social concern.</t>
  </si>
  <si>
    <t>This attribute evaluates a species' importance to the ecosystem in the South Atlantic. The more important it is to the ecosystem, the less risk tolerant the Council should be when setting catch limits.</t>
  </si>
  <si>
    <t>This attribute evaluates effects on a stock due to climate change. These changes would likely affect stock productivity or the ability of the Council to successfully manage the stock.  Stocks that are more likely to be impacted by climate change should be managed with less risk tolerance.</t>
  </si>
  <si>
    <t>This attribute includes variables that aren't covered in either of the other two attributes, such as regime shifts, conditions unfavorable to recruitment, recruitment failuire due to some unknown environmental variable, etc.</t>
  </si>
  <si>
    <t>Description</t>
  </si>
  <si>
    <t>Average of category scores. If  Environmental Score is 0 (no scored attributes), that category is not included in the Final Risk Score.</t>
  </si>
  <si>
    <t>These 3 attributes are set up differently from all the rest in that they do not have 3 categories for scoring (Low, Medium, and High). Instead, these attributes function more like an on/off switch. The reasoning is two-fold. First, it is difficult to develop criteria for categorizing a situation as having a Low, Medium, or High effect. Second, there are very few species for which we have enough knowledge and/or data to even attempt to categorize them as being an important ecosystem species or having been affected by climate change.</t>
  </si>
  <si>
    <t>Important ecosystem species: ex. Predator/prey sp, reef maintenance/building</t>
  </si>
  <si>
    <t>Risk Score Percentiles</t>
  </si>
  <si>
    <t>Scoring</t>
  </si>
  <si>
    <t>Notes</t>
  </si>
  <si>
    <t>SEDAR 37: Age varying; cumulative target M: 0.179</t>
  </si>
  <si>
    <t>Neither sector ACL exceeded from 2018-2023</t>
  </si>
  <si>
    <t>&gt;13 communities highly reliant on this species</t>
  </si>
  <si>
    <t>7-13 communities highly reliant on this species</t>
  </si>
  <si>
    <t>&lt;7 communities highly reliant on this species</t>
  </si>
  <si>
    <t>Hum Dim Weight</t>
  </si>
  <si>
    <t>Bio Weight</t>
  </si>
  <si>
    <t>Env Weight</t>
  </si>
  <si>
    <t>Scores</t>
  </si>
  <si>
    <t>Age at 50% maturity from SEDAR 37: 0.9-1.6 years
- protogynous hermaphroditism; age at transition ranges from 1-11 years and is socially mediated
4-6 yrs old ~50% of fish had transitioned
Spear selectivity would tend toward largest fish (male) in a harem</t>
  </si>
  <si>
    <t>Evaluate in assessment
Releases are often in shallow water, so probably high survival for hook and line</t>
  </si>
  <si>
    <t>From SEFSC Logbook Data 2018-2022
Avg % Annual Revenue: 3%
Avg % Trip Revenue: 13%</t>
  </si>
  <si>
    <t>Standard MRIP queries do not separate effort data by gear.
From SEDAR 37
Hook &amp; Line: 0.37%
Spear: 23%
Total: 0.76%
Consider different limits for different gears</t>
  </si>
  <si>
    <t>Infrastructure impacts on shallow water fish; dependent on coral habitat</t>
  </si>
  <si>
    <t>This attribute includes variables that aren't covered in either of the other two attributes, such as regime shifts, conditions unfavorable to recruitment, recruitment failure due to some unknown environmental variable, etc.</t>
  </si>
  <si>
    <r>
      <t>SEDAR 64 (2019): constant mortality-at-age = 0.160 using a max age of 28 years
natural mortality at age (M</t>
    </r>
    <r>
      <rPr>
        <vertAlign val="subscript"/>
        <sz val="11"/>
        <color theme="1"/>
        <rFont val="Calibri"/>
        <family val="2"/>
        <scheme val="minor"/>
      </rPr>
      <t>at-age</t>
    </r>
    <r>
      <rPr>
        <sz val="11"/>
        <color theme="1"/>
        <rFont val="Calibri"/>
        <family val="2"/>
        <scheme val="minor"/>
      </rPr>
      <t xml:space="preserve"> ranged from 0.385-0.147</t>
    </r>
  </si>
  <si>
    <t>SEDAR 64 (2019): in FL waters, 50% of females were sexually mature at 1.7 years</t>
  </si>
  <si>
    <t>SEDAR 15A (2015): constant natural mortality averaging 0.11 based on a max age of 40 years</t>
  </si>
  <si>
    <t>SEDAR 66 (2021): constant natural mortality averaging 0.1038 based on a max age of 40 years</t>
  </si>
  <si>
    <t>Higher age at maturity is associated with lower productivity and results in greater risk of overexploitation. Rating criteria are based on age at 50% maturity.</t>
  </si>
  <si>
    <t>Age at 50% maturity from SEDAR 66 (2021): 3 years</t>
  </si>
  <si>
    <t>Affect habitat through burrowing behavior</t>
  </si>
  <si>
    <t>Higher M is associated with a more productive stock and allows for more risk tolerance.</t>
  </si>
  <si>
    <t>Com % ACL</t>
  </si>
  <si>
    <t>Rec % ACL</t>
  </si>
  <si>
    <t>Total % ACL</t>
  </si>
  <si>
    <t>Rec ACL (# fish)</t>
  </si>
  <si>
    <t>Rec Landings (# fish)</t>
  </si>
  <si>
    <t>Com ACL (lbs ww)</t>
  </si>
  <si>
    <t>Com Landings (lbs ww)</t>
  </si>
  <si>
    <t>Total ACL (fish)</t>
  </si>
  <si>
    <t>Total Landings (fish)</t>
  </si>
  <si>
    <t>Commercial average weight (lbs ww) from SEDAR 41 &amp; Am 43</t>
  </si>
  <si>
    <t>Evaluate in assessment
SEDAR 73 landings indicated dead discards in last 3 years of the assessment (2017-2019) were &gt;90% of removals (# fish)</t>
  </si>
  <si>
    <t>Rec ACL (lbs ww)</t>
  </si>
  <si>
    <t>Rec Landings (lbs ww)</t>
  </si>
  <si>
    <t>Recreational average weight (lbs gw) from Reg Am 28 (2012-2016)</t>
  </si>
  <si>
    <t>Com ACL (lbs gw)</t>
  </si>
  <si>
    <t>Total ACL (lbs gw)</t>
  </si>
  <si>
    <t>Com Landings (lbs gw)</t>
  </si>
  <si>
    <t>Total Landings (lbs gw)</t>
  </si>
  <si>
    <r>
      <rPr>
        <b/>
        <sz val="11"/>
        <rFont val="Calibri"/>
        <family val="2"/>
        <scheme val="minor"/>
      </rPr>
      <t xml:space="preserve">Total ACL (2018-2022) exceeded by &lt;15% in 2019, 2020 (&lt;1%), 2022 (&lt;1%)
</t>
    </r>
    <r>
      <rPr>
        <sz val="11"/>
        <rFont val="Calibri"/>
        <family val="2"/>
        <scheme val="minor"/>
      </rPr>
      <t xml:space="preserve">
Commercial ACL (2018-2022) exceeded by &lt;15% in 2019, 2020, 2021
Recreational ACL (2018-2022) exceeded by &gt;15% in 2018, 2019, 2020, 2021</t>
    </r>
  </si>
  <si>
    <t>Total ACL (lbs ww)</t>
  </si>
  <si>
    <t>Total Landings (lbs ww)</t>
  </si>
  <si>
    <r>
      <rPr>
        <b/>
        <sz val="11"/>
        <rFont val="Calibri"/>
        <family val="2"/>
        <scheme val="minor"/>
      </rPr>
      <t xml:space="preserve">Total ACL (2018-2022) exceeded by &gt;15% in 2018, 2019, 2020, 2021
</t>
    </r>
    <r>
      <rPr>
        <sz val="11"/>
        <rFont val="Calibri"/>
        <family val="2"/>
        <scheme val="minor"/>
      </rPr>
      <t xml:space="preserve">
Commercial ACL (2018-2022) exceeded by &lt;15% in 2018, 2019, 2021, 2022
Recreational ACL (2018-2022) exceeded by &gt;15% in 2018, 2019, 2020, 2021</t>
    </r>
  </si>
  <si>
    <t>SEDAR 50 (2017) characterized dead discards as 3% of total removals (both sectors) for the southern portion of the stock</t>
  </si>
  <si>
    <t>SEDAR 50 (2017): 0.13 based on meta-analysis growth parameters</t>
  </si>
  <si>
    <t>No age information used in SEDAR 50 (2017) assessment. Length at maturity estimated as 305 mm. Linf from meta-analysis estimated as 690 mm.</t>
  </si>
  <si>
    <r>
      <rPr>
        <b/>
        <sz val="11"/>
        <color theme="1"/>
        <rFont val="Calibri"/>
        <family val="2"/>
        <scheme val="minor"/>
      </rPr>
      <t xml:space="preserve">Between 1% and 10% of total annual revenue for all years 2018-2022
</t>
    </r>
    <r>
      <rPr>
        <sz val="11"/>
        <color theme="1"/>
        <rFont val="Calibri"/>
        <family val="2"/>
        <scheme val="minor"/>
      </rPr>
      <t>Average 5.8%</t>
    </r>
  </si>
  <si>
    <r>
      <rPr>
        <b/>
        <sz val="11"/>
        <color theme="1"/>
        <rFont val="Calibri"/>
        <family val="2"/>
        <scheme val="minor"/>
      </rPr>
      <t xml:space="preserve">&gt;10% of total annual revenue for all years 2018-2022
</t>
    </r>
    <r>
      <rPr>
        <sz val="11"/>
        <color theme="1"/>
        <rFont val="Calibri"/>
        <family val="2"/>
        <scheme val="minor"/>
      </rPr>
      <t>Average 20.3%</t>
    </r>
  </si>
  <si>
    <r>
      <rPr>
        <b/>
        <sz val="11"/>
        <color theme="1"/>
        <rFont val="Calibri"/>
        <family val="2"/>
        <scheme val="minor"/>
      </rPr>
      <t xml:space="preserve">&gt;40% of total trip revenue for all years 2018-2022
</t>
    </r>
    <r>
      <rPr>
        <sz val="11"/>
        <color theme="1"/>
        <rFont val="Calibri"/>
        <family val="2"/>
        <scheme val="minor"/>
      </rPr>
      <t>Average 69.9%</t>
    </r>
  </si>
  <si>
    <r>
      <rPr>
        <b/>
        <sz val="11"/>
        <color theme="1"/>
        <rFont val="Calibri"/>
        <family val="2"/>
        <scheme val="minor"/>
      </rPr>
      <t xml:space="preserve">Between 1% and 10% of total annual revenue for all years 2018-2022
</t>
    </r>
    <r>
      <rPr>
        <sz val="11"/>
        <color theme="1"/>
        <rFont val="Calibri"/>
        <family val="2"/>
        <scheme val="minor"/>
      </rPr>
      <t>Average 3.3%</t>
    </r>
  </si>
  <si>
    <r>
      <rPr>
        <b/>
        <sz val="11"/>
        <color theme="1"/>
        <rFont val="Calibri"/>
        <family val="2"/>
        <scheme val="minor"/>
      </rPr>
      <t xml:space="preserve">Between 10% and 40% of total trip revenue for all years 2018-2022
</t>
    </r>
    <r>
      <rPr>
        <sz val="11"/>
        <color theme="1"/>
        <rFont val="Calibri"/>
        <family val="2"/>
        <scheme val="minor"/>
      </rPr>
      <t>Average 15.1%</t>
    </r>
  </si>
  <si>
    <r>
      <rPr>
        <b/>
        <sz val="11"/>
        <color theme="1"/>
        <rFont val="Calibri"/>
        <family val="2"/>
        <scheme val="minor"/>
      </rPr>
      <t xml:space="preserve">Between 1% and 10% of total annual revenue for all years 2018-2022
</t>
    </r>
    <r>
      <rPr>
        <sz val="11"/>
        <color theme="1"/>
        <rFont val="Calibri"/>
        <family val="2"/>
        <scheme val="minor"/>
      </rPr>
      <t>Average 1.8%</t>
    </r>
  </si>
  <si>
    <r>
      <rPr>
        <b/>
        <sz val="11"/>
        <color theme="1"/>
        <rFont val="Calibri"/>
        <family val="2"/>
        <scheme val="minor"/>
      </rPr>
      <t xml:space="preserve">&gt;10% of total annual revenue for all years 2018-2022
</t>
    </r>
    <r>
      <rPr>
        <sz val="11"/>
        <color theme="1"/>
        <rFont val="Calibri"/>
        <family val="2"/>
        <scheme val="minor"/>
      </rPr>
      <t>Average 36.2%</t>
    </r>
  </si>
  <si>
    <r>
      <rPr>
        <b/>
        <sz val="11"/>
        <color theme="1"/>
        <rFont val="Calibri"/>
        <family val="2"/>
        <scheme val="minor"/>
      </rPr>
      <t xml:space="preserve">&gt;40% of total trip revenue for all years 2018-2022
</t>
    </r>
    <r>
      <rPr>
        <sz val="11"/>
        <color theme="1"/>
        <rFont val="Calibri"/>
        <family val="2"/>
        <scheme val="minor"/>
      </rPr>
      <t>Average 83.0%</t>
    </r>
  </si>
  <si>
    <t>Com Landings (mt)</t>
  </si>
  <si>
    <t>Rec Landings (1000s fish)</t>
  </si>
  <si>
    <t>Com Releases (1000s fish)</t>
  </si>
  <si>
    <t>Rec Releases (1000s fish)</t>
  </si>
  <si>
    <t>HB</t>
  </si>
  <si>
    <t>MRIP</t>
  </si>
  <si>
    <t>Evaluate in assessment
Releases are often in shallow water, so probably high survival for hook and line
Notable recreational fishing observed in SEDAR 64, but different recreational data being used in SEDAR 96 (FL State Reef Fish Survey)</t>
  </si>
  <si>
    <t>Estimated at the county level, most communities have low reliance on this species</t>
  </si>
  <si>
    <t>Estimated at the county level, most communities have low reliance on this species
One community is Medium (St. John, FL, recreational) and one is Medium-High (Monroe, FL, recreational)</t>
  </si>
  <si>
    <t>Preliminary Scores</t>
  </si>
  <si>
    <t>SEDAR 73 (2021), &gt;50% maturity between 1 and 2 years</t>
  </si>
  <si>
    <t>2018-2022, annual recreational targeted trips range from 5% to 36% of recreational trips in the region; average of 19%</t>
  </si>
  <si>
    <t>2018-2022, annual recreational targeted trips range from 0% to 2% of recreational trips in the region; average of &lt;1%</t>
  </si>
  <si>
    <t>Estimated at the county level, most communities have low reliance on this species
One community is Medium (Dare, NC, commercial) and two are Medium-High (Dare, NC, recreational and Monroe, FL, recreational)</t>
  </si>
  <si>
    <t>SSC Recommendation</t>
  </si>
  <si>
    <t>Spearfishermen may be highly dependent on this species
Hook and line not as much; but these components may exist within the same community</t>
  </si>
  <si>
    <t>SEDAR 15A (2015): 50% mature at 3.7 years</t>
  </si>
  <si>
    <t>2018-2022, annual recreational targeted trips range from 18% to 29% of recreational trips in the region; average of 25%</t>
  </si>
  <si>
    <t>2018-2022, annual recreational targeted trips range from 10% to 29% of recreational trips in the region; average of 20%</t>
  </si>
  <si>
    <t>Estimated at the county level; 13 communities analyzed due to species range
Most communities have low reliance on this species, but one community is Medium (St. John, FL, recreational) and one is Medium-High (Monroe, FL, recreational)</t>
  </si>
  <si>
    <t>2018-2022, annual recreational targeted trips range from 0% to 2% of recreational trips in the region; average of 1%</t>
  </si>
  <si>
    <t>Estimated at the county level, most communities have low reliance on this species
One community is Medium (Dare, NC, commercial) and one is Medium-High (Monroe, FL, recreational)</t>
  </si>
  <si>
    <t xml:space="preserve">Previous assessments have characterized discards as negligible </t>
  </si>
  <si>
    <t>SEDAR 73 (2021): Constant value was 0.11 (age-dependent estimates were scaled to this value)</t>
  </si>
  <si>
    <r>
      <rPr>
        <b/>
        <sz val="11"/>
        <rFont val="Calibri"/>
        <family val="2"/>
        <scheme val="minor"/>
      </rPr>
      <t>Total ACL (2018-2022) exceeded by &gt;15% in 2018, 2019, 2020, 2021</t>
    </r>
    <r>
      <rPr>
        <sz val="11"/>
        <rFont val="Calibri"/>
        <family val="2"/>
        <scheme val="minor"/>
      </rPr>
      <t xml:space="preserve">
Commercial ACL (2018-2022) exceeded by &lt;15% in 2018, 2019, 2020, 2021
Recreational ACL (2018-2022) exceeded by &gt;15% in 2018, 2019, 2020, 2021</t>
    </r>
  </si>
  <si>
    <r>
      <rPr>
        <b/>
        <sz val="11"/>
        <color theme="1"/>
        <rFont val="Calibri"/>
        <family val="2"/>
        <scheme val="minor"/>
      </rPr>
      <t xml:space="preserve">Between 10% and 40% of total trip revenue for all years 2018-2022
</t>
    </r>
    <r>
      <rPr>
        <sz val="11"/>
        <color theme="1"/>
        <rFont val="Calibri"/>
        <family val="2"/>
        <scheme val="minor"/>
      </rPr>
      <t>Average 29.7%</t>
    </r>
  </si>
  <si>
    <t xml:space="preserve">No overages from either sector from 2018-2022
</t>
  </si>
  <si>
    <r>
      <t xml:space="preserve">SEDAR 79 (2024) using commercial average weight for 2018-2022 of 5.80 lbs: </t>
    </r>
    <r>
      <rPr>
        <b/>
        <sz val="11"/>
        <color theme="1"/>
        <rFont val="Calibri"/>
        <family val="2"/>
        <scheme val="minor"/>
      </rPr>
      <t>Dead Discards were &gt;40% of removals for all years 2018-2022</t>
    </r>
    <r>
      <rPr>
        <sz val="11"/>
        <color theme="1"/>
        <rFont val="Calibri"/>
        <family val="2"/>
        <scheme val="minor"/>
      </rPr>
      <t xml:space="preserve">
Rec dead discards were &gt;51% of recreational removals and commercial dead discards were between 5% and 8% of commercial removals</t>
    </r>
  </si>
  <si>
    <r>
      <rPr>
        <b/>
        <sz val="11"/>
        <color theme="1"/>
        <rFont val="Calibri"/>
        <family val="2"/>
        <scheme val="minor"/>
      </rPr>
      <t xml:space="preserve">&lt;10% of total trip revenue for all years 2018-2022
</t>
    </r>
    <r>
      <rPr>
        <sz val="11"/>
        <color theme="1"/>
        <rFont val="Calibri"/>
        <family val="2"/>
        <scheme val="minor"/>
      </rPr>
      <t>Average 6.7%</t>
    </r>
  </si>
  <si>
    <r>
      <rPr>
        <b/>
        <sz val="11"/>
        <rFont val="Calibri"/>
        <family val="2"/>
        <scheme val="minor"/>
      </rPr>
      <t xml:space="preserve">No Total ACL overages from 2017-2022 (non-calendar fishing year)
</t>
    </r>
    <r>
      <rPr>
        <sz val="11"/>
        <rFont val="Calibri"/>
        <family val="2"/>
        <scheme val="minor"/>
      </rPr>
      <t>No rec overages from 2017-2022
Com closures in 2018 and 2019 with ACL overage of &lt;15%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</si>
</sst>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12" x14ac:knownFonts="1">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11"/>
      <name val="Calibri"/>
      <family val="2"/>
      <scheme val="minor"/>
    </font>
    <font>
      <b/>
      <sz val="12"/>
      <name val="Calibri"/>
      <family val="2"/>
      <scheme val="minor"/>
    </font>
    <font>
      <sz val="12"/>
      <name val="Calibri"/>
      <family val="2"/>
      <scheme val="minor"/>
    </font>
    <font>
      <sz val="11"/>
      <color theme="1"/>
      <name val="Calibri"/>
      <family val="2"/>
      <scheme val="minor"/>
    </font>
    <font>
      <b/>
      <sz val="11"/>
      <name val="Calibri"/>
      <family val="2"/>
    </font>
    <font>
      <b/>
      <sz val="11"/>
      <name val="Calibri"/>
      <family val="2"/>
      <scheme val="minor"/>
    </font>
    <font>
      <i/>
      <sz val="11"/>
      <color theme="1"/>
      <name val="Calibri"/>
      <family val="2"/>
      <scheme val="minor"/>
    </font>
    <font>
      <vertAlign val="subscript"/>
      <sz val="11"/>
      <color theme="1"/>
      <name val="Calibri"/>
      <family val="2"/>
      <scheme val="minor"/>
    </font>
  </fonts>
  <fills count="19">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thick">
        <color indexed="64"/>
      </right>
      <top/>
      <bottom/>
      <diagonal/>
    </border>
    <border>
      <left/>
      <right style="thick">
        <color indexed="64"/>
      </right>
      <top/>
      <bottom/>
      <diagonal/>
    </border>
    <border>
      <left style="thick">
        <color indexed="64"/>
      </left>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medium">
        <color indexed="64"/>
      </bottom>
      <diagonal/>
    </border>
    <border>
      <left/>
      <right style="thick">
        <color indexed="64"/>
      </right>
      <top style="thin">
        <color indexed="64"/>
      </top>
      <bottom style="thin">
        <color indexed="64"/>
      </bottom>
      <diagonal/>
    </border>
  </borders>
  <cellStyleXfs count="3">
    <xf numFmtId="0" fontId="0" fillId="0" borderId="0"/>
    <xf numFmtId="0" fontId="1" fillId="0" borderId="0"/>
    <xf numFmtId="9" fontId="7" fillId="0" borderId="0" applyFont="0" applyFill="0" applyBorder="0" applyAlignment="0" applyProtection="0"/>
  </cellStyleXfs>
  <cellXfs count="278">
    <xf numFmtId="0" fontId="0" fillId="0" borderId="0" xfId="0"/>
    <xf numFmtId="0" fontId="0" fillId="0" borderId="1" xfId="0" applyBorder="1" applyAlignment="1">
      <alignment horizontal="left"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horizontal="center"/>
    </xf>
    <xf numFmtId="0" fontId="0" fillId="0" borderId="26" xfId="0" applyBorder="1" applyAlignment="1">
      <alignment vertical="center" wrapText="1"/>
    </xf>
    <xf numFmtId="0" fontId="0" fillId="0" borderId="26" xfId="0" applyBorder="1"/>
    <xf numFmtId="0" fontId="0" fillId="0" borderId="4" xfId="0" applyBorder="1" applyAlignment="1">
      <alignment horizontal="center"/>
    </xf>
    <xf numFmtId="0" fontId="0" fillId="0" borderId="27" xfId="0" applyBorder="1" applyAlignment="1">
      <alignment vertical="center" wrapText="1"/>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xf>
    <xf numFmtId="2" fontId="0" fillId="15" borderId="3" xfId="0" applyNumberFormat="1" applyFill="1" applyBorder="1" applyAlignment="1">
      <alignment horizontal="center"/>
    </xf>
    <xf numFmtId="0" fontId="0" fillId="13" borderId="12" xfId="0" applyFill="1" applyBorder="1" applyAlignment="1">
      <alignment horizontal="center"/>
    </xf>
    <xf numFmtId="0" fontId="0" fillId="13" borderId="2" xfId="0" applyFill="1" applyBorder="1" applyAlignment="1">
      <alignment horizontal="center" vertical="center" wrapText="1"/>
    </xf>
    <xf numFmtId="0" fontId="0" fillId="13" borderId="2" xfId="0" applyFill="1" applyBorder="1" applyAlignment="1">
      <alignment horizontal="center"/>
    </xf>
    <xf numFmtId="0" fontId="0" fillId="0" borderId="0" xfId="0" applyAlignment="1">
      <alignment horizontal="center" vertical="center" wrapText="1"/>
    </xf>
    <xf numFmtId="0" fontId="0" fillId="15" borderId="31" xfId="0" applyFill="1" applyBorder="1" applyAlignment="1">
      <alignment horizontal="center"/>
    </xf>
    <xf numFmtId="0" fontId="0" fillId="15" borderId="23" xfId="0" applyFill="1" applyBorder="1" applyAlignment="1">
      <alignment horizontal="center"/>
    </xf>
    <xf numFmtId="164" fontId="0" fillId="13" borderId="26" xfId="0" applyNumberFormat="1" applyFill="1" applyBorder="1" applyAlignment="1">
      <alignment horizontal="center"/>
    </xf>
    <xf numFmtId="0" fontId="0" fillId="6" borderId="2" xfId="0" applyFill="1" applyBorder="1" applyAlignment="1">
      <alignment horizontal="center" vertical="center" wrapText="1"/>
    </xf>
    <xf numFmtId="0" fontId="0" fillId="6" borderId="12" xfId="0" applyFill="1" applyBorder="1" applyAlignment="1">
      <alignment horizontal="center"/>
    </xf>
    <xf numFmtId="164" fontId="0" fillId="6" borderId="26" xfId="0" applyNumberFormat="1" applyFill="1" applyBorder="1" applyAlignment="1">
      <alignment horizontal="center"/>
    </xf>
    <xf numFmtId="0" fontId="0" fillId="6" borderId="2" xfId="0" applyFill="1" applyBorder="1" applyAlignment="1">
      <alignment horizontal="center"/>
    </xf>
    <xf numFmtId="0" fontId="0" fillId="6" borderId="4" xfId="0" applyFill="1" applyBorder="1" applyAlignment="1">
      <alignment horizontal="center" vertical="center" wrapText="1"/>
    </xf>
    <xf numFmtId="0" fontId="0" fillId="6" borderId="18" xfId="0" applyFill="1" applyBorder="1" applyAlignment="1">
      <alignment horizontal="center"/>
    </xf>
    <xf numFmtId="164" fontId="0" fillId="6" borderId="27" xfId="0" applyNumberFormat="1" applyFill="1" applyBorder="1" applyAlignment="1">
      <alignment horizontal="center"/>
    </xf>
    <xf numFmtId="0" fontId="0" fillId="14" borderId="31" xfId="0" applyFill="1" applyBorder="1" applyAlignment="1">
      <alignment horizontal="center"/>
    </xf>
    <xf numFmtId="0" fontId="0" fillId="14" borderId="23" xfId="0" applyFill="1" applyBorder="1" applyAlignment="1">
      <alignment horizontal="center"/>
    </xf>
    <xf numFmtId="2" fontId="0" fillId="14" borderId="3" xfId="0" applyNumberFormat="1" applyFill="1" applyBorder="1" applyAlignment="1">
      <alignment horizontal="center"/>
    </xf>
    <xf numFmtId="0" fontId="0" fillId="14" borderId="32" xfId="0" applyFill="1" applyBorder="1" applyAlignment="1">
      <alignment horizontal="center"/>
    </xf>
    <xf numFmtId="0" fontId="0" fillId="14" borderId="33" xfId="0" applyFill="1" applyBorder="1" applyAlignment="1">
      <alignment horizontal="center"/>
    </xf>
    <xf numFmtId="2" fontId="0" fillId="14" borderId="5" xfId="0" applyNumberFormat="1" applyFill="1" applyBorder="1" applyAlignment="1">
      <alignment horizontal="center"/>
    </xf>
    <xf numFmtId="0" fontId="5" fillId="2" borderId="10" xfId="0" applyFont="1" applyFill="1" applyBorder="1" applyAlignment="1">
      <alignment horizontal="left" vertical="center" wrapText="1"/>
    </xf>
    <xf numFmtId="0" fontId="1" fillId="6" borderId="1" xfId="0" applyFont="1" applyFill="1" applyBorder="1" applyAlignment="1">
      <alignment vertical="center" wrapText="1"/>
    </xf>
    <xf numFmtId="0" fontId="3" fillId="6" borderId="18" xfId="0" applyFont="1" applyFill="1" applyBorder="1" applyAlignment="1">
      <alignment vertical="center" wrapText="1"/>
    </xf>
    <xf numFmtId="0" fontId="3" fillId="9" borderId="10" xfId="0" applyFont="1" applyFill="1" applyBorder="1" applyAlignment="1">
      <alignment vertical="center" wrapText="1"/>
    </xf>
    <xf numFmtId="0" fontId="1" fillId="7" borderId="1" xfId="0" applyFont="1" applyFill="1" applyBorder="1" applyAlignment="1">
      <alignment vertical="center" wrapText="1"/>
    </xf>
    <xf numFmtId="0" fontId="6" fillId="7" borderId="1" xfId="0" applyFont="1" applyFill="1" applyBorder="1" applyAlignment="1">
      <alignment vertical="center" wrapText="1"/>
    </xf>
    <xf numFmtId="0" fontId="3" fillId="7" borderId="1" xfId="0" applyFont="1" applyFill="1" applyBorder="1" applyAlignment="1">
      <alignment vertical="center" wrapText="1"/>
    </xf>
    <xf numFmtId="0" fontId="3" fillId="10" borderId="1" xfId="0" applyFont="1" applyFill="1" applyBorder="1" applyAlignment="1">
      <alignment vertical="center" wrapText="1"/>
    </xf>
    <xf numFmtId="0" fontId="5" fillId="6" borderId="10" xfId="0" applyFont="1" applyFill="1" applyBorder="1" applyAlignment="1">
      <alignment horizontal="center" vertical="center" wrapText="1"/>
    </xf>
    <xf numFmtId="0" fontId="5" fillId="12" borderId="10"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12" borderId="10" xfId="0" applyFont="1" applyFill="1" applyBorder="1" applyAlignment="1">
      <alignment horizontal="center" vertical="center" wrapText="1"/>
    </xf>
    <xf numFmtId="0" fontId="0" fillId="17" borderId="23" xfId="0" applyFill="1" applyBorder="1" applyAlignment="1">
      <alignment horizontal="center"/>
    </xf>
    <xf numFmtId="0" fontId="0" fillId="16" borderId="23" xfId="0" applyFill="1" applyBorder="1" applyAlignment="1">
      <alignment horizontal="center"/>
    </xf>
    <xf numFmtId="0" fontId="0" fillId="17" borderId="31" xfId="0" applyFill="1" applyBorder="1" applyAlignment="1">
      <alignment horizontal="center"/>
    </xf>
    <xf numFmtId="0" fontId="0" fillId="16" borderId="31" xfId="0" applyFill="1" applyBorder="1" applyAlignment="1">
      <alignment horizontal="center"/>
    </xf>
    <xf numFmtId="0" fontId="0" fillId="17" borderId="32" xfId="0" applyFill="1" applyBorder="1" applyAlignment="1">
      <alignment horizontal="center"/>
    </xf>
    <xf numFmtId="0" fontId="0" fillId="17" borderId="33" xfId="0" applyFill="1" applyBorder="1" applyAlignment="1">
      <alignment horizontal="center"/>
    </xf>
    <xf numFmtId="0" fontId="0" fillId="17" borderId="26" xfId="0" applyFill="1" applyBorder="1" applyAlignment="1">
      <alignment horizontal="center"/>
    </xf>
    <xf numFmtId="0" fontId="0" fillId="16" borderId="26" xfId="0" applyFill="1" applyBorder="1" applyAlignment="1">
      <alignment horizontal="center"/>
    </xf>
    <xf numFmtId="0" fontId="3" fillId="18" borderId="10" xfId="0" applyFont="1" applyFill="1" applyBorder="1" applyAlignment="1">
      <alignment vertical="center" wrapText="1"/>
    </xf>
    <xf numFmtId="0" fontId="6" fillId="17" borderId="1" xfId="0" applyFont="1" applyFill="1" applyBorder="1" applyAlignment="1">
      <alignment vertical="center" wrapText="1"/>
    </xf>
    <xf numFmtId="0" fontId="3" fillId="17" borderId="1" xfId="0" applyFont="1" applyFill="1" applyBorder="1" applyAlignment="1">
      <alignment vertical="center" wrapText="1"/>
    </xf>
    <xf numFmtId="0" fontId="2" fillId="0" borderId="0" xfId="0" applyFont="1" applyAlignment="1">
      <alignment horizontal="center"/>
    </xf>
    <xf numFmtId="0" fontId="0" fillId="17" borderId="0" xfId="0" applyFill="1" applyAlignment="1">
      <alignment horizontal="center"/>
    </xf>
    <xf numFmtId="0" fontId="0" fillId="16" borderId="0" xfId="0" applyFill="1" applyAlignment="1">
      <alignment horizontal="center"/>
    </xf>
    <xf numFmtId="0" fontId="0" fillId="17" borderId="44" xfId="0" applyFill="1" applyBorder="1" applyAlignment="1">
      <alignment horizontal="center"/>
    </xf>
    <xf numFmtId="0" fontId="0" fillId="14" borderId="12" xfId="0" applyFill="1" applyBorder="1" applyAlignment="1">
      <alignment horizontal="center"/>
    </xf>
    <xf numFmtId="0" fontId="0" fillId="15" borderId="12" xfId="0" applyFill="1" applyBorder="1" applyAlignment="1">
      <alignment horizontal="center"/>
    </xf>
    <xf numFmtId="0" fontId="0" fillId="14" borderId="18" xfId="0" applyFill="1" applyBorder="1" applyAlignment="1">
      <alignment horizontal="center"/>
    </xf>
    <xf numFmtId="0" fontId="0" fillId="6" borderId="11" xfId="0" applyFill="1" applyBorder="1" applyAlignment="1">
      <alignment horizontal="center"/>
    </xf>
    <xf numFmtId="0" fontId="0" fillId="13" borderId="11" xfId="0" applyFill="1" applyBorder="1" applyAlignment="1">
      <alignment horizontal="center"/>
    </xf>
    <xf numFmtId="0" fontId="0" fillId="6" borderId="45" xfId="0" applyFill="1" applyBorder="1" applyAlignment="1">
      <alignment horizontal="center"/>
    </xf>
    <xf numFmtId="0" fontId="1" fillId="0" borderId="41" xfId="0" applyFont="1" applyBorder="1" applyAlignment="1">
      <alignment horizontal="center" vertical="center"/>
    </xf>
    <xf numFmtId="0" fontId="0" fillId="0" borderId="0" xfId="0" applyAlignment="1">
      <alignment vertical="top" wrapText="1"/>
    </xf>
    <xf numFmtId="0" fontId="0" fillId="0" borderId="7" xfId="0" applyBorder="1" applyAlignment="1">
      <alignment horizontal="center"/>
    </xf>
    <xf numFmtId="0" fontId="2" fillId="13" borderId="48" xfId="0" applyFont="1" applyFill="1" applyBorder="1" applyAlignment="1">
      <alignment horizontal="center" vertical="center"/>
    </xf>
    <xf numFmtId="0" fontId="2" fillId="13" borderId="1" xfId="0" applyFont="1" applyFill="1" applyBorder="1" applyAlignment="1">
      <alignment horizontal="center" vertical="center"/>
    </xf>
    <xf numFmtId="0" fontId="2" fillId="13" borderId="13" xfId="0" applyFont="1" applyFill="1" applyBorder="1" applyAlignment="1">
      <alignment horizontal="center" vertical="center"/>
    </xf>
    <xf numFmtId="0" fontId="2" fillId="13" borderId="47" xfId="0" applyFont="1" applyFill="1" applyBorder="1" applyAlignment="1">
      <alignment horizontal="center" vertical="center"/>
    </xf>
    <xf numFmtId="0" fontId="2" fillId="15" borderId="49" xfId="0" applyFont="1" applyFill="1" applyBorder="1" applyAlignment="1">
      <alignment horizontal="center" vertical="center"/>
    </xf>
    <xf numFmtId="0" fontId="2" fillId="15" borderId="15" xfId="0" applyFont="1" applyFill="1" applyBorder="1" applyAlignment="1">
      <alignment horizontal="center" vertical="center"/>
    </xf>
    <xf numFmtId="0" fontId="2" fillId="15" borderId="1" xfId="0" applyFont="1" applyFill="1" applyBorder="1" applyAlignment="1">
      <alignment horizontal="center" vertical="center"/>
    </xf>
    <xf numFmtId="0" fontId="2" fillId="15" borderId="50" xfId="0" applyFont="1" applyFill="1" applyBorder="1" applyAlignment="1">
      <alignment horizontal="center" vertical="center"/>
    </xf>
    <xf numFmtId="0" fontId="2" fillId="16" borderId="49" xfId="0" applyFont="1" applyFill="1" applyBorder="1" applyAlignment="1">
      <alignment horizontal="center" vertical="center"/>
    </xf>
    <xf numFmtId="0" fontId="2" fillId="16" borderId="15" xfId="0" applyFont="1" applyFill="1" applyBorder="1" applyAlignment="1">
      <alignment horizontal="center" vertical="center"/>
    </xf>
    <xf numFmtId="0" fontId="2" fillId="16" borderId="14" xfId="0" applyFont="1" applyFill="1" applyBorder="1" applyAlignment="1">
      <alignment horizontal="center" vertical="center"/>
    </xf>
    <xf numFmtId="0" fontId="2" fillId="16" borderId="47" xfId="0" applyFont="1" applyFill="1" applyBorder="1" applyAlignment="1">
      <alignment horizontal="center" vertical="center"/>
    </xf>
    <xf numFmtId="9" fontId="0" fillId="0" borderId="0" xfId="2" applyFont="1" applyAlignment="1">
      <alignment horizontal="center"/>
    </xf>
    <xf numFmtId="0" fontId="2" fillId="16" borderId="1" xfId="0" applyFont="1" applyFill="1" applyBorder="1" applyAlignment="1">
      <alignment horizontal="center" vertical="center"/>
    </xf>
    <xf numFmtId="0" fontId="0" fillId="17" borderId="12" xfId="0" applyFill="1" applyBorder="1" applyAlignment="1">
      <alignment horizontal="center"/>
    </xf>
    <xf numFmtId="0" fontId="0" fillId="16" borderId="12" xfId="0" applyFill="1" applyBorder="1" applyAlignment="1">
      <alignment horizontal="center"/>
    </xf>
    <xf numFmtId="0" fontId="0" fillId="17" borderId="10" xfId="0" applyFill="1" applyBorder="1" applyAlignment="1">
      <alignment horizontal="center"/>
    </xf>
    <xf numFmtId="0" fontId="0" fillId="0" borderId="15" xfId="0"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8" fillId="5" borderId="2" xfId="0" applyFont="1" applyFill="1" applyBorder="1" applyAlignment="1">
      <alignment horizontal="center"/>
    </xf>
    <xf numFmtId="0" fontId="9" fillId="5" borderId="3"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11" borderId="14" xfId="0" applyFont="1" applyFill="1" applyBorder="1" applyAlignment="1">
      <alignment horizontal="center" vertical="center" wrapText="1"/>
    </xf>
    <xf numFmtId="0" fontId="1" fillId="0" borderId="42" xfId="0" applyFont="1" applyBorder="1" applyAlignment="1">
      <alignment horizontal="center" vertical="center"/>
    </xf>
    <xf numFmtId="0" fontId="1" fillId="0" borderId="16" xfId="0" applyFont="1" applyBorder="1" applyAlignment="1">
      <alignment horizontal="center" vertical="center"/>
    </xf>
    <xf numFmtId="0" fontId="2" fillId="13" borderId="31"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2" fillId="13" borderId="11" xfId="0" applyFont="1" applyFill="1" applyBorder="1" applyAlignment="1">
      <alignment horizontal="center" vertical="center" wrapText="1"/>
    </xf>
    <xf numFmtId="0" fontId="2" fillId="13" borderId="26" xfId="0" applyFont="1" applyFill="1" applyBorder="1" applyAlignment="1">
      <alignment horizontal="center" vertical="center" wrapText="1"/>
    </xf>
    <xf numFmtId="0" fontId="2" fillId="15" borderId="34" xfId="0" applyFont="1" applyFill="1" applyBorder="1" applyAlignment="1">
      <alignment horizontal="center" vertical="center" wrapText="1"/>
    </xf>
    <xf numFmtId="0" fontId="2" fillId="15" borderId="20" xfId="0" applyFont="1" applyFill="1" applyBorder="1" applyAlignment="1">
      <alignment horizontal="center" vertical="center" wrapText="1"/>
    </xf>
    <xf numFmtId="0" fontId="2" fillId="15" borderId="8" xfId="0" applyFont="1" applyFill="1" applyBorder="1" applyAlignment="1">
      <alignment horizontal="center" vertical="center" wrapText="1"/>
    </xf>
    <xf numFmtId="0" fontId="2" fillId="15" borderId="35" xfId="0" applyFont="1" applyFill="1" applyBorder="1" applyAlignment="1">
      <alignment horizontal="center" vertical="center" wrapText="1"/>
    </xf>
    <xf numFmtId="0" fontId="2" fillId="16" borderId="34" xfId="0" applyFont="1" applyFill="1" applyBorder="1" applyAlignment="1">
      <alignment horizontal="center" vertical="center" wrapText="1"/>
    </xf>
    <xf numFmtId="0" fontId="2" fillId="16" borderId="20" xfId="0" applyFont="1" applyFill="1" applyBorder="1" applyAlignment="1">
      <alignment horizontal="center" vertical="center" wrapText="1"/>
    </xf>
    <xf numFmtId="0" fontId="2" fillId="16" borderId="8" xfId="0" applyFont="1" applyFill="1" applyBorder="1" applyAlignment="1">
      <alignment horizontal="center" vertical="center" wrapText="1"/>
    </xf>
    <xf numFmtId="0" fontId="2" fillId="16" borderId="40" xfId="0" applyFont="1" applyFill="1" applyBorder="1" applyAlignment="1">
      <alignment horizontal="center" vertical="center" wrapText="1"/>
    </xf>
    <xf numFmtId="0" fontId="2" fillId="16" borderId="39" xfId="0" applyFont="1" applyFill="1" applyBorder="1" applyAlignment="1">
      <alignment horizontal="center" vertical="center" wrapText="1"/>
    </xf>
    <xf numFmtId="0" fontId="1" fillId="0" borderId="2" xfId="0" applyFont="1" applyBorder="1" applyAlignment="1">
      <alignment horizontal="center" vertical="center"/>
    </xf>
    <xf numFmtId="0" fontId="0" fillId="0" borderId="2" xfId="0" applyBorder="1"/>
    <xf numFmtId="165" fontId="0" fillId="10" borderId="0" xfId="0" applyNumberFormat="1" applyFill="1" applyAlignment="1">
      <alignment horizontal="center"/>
    </xf>
    <xf numFmtId="165" fontId="0" fillId="11" borderId="0" xfId="0" applyNumberFormat="1" applyFill="1" applyAlignment="1">
      <alignment horizontal="center"/>
    </xf>
    <xf numFmtId="165" fontId="0" fillId="10" borderId="44" xfId="0" applyNumberFormat="1" applyFill="1" applyBorder="1" applyAlignment="1">
      <alignment horizontal="center"/>
    </xf>
    <xf numFmtId="0" fontId="3" fillId="0" borderId="0" xfId="0" applyFont="1"/>
    <xf numFmtId="10" fontId="3" fillId="0" borderId="0" xfId="0" applyNumberFormat="1" applyFont="1"/>
    <xf numFmtId="2" fontId="3" fillId="0" borderId="0" xfId="0" applyNumberFormat="1" applyFont="1"/>
    <xf numFmtId="0" fontId="0" fillId="0" borderId="14" xfId="0" applyBorder="1" applyAlignment="1">
      <alignment horizontal="center" vertical="center" wrapText="1"/>
    </xf>
    <xf numFmtId="0" fontId="0" fillId="13" borderId="1" xfId="0" applyFill="1" applyBorder="1" applyAlignment="1">
      <alignment horizontal="center" vertical="center" wrapText="1"/>
    </xf>
    <xf numFmtId="0" fontId="1" fillId="0" borderId="1" xfId="0" applyFont="1" applyBorder="1" applyAlignment="1">
      <alignment horizontal="center" vertical="center"/>
    </xf>
    <xf numFmtId="0" fontId="0" fillId="13" borderId="1" xfId="0" applyFill="1" applyBorder="1" applyAlignment="1">
      <alignment horizontal="center" vertical="center"/>
    </xf>
    <xf numFmtId="164" fontId="0" fillId="13" borderId="1" xfId="0" applyNumberFormat="1" applyFill="1" applyBorder="1" applyAlignment="1">
      <alignment horizontal="center" vertical="center"/>
    </xf>
    <xf numFmtId="0" fontId="0" fillId="15" borderId="1" xfId="0" applyFill="1" applyBorder="1" applyAlignment="1">
      <alignment horizontal="center" vertical="center"/>
    </xf>
    <xf numFmtId="0" fontId="0" fillId="16" borderId="1" xfId="0" applyFill="1" applyBorder="1" applyAlignment="1">
      <alignment horizontal="center" vertical="center"/>
    </xf>
    <xf numFmtId="165" fontId="0" fillId="11" borderId="1" xfId="0" applyNumberFormat="1" applyFill="1" applyBorder="1" applyAlignment="1">
      <alignment horizontal="center" vertical="center"/>
    </xf>
    <xf numFmtId="0" fontId="0" fillId="0" borderId="19" xfId="0" applyBorder="1" applyAlignment="1">
      <alignment vertical="center" wrapText="1"/>
    </xf>
    <xf numFmtId="0" fontId="0" fillId="0" borderId="40" xfId="0" applyBorder="1" applyAlignment="1">
      <alignment horizontal="center" vertical="center" wrapText="1"/>
    </xf>
    <xf numFmtId="0" fontId="3" fillId="6" borderId="1" xfId="0" applyFont="1" applyFill="1" applyBorder="1" applyAlignment="1">
      <alignment vertical="center" wrapText="1"/>
    </xf>
    <xf numFmtId="0" fontId="4" fillId="0" borderId="13" xfId="0" applyFont="1" applyBorder="1" applyAlignment="1">
      <alignment horizontal="left" vertical="center" wrapText="1"/>
    </xf>
    <xf numFmtId="0" fontId="5" fillId="7" borderId="1" xfId="0" applyFont="1" applyFill="1" applyBorder="1" applyAlignment="1">
      <alignment vertical="center" wrapText="1"/>
    </xf>
    <xf numFmtId="0" fontId="0" fillId="0" borderId="51" xfId="0" applyBorder="1" applyAlignment="1">
      <alignment horizontal="center" vertical="center" wrapText="1"/>
    </xf>
    <xf numFmtId="0" fontId="5" fillId="17" borderId="1" xfId="0" applyFont="1" applyFill="1" applyBorder="1" applyAlignment="1">
      <alignment vertical="center" wrapText="1"/>
    </xf>
    <xf numFmtId="0" fontId="0" fillId="0" borderId="0" xfId="0" applyAlignment="1">
      <alignment horizontal="center" vertical="center"/>
    </xf>
    <xf numFmtId="0" fontId="3" fillId="0" borderId="0" xfId="0" applyFont="1" applyAlignment="1">
      <alignment horizontal="center"/>
    </xf>
    <xf numFmtId="0" fontId="1" fillId="0" borderId="0" xfId="0" applyFont="1"/>
    <xf numFmtId="0" fontId="2" fillId="0" borderId="0" xfId="0" applyFont="1"/>
    <xf numFmtId="2" fontId="2" fillId="15"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15" xfId="0" applyFont="1" applyBorder="1" applyAlignment="1">
      <alignment horizontal="center" vertical="center"/>
    </xf>
    <xf numFmtId="0" fontId="0" fillId="13" borderId="15" xfId="0" applyFill="1" applyBorder="1" applyAlignment="1">
      <alignment horizontal="center" vertical="center" wrapText="1"/>
    </xf>
    <xf numFmtId="0" fontId="0" fillId="13" borderId="15" xfId="0" applyFill="1" applyBorder="1" applyAlignment="1">
      <alignment horizontal="center" vertical="center"/>
    </xf>
    <xf numFmtId="0" fontId="2" fillId="13" borderId="15" xfId="0" applyFont="1" applyFill="1" applyBorder="1" applyAlignment="1">
      <alignment horizontal="center" vertical="center"/>
    </xf>
    <xf numFmtId="164" fontId="0" fillId="13" borderId="15" xfId="0" applyNumberFormat="1" applyFill="1" applyBorder="1" applyAlignment="1">
      <alignment horizontal="center" vertical="center"/>
    </xf>
    <xf numFmtId="0" fontId="0" fillId="15" borderId="15" xfId="0" applyFill="1" applyBorder="1" applyAlignment="1">
      <alignment horizontal="center" vertical="center"/>
    </xf>
    <xf numFmtId="2" fontId="2" fillId="15" borderId="15" xfId="0" applyNumberFormat="1" applyFont="1" applyFill="1" applyBorder="1" applyAlignment="1">
      <alignment horizontal="center" vertical="center"/>
    </xf>
    <xf numFmtId="0" fontId="0" fillId="16" borderId="15" xfId="0" applyFill="1" applyBorder="1" applyAlignment="1">
      <alignment horizontal="center" vertical="center"/>
    </xf>
    <xf numFmtId="165" fontId="0" fillId="11" borderId="15" xfId="0" applyNumberFormat="1" applyFill="1" applyBorder="1" applyAlignment="1">
      <alignment horizontal="center" vertical="center"/>
    </xf>
    <xf numFmtId="0" fontId="1" fillId="0" borderId="15" xfId="0" applyFont="1" applyBorder="1" applyAlignment="1">
      <alignment horizontal="center" vertical="center"/>
    </xf>
    <xf numFmtId="0" fontId="3" fillId="0" borderId="53" xfId="0" applyFont="1" applyBorder="1" applyAlignment="1">
      <alignment horizontal="center" vertical="center"/>
    </xf>
    <xf numFmtId="0" fontId="0" fillId="0" borderId="52" xfId="0" applyBorder="1" applyAlignment="1">
      <alignment horizontal="center" vertical="center" wrapText="1"/>
    </xf>
    <xf numFmtId="0" fontId="10" fillId="0" borderId="53" xfId="0" applyFont="1" applyBorder="1" applyAlignment="1">
      <alignment horizontal="center" vertical="center" wrapText="1"/>
    </xf>
    <xf numFmtId="0" fontId="2" fillId="0" borderId="53" xfId="0" applyFont="1" applyBorder="1" applyAlignment="1">
      <alignment horizontal="center" vertical="center"/>
    </xf>
    <xf numFmtId="0" fontId="0" fillId="0" borderId="53" xfId="0" applyBorder="1" applyAlignment="1">
      <alignment horizontal="center" vertical="center"/>
    </xf>
    <xf numFmtId="0" fontId="4" fillId="0" borderId="52" xfId="0" applyFont="1" applyBorder="1" applyAlignment="1">
      <alignment horizontal="center" vertical="center" wrapText="1"/>
    </xf>
    <xf numFmtId="0" fontId="0" fillId="0" borderId="53" xfId="0" applyBorder="1" applyAlignment="1">
      <alignment horizontal="center" vertical="center" wrapText="1"/>
    </xf>
    <xf numFmtId="0" fontId="0" fillId="13" borderId="55" xfId="0" applyFill="1" applyBorder="1" applyAlignment="1">
      <alignment horizontal="center" vertical="center" wrapText="1"/>
    </xf>
    <xf numFmtId="0" fontId="0" fillId="13" borderId="55" xfId="0" applyFill="1" applyBorder="1" applyAlignment="1">
      <alignment horizontal="center" vertical="center"/>
    </xf>
    <xf numFmtId="0" fontId="2" fillId="13" borderId="55" xfId="0" applyFont="1" applyFill="1" applyBorder="1" applyAlignment="1">
      <alignment horizontal="center" vertical="center"/>
    </xf>
    <xf numFmtId="164" fontId="0" fillId="13" borderId="55" xfId="0" applyNumberFormat="1" applyFill="1" applyBorder="1" applyAlignment="1">
      <alignment horizontal="center" vertical="center"/>
    </xf>
    <xf numFmtId="0" fontId="0" fillId="15" borderId="55" xfId="0" applyFill="1" applyBorder="1" applyAlignment="1">
      <alignment horizontal="center" vertical="center"/>
    </xf>
    <xf numFmtId="2" fontId="2" fillId="15" borderId="55" xfId="0" applyNumberFormat="1" applyFont="1" applyFill="1" applyBorder="1" applyAlignment="1">
      <alignment horizontal="center" vertical="center"/>
    </xf>
    <xf numFmtId="0" fontId="0" fillId="16" borderId="55" xfId="0" applyFill="1" applyBorder="1" applyAlignment="1">
      <alignment horizontal="center" vertical="center"/>
    </xf>
    <xf numFmtId="0" fontId="2" fillId="16" borderId="55" xfId="0" applyFont="1" applyFill="1" applyBorder="1" applyAlignment="1">
      <alignment horizontal="center" vertical="center"/>
    </xf>
    <xf numFmtId="165" fontId="0" fillId="11" borderId="55" xfId="0" applyNumberFormat="1" applyFill="1" applyBorder="1" applyAlignment="1">
      <alignment horizontal="center" vertical="center"/>
    </xf>
    <xf numFmtId="0" fontId="1" fillId="0" borderId="55" xfId="0" applyFont="1" applyBorder="1" applyAlignment="1">
      <alignment horizontal="center" vertical="center"/>
    </xf>
    <xf numFmtId="0" fontId="5" fillId="2" borderId="58" xfId="0" applyFont="1" applyFill="1"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4" fillId="0" borderId="59" xfId="0" applyFont="1" applyBorder="1" applyAlignment="1">
      <alignment horizontal="center" vertical="center" wrapText="1"/>
    </xf>
    <xf numFmtId="0" fontId="0" fillId="0" borderId="62" xfId="0" applyBorder="1" applyAlignment="1">
      <alignment horizontal="center" vertical="center" wrapText="1"/>
    </xf>
    <xf numFmtId="0" fontId="3" fillId="12" borderId="58" xfId="0" applyFont="1" applyFill="1" applyBorder="1" applyAlignment="1">
      <alignment horizontal="center" vertical="center" wrapText="1"/>
    </xf>
    <xf numFmtId="0" fontId="0" fillId="0" borderId="53" xfId="0" applyBorder="1"/>
    <xf numFmtId="3" fontId="0" fillId="0" borderId="0" xfId="0" applyNumberFormat="1"/>
    <xf numFmtId="0" fontId="0" fillId="6" borderId="0" xfId="0" applyFill="1"/>
    <xf numFmtId="166" fontId="0" fillId="6" borderId="0" xfId="0" applyNumberFormat="1" applyFill="1"/>
    <xf numFmtId="0" fontId="2" fillId="6" borderId="0" xfId="0" applyFont="1" applyFill="1"/>
    <xf numFmtId="166" fontId="2" fillId="8" borderId="0" xfId="0" applyNumberFormat="1" applyFont="1" applyFill="1"/>
    <xf numFmtId="166" fontId="0" fillId="8" borderId="0" xfId="0" applyNumberFormat="1" applyFill="1"/>
    <xf numFmtId="166" fontId="2" fillId="10" borderId="0" xfId="0" applyNumberFormat="1" applyFont="1" applyFill="1"/>
    <xf numFmtId="166" fontId="0" fillId="10" borderId="0" xfId="0" applyNumberFormat="1" applyFill="1"/>
    <xf numFmtId="0" fontId="9" fillId="0" borderId="52" xfId="0" applyFont="1" applyBorder="1" applyAlignment="1">
      <alignment horizontal="center" vertical="center" wrapText="1"/>
    </xf>
    <xf numFmtId="0" fontId="0" fillId="0" borderId="58" xfId="0" applyBorder="1" applyAlignment="1">
      <alignment horizontal="center" vertical="center" wrapText="1"/>
    </xf>
    <xf numFmtId="0" fontId="3" fillId="0" borderId="55" xfId="0" applyFont="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2" fillId="0" borderId="0" xfId="0" applyFont="1" applyAlignment="1">
      <alignment horizontal="center"/>
    </xf>
    <xf numFmtId="0" fontId="0" fillId="6" borderId="9" xfId="0" applyFill="1" applyBorder="1" applyAlignment="1">
      <alignment vertical="center" wrapText="1"/>
    </xf>
    <xf numFmtId="0" fontId="0" fillId="6" borderId="36" xfId="0" applyFill="1" applyBorder="1" applyAlignment="1">
      <alignment vertical="center" wrapText="1"/>
    </xf>
    <xf numFmtId="0" fontId="0" fillId="6" borderId="37" xfId="0" applyFill="1" applyBorder="1" applyAlignment="1">
      <alignment vertical="center" wrapText="1"/>
    </xf>
    <xf numFmtId="0" fontId="1" fillId="7" borderId="8" xfId="0" applyFont="1" applyFill="1" applyBorder="1" applyAlignment="1">
      <alignment vertical="center" wrapText="1"/>
    </xf>
    <xf numFmtId="0" fontId="1" fillId="7" borderId="10" xfId="0" applyFont="1" applyFill="1" applyBorder="1" applyAlignment="1">
      <alignment vertical="center" wrapText="1"/>
    </xf>
    <xf numFmtId="0" fontId="0" fillId="0" borderId="8" xfId="0" applyBorder="1" applyAlignment="1">
      <alignment vertical="center" wrapText="1"/>
    </xf>
    <xf numFmtId="0" fontId="0" fillId="0" borderId="10" xfId="0" applyBorder="1" applyAlignment="1">
      <alignment vertical="center" wrapText="1"/>
    </xf>
    <xf numFmtId="0" fontId="0" fillId="7" borderId="13" xfId="0" applyFill="1" applyBorder="1" applyAlignment="1">
      <alignment vertical="center" wrapText="1"/>
    </xf>
    <xf numFmtId="0" fontId="0" fillId="7" borderId="14" xfId="0" applyFill="1" applyBorder="1" applyAlignment="1">
      <alignment vertical="center" wrapText="1"/>
    </xf>
    <xf numFmtId="0" fontId="0" fillId="7" borderId="15" xfId="0" applyFill="1" applyBorder="1" applyAlignment="1">
      <alignment vertical="center" wrapText="1"/>
    </xf>
    <xf numFmtId="0" fontId="3" fillId="17" borderId="13" xfId="0" applyFont="1" applyFill="1" applyBorder="1" applyAlignment="1">
      <alignment horizontal="center" vertical="center" wrapText="1"/>
    </xf>
    <xf numFmtId="0" fontId="3" fillId="17" borderId="14"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0" fillId="17" borderId="13" xfId="0" applyFill="1" applyBorder="1" applyAlignment="1">
      <alignment vertical="center" wrapText="1"/>
    </xf>
    <xf numFmtId="0" fontId="0" fillId="17" borderId="14" xfId="0" applyFill="1" applyBorder="1" applyAlignment="1">
      <alignment vertical="center" wrapText="1"/>
    </xf>
    <xf numFmtId="0" fontId="0" fillId="17" borderId="15" xfId="0" applyFill="1" applyBorder="1" applyAlignment="1">
      <alignment vertical="center" wrapText="1"/>
    </xf>
    <xf numFmtId="0" fontId="0" fillId="10" borderId="13" xfId="0" applyFill="1" applyBorder="1" applyAlignment="1">
      <alignment vertical="center" wrapText="1"/>
    </xf>
    <xf numFmtId="0" fontId="0" fillId="10" borderId="14" xfId="0" applyFill="1" applyBorder="1" applyAlignment="1">
      <alignment vertical="center" wrapText="1"/>
    </xf>
    <xf numFmtId="0" fontId="0" fillId="10" borderId="15" xfId="0" applyFill="1" applyBorder="1" applyAlignment="1">
      <alignment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23"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2" fillId="0" borderId="13" xfId="0" applyFont="1" applyBorder="1" applyAlignment="1">
      <alignment horizontal="center" vertical="center"/>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13" borderId="28" xfId="0" applyFont="1" applyFill="1" applyBorder="1" applyAlignment="1">
      <alignment horizontal="center"/>
    </xf>
    <xf numFmtId="0" fontId="2" fillId="13" borderId="29" xfId="0" applyFont="1" applyFill="1" applyBorder="1" applyAlignment="1">
      <alignment horizontal="center"/>
    </xf>
    <xf numFmtId="0" fontId="2" fillId="13" borderId="30" xfId="0" applyFont="1" applyFill="1" applyBorder="1" applyAlignment="1">
      <alignment horizontal="center"/>
    </xf>
    <xf numFmtId="0" fontId="2" fillId="15" borderId="28" xfId="0" applyFont="1" applyFill="1" applyBorder="1" applyAlignment="1">
      <alignment horizontal="center"/>
    </xf>
    <xf numFmtId="0" fontId="2" fillId="15" borderId="29" xfId="0" applyFont="1" applyFill="1" applyBorder="1" applyAlignment="1">
      <alignment horizontal="center"/>
    </xf>
    <xf numFmtId="0" fontId="2" fillId="15" borderId="30" xfId="0" applyFont="1" applyFill="1" applyBorder="1" applyAlignment="1">
      <alignment horizontal="center"/>
    </xf>
    <xf numFmtId="0" fontId="0" fillId="0" borderId="42" xfId="0" applyBorder="1" applyAlignment="1">
      <alignment vertical="center" wrapText="1"/>
    </xf>
    <xf numFmtId="0" fontId="0" fillId="0" borderId="43" xfId="0" applyBorder="1" applyAlignment="1">
      <alignment vertical="center" wrapText="1"/>
    </xf>
    <xf numFmtId="0" fontId="0" fillId="0" borderId="38" xfId="0"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44" xfId="0" applyBorder="1" applyAlignment="1">
      <alignment vertical="center" wrapText="1"/>
    </xf>
    <xf numFmtId="0" fontId="0" fillId="0" borderId="5" xfId="0" applyBorder="1" applyAlignment="1">
      <alignment vertical="center" wrapText="1"/>
    </xf>
    <xf numFmtId="0" fontId="2" fillId="11" borderId="38" xfId="0" applyFont="1" applyFill="1" applyBorder="1" applyAlignment="1">
      <alignment horizontal="center" vertical="center" wrapText="1"/>
    </xf>
    <xf numFmtId="0" fontId="2" fillId="11" borderId="0" xfId="0" applyFont="1" applyFill="1" applyAlignment="1">
      <alignment horizontal="center" vertical="center" wrapText="1"/>
    </xf>
    <xf numFmtId="0" fontId="2" fillId="16" borderId="28" xfId="0" applyFont="1" applyFill="1" applyBorder="1" applyAlignment="1">
      <alignment horizontal="center"/>
    </xf>
    <xf numFmtId="0" fontId="2" fillId="16" borderId="29" xfId="0" applyFont="1" applyFill="1" applyBorder="1" applyAlignment="1">
      <alignment horizontal="center"/>
    </xf>
    <xf numFmtId="0" fontId="2" fillId="16" borderId="30" xfId="0" applyFont="1" applyFill="1" applyBorder="1" applyAlignment="1">
      <alignment horizontal="center"/>
    </xf>
    <xf numFmtId="0" fontId="2" fillId="0" borderId="44" xfId="0" applyFont="1" applyBorder="1" applyAlignment="1">
      <alignment horizontal="center"/>
    </xf>
    <xf numFmtId="0" fontId="2" fillId="0" borderId="6" xfId="0" applyFont="1" applyBorder="1" applyAlignment="1">
      <alignment horizontal="center"/>
    </xf>
    <xf numFmtId="0" fontId="2" fillId="0" borderId="46"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0" fontId="3" fillId="0" borderId="54" xfId="0" applyFont="1" applyBorder="1" applyAlignment="1">
      <alignment horizontal="center" vertical="center" wrapText="1"/>
    </xf>
    <xf numFmtId="0" fontId="3" fillId="0" borderId="0" xfId="0" applyFont="1" applyAlignment="1">
      <alignment horizontal="center" vertical="center" wrapText="1"/>
    </xf>
    <xf numFmtId="0" fontId="3" fillId="0" borderId="53" xfId="0" applyFont="1" applyBorder="1" applyAlignment="1">
      <alignment horizontal="center" vertical="center" wrapText="1"/>
    </xf>
    <xf numFmtId="0" fontId="0" fillId="15" borderId="56" xfId="0" applyFill="1" applyBorder="1" applyAlignment="1">
      <alignment horizontal="center" vertical="center"/>
    </xf>
    <xf numFmtId="0" fontId="0" fillId="15" borderId="57" xfId="0" applyFill="1" applyBorder="1" applyAlignment="1">
      <alignment horizontal="center" vertical="center"/>
    </xf>
    <xf numFmtId="0" fontId="0" fillId="15" borderId="8" xfId="0" applyFill="1" applyBorder="1" applyAlignment="1">
      <alignment horizontal="center" vertical="center"/>
    </xf>
    <xf numFmtId="0" fontId="0" fillId="15" borderId="10" xfId="0" applyFill="1" applyBorder="1" applyAlignment="1">
      <alignment horizontal="center" vertical="center"/>
    </xf>
    <xf numFmtId="0" fontId="2" fillId="7" borderId="13" xfId="0" applyFont="1" applyFill="1" applyBorder="1" applyAlignment="1">
      <alignment vertical="center" wrapText="1"/>
    </xf>
    <xf numFmtId="0" fontId="2" fillId="7" borderId="14" xfId="0" applyFont="1" applyFill="1" applyBorder="1" applyAlignment="1">
      <alignment vertical="center" wrapText="1"/>
    </xf>
    <xf numFmtId="0" fontId="2" fillId="7" borderId="62" xfId="0" applyFont="1" applyFill="1" applyBorder="1" applyAlignment="1">
      <alignment vertical="center" wrapText="1"/>
    </xf>
    <xf numFmtId="0" fontId="0" fillId="15" borderId="20" xfId="0" applyFill="1" applyBorder="1" applyAlignment="1">
      <alignment horizontal="center" vertical="center"/>
    </xf>
    <xf numFmtId="0" fontId="0" fillId="15" borderId="22" xfId="0" applyFill="1" applyBorder="1" applyAlignment="1">
      <alignment horizontal="center" vertical="center"/>
    </xf>
    <xf numFmtId="0" fontId="0" fillId="0" borderId="52" xfId="0" applyBorder="1" applyAlignment="1">
      <alignment horizontal="center" vertical="center" wrapText="1"/>
    </xf>
    <xf numFmtId="0" fontId="0" fillId="0" borderId="52" xfId="0" applyBorder="1" applyAlignment="1">
      <alignment horizontal="center" vertical="center"/>
    </xf>
    <xf numFmtId="0" fontId="2" fillId="17" borderId="13" xfId="0" applyFont="1" applyFill="1" applyBorder="1" applyAlignment="1">
      <alignment vertical="center" wrapText="1"/>
    </xf>
    <xf numFmtId="0" fontId="2" fillId="17" borderId="14" xfId="0" applyFont="1" applyFill="1" applyBorder="1" applyAlignment="1">
      <alignment vertical="center" wrapText="1"/>
    </xf>
    <xf numFmtId="0" fontId="2" fillId="17" borderId="62" xfId="0" applyFont="1" applyFill="1" applyBorder="1" applyAlignment="1">
      <alignment vertical="center" wrapText="1"/>
    </xf>
    <xf numFmtId="0" fontId="0" fillId="10" borderId="62" xfId="0" applyFill="1" applyBorder="1" applyAlignment="1">
      <alignment vertical="center" wrapText="1"/>
    </xf>
    <xf numFmtId="0" fontId="3" fillId="0" borderId="0" xfId="0" applyFont="1" applyAlignment="1">
      <alignment horizontal="center"/>
    </xf>
    <xf numFmtId="0" fontId="3" fillId="0" borderId="53" xfId="0" applyFont="1" applyBorder="1" applyAlignment="1">
      <alignment horizontal="center"/>
    </xf>
    <xf numFmtId="0" fontId="2" fillId="6" borderId="9" xfId="0" applyFont="1" applyFill="1" applyBorder="1" applyAlignment="1">
      <alignment vertical="center" wrapText="1"/>
    </xf>
    <xf numFmtId="0" fontId="2" fillId="6" borderId="36" xfId="0" applyFont="1" applyFill="1" applyBorder="1" applyAlignment="1">
      <alignment vertical="center" wrapText="1"/>
    </xf>
    <xf numFmtId="0" fontId="2" fillId="6" borderId="61" xfId="0" applyFont="1" applyFill="1" applyBorder="1" applyAlignment="1">
      <alignment vertical="center" wrapText="1"/>
    </xf>
    <xf numFmtId="0" fontId="2" fillId="0" borderId="0" xfId="0" applyFont="1" applyAlignment="1">
      <alignment horizontal="center" vertical="center"/>
    </xf>
  </cellXfs>
  <cellStyles count="3">
    <cellStyle name="Normal" xfId="0" builtinId="0"/>
    <cellStyle name="Normal 2" xfId="1" xr:uid="{00000000-0005-0000-0000-000002000000}"/>
    <cellStyle name="Percent" xfId="2" builtinId="5"/>
  </cellStyles>
  <dxfs count="24">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Risk Rating Proportions</a:t>
            </a:r>
          </a:p>
        </c:rich>
      </c:tx>
      <c:layout>
        <c:manualLayout>
          <c:xMode val="edge"/>
          <c:yMode val="edge"/>
          <c:x val="0.31915266841644796"/>
          <c:y val="2.278423331054910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'All Risk Ratings'!$E$2</c:f>
              <c:strCache>
                <c:ptCount val="1"/>
                <c:pt idx="0">
                  <c:v>Frequency</c:v>
                </c:pt>
              </c:strCache>
            </c:strRef>
          </c:tx>
          <c:spPr>
            <a:solidFill>
              <a:schemeClr val="accent1"/>
            </a:solidFill>
            <a:ln w="12700">
              <a:solidFill>
                <a:schemeClr val="tx1"/>
              </a:solidFill>
            </a:ln>
            <a:effectLst/>
          </c:spPr>
          <c:invertIfNegative val="0"/>
          <c:dPt>
            <c:idx val="0"/>
            <c:invertIfNegative val="0"/>
            <c:bubble3D val="0"/>
            <c:spPr>
              <a:solidFill>
                <a:srgbClr val="FF0000"/>
              </a:solidFill>
              <a:ln w="12700">
                <a:solidFill>
                  <a:schemeClr val="tx1"/>
                </a:solidFill>
              </a:ln>
              <a:effectLst/>
            </c:spPr>
            <c:extLst>
              <c:ext xmlns:c16="http://schemas.microsoft.com/office/drawing/2014/chart" uri="{C3380CC4-5D6E-409C-BE32-E72D297353CC}">
                <c16:uniqueId val="{00000001-9DC4-47A6-842B-5E65D9C94094}"/>
              </c:ext>
            </c:extLst>
          </c:dPt>
          <c:dPt>
            <c:idx val="1"/>
            <c:invertIfNegative val="0"/>
            <c:bubble3D val="0"/>
            <c:spPr>
              <a:solidFill>
                <a:srgbClr val="FFFF00"/>
              </a:solidFill>
              <a:ln w="12700">
                <a:solidFill>
                  <a:schemeClr val="tx1"/>
                </a:solidFill>
              </a:ln>
              <a:effectLst/>
            </c:spPr>
            <c:extLst>
              <c:ext xmlns:c16="http://schemas.microsoft.com/office/drawing/2014/chart" uri="{C3380CC4-5D6E-409C-BE32-E72D297353CC}">
                <c16:uniqueId val="{00000003-9DC4-47A6-842B-5E65D9C94094}"/>
              </c:ext>
            </c:extLst>
          </c:dPt>
          <c:dPt>
            <c:idx val="2"/>
            <c:invertIfNegative val="0"/>
            <c:bubble3D val="0"/>
            <c:spPr>
              <a:solidFill>
                <a:srgbClr val="92D050"/>
              </a:solidFill>
              <a:ln w="12700">
                <a:solidFill>
                  <a:schemeClr val="tx1"/>
                </a:solidFill>
              </a:ln>
              <a:effectLst/>
            </c:spPr>
            <c:extLst>
              <c:ext xmlns:c16="http://schemas.microsoft.com/office/drawing/2014/chart" uri="{C3380CC4-5D6E-409C-BE32-E72D297353CC}">
                <c16:uniqueId val="{00000005-9DC4-47A6-842B-5E65D9C94094}"/>
              </c:ext>
            </c:extLst>
          </c:dPt>
          <c:dLbls>
            <c:dLbl>
              <c:idx val="0"/>
              <c:layout>
                <c:manualLayout>
                  <c:x val="2.7777777777777779E-3"/>
                  <c:y val="0.29629629629629628"/>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1-9DC4-47A6-842B-5E65D9C94094}"/>
                </c:ext>
              </c:extLst>
            </c:dLbl>
            <c:dLbl>
              <c:idx val="1"/>
              <c:layout>
                <c:manualLayout>
                  <c:x val="0"/>
                  <c:y val="0.31018518518518517"/>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3-9DC4-47A6-842B-5E65D9C94094}"/>
                </c:ext>
              </c:extLst>
            </c:dLbl>
            <c:dLbl>
              <c:idx val="2"/>
              <c:layout>
                <c:manualLayout>
                  <c:x val="-5.5555555555555558E-3"/>
                  <c:y val="0.2638888888888889"/>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5-9DC4-47A6-842B-5E65D9C940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'All Risk Ratings'!$D$3:$D$5</c:f>
              <c:strCache>
                <c:ptCount val="3"/>
                <c:pt idx="0">
                  <c:v>R ≤ 2.03</c:v>
                </c:pt>
                <c:pt idx="1">
                  <c:v>2.03 &lt; R ≤ 2.35</c:v>
                </c:pt>
                <c:pt idx="2">
                  <c:v>R &gt; 2.35</c:v>
                </c:pt>
              </c:strCache>
            </c:strRef>
          </c:cat>
          <c:val>
            <c:numRef>
              <c:f>'All Risk Ratings'!$E$3:$E$5</c:f>
              <c:numCache>
                <c:formatCode>0%</c:formatCode>
                <c:ptCount val="3"/>
                <c:pt idx="0">
                  <c:v>0.32653061224489793</c:v>
                </c:pt>
                <c:pt idx="1">
                  <c:v>0.34693877551020408</c:v>
                </c:pt>
                <c:pt idx="2">
                  <c:v>0.32653061224489793</c:v>
                </c:pt>
              </c:numCache>
            </c:numRef>
          </c:val>
          <c:extLst>
            <c:ext xmlns:c15="http://schemas.microsoft.com/office/drawing/2012/chart" uri="{02D57815-91ED-43cb-92C2-25804820EDAC}">
              <c15:datalabelsRange>
                <c15:f>'All Results'!#REF!</c15:f>
              </c15:datalabelsRange>
            </c:ext>
            <c:ext xmlns:c16="http://schemas.microsoft.com/office/drawing/2014/chart" uri="{C3380CC4-5D6E-409C-BE32-E72D297353CC}">
              <c16:uniqueId val="{00000006-9DC4-47A6-842B-5E65D9C94094}"/>
            </c:ext>
          </c:extLst>
        </c:ser>
        <c:dLbls>
          <c:showLegendKey val="0"/>
          <c:showVal val="0"/>
          <c:showCatName val="0"/>
          <c:showSerName val="0"/>
          <c:showPercent val="0"/>
          <c:showBubbleSize val="0"/>
        </c:dLbls>
        <c:gapWidth val="35"/>
        <c:overlap val="-27"/>
        <c:axId val="66464512"/>
        <c:axId val="2100240928"/>
      </c:barChart>
      <c:catAx>
        <c:axId val="66464512"/>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0240928"/>
        <c:crosses val="autoZero"/>
        <c:auto val="1"/>
        <c:lblAlgn val="ctr"/>
        <c:lblOffset val="100"/>
        <c:noMultiLvlLbl val="0"/>
      </c:catAx>
      <c:valAx>
        <c:axId val="2100240928"/>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464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3537</xdr:colOff>
      <xdr:row>1</xdr:row>
      <xdr:rowOff>169272</xdr:rowOff>
    </xdr:from>
    <xdr:to>
      <xdr:col>14</xdr:col>
      <xdr:colOff>21498</xdr:colOff>
      <xdr:row>15</xdr:row>
      <xdr:rowOff>40822</xdr:rowOff>
    </xdr:to>
    <xdr:sp macro="" textlink="">
      <xdr:nvSpPr>
        <xdr:cNvPr id="2" name="TextBox 1">
          <a:extLst>
            <a:ext uri="{FF2B5EF4-FFF2-40B4-BE49-F238E27FC236}">
              <a16:creationId xmlns:a16="http://schemas.microsoft.com/office/drawing/2014/main" id="{C2967339-EC2C-4974-893C-BB47320B141D}"/>
            </a:ext>
          </a:extLst>
        </xdr:cNvPr>
        <xdr:cNvSpPr txBox="1"/>
      </xdr:nvSpPr>
      <xdr:spPr>
        <a:xfrm>
          <a:off x="3537" y="346165"/>
          <a:ext cx="9148354" cy="109613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Stock Risk Ratings</a:t>
          </a:r>
        </a:p>
        <a:p>
          <a:endParaRPr lang="en-US" sz="1400"/>
        </a:p>
        <a:p>
          <a:r>
            <a:rPr lang="en-US" sz="1400"/>
            <a:t>As implemented by the Acceptable Biological Catch</a:t>
          </a:r>
          <a:r>
            <a:rPr lang="en-US" sz="1400" baseline="0"/>
            <a:t> (ABC) Control Rule Amendment (2022), this file is used to develop stock risk ratings for use in the ABC Control Rule for South atlantic snapper grouper species, dolphin,  wahoo, and golden crab.  The South Atlantic Fishery Management Council (Council), with advice from the Scientific and Statistical Committee (SSC) and Advisory Panels (AP), will evaluate management risk for each stock through a stock risk rating.  Stock risk ratings include information from the formerly used in the Productivity and Susceptibility Analysis (PSA) (SAFMC 2011), but also incorporate socio-economic (included in Human Dimension Attributes) and environmental attributes.  Ratings will be revisited as new information becomes available (for example, a new stock assessment).  The Council will then specify the risk rating as low, medium, or high risk of overfishing.</a:t>
          </a:r>
        </a:p>
        <a:p>
          <a:endParaRPr lang="en-US" sz="1400" baseline="0"/>
        </a:p>
        <a:p>
          <a:r>
            <a:rPr lang="en-US" sz="1400" baseline="0"/>
            <a:t>A higher risk of overfishing would indicate that risk tolerance (the accepted probability of overfishing, or P*) should be lower.  In the context of this process, "risk of overfishing/overexploitation" does not solely refer to a numerical exceedence of the overfishing limit estimated by a stock assessment and used in the management process.  Rather, it refers to the stock's ability to be resistant to negative biological effects associated with relatively high fishing mortality, such as reduced biomass, contracted age and size structure, and lower recruitment.  Stocks that are less resistant to such effects and would require a longer time to rebuild if such effects occurred would be considered to be at a higher risk of overexploitation.</a:t>
          </a:r>
        </a:p>
        <a:p>
          <a:endParaRPr lang="en-US" sz="1400" baseline="0"/>
        </a:p>
        <a:p>
          <a:r>
            <a:rPr lang="en-US" sz="1400" baseline="0"/>
            <a:t>The table at right describes each of the attributes and the criteria for assigning a score to that attribute.  Using this scoring system, higher scores are associated with higher risk tolerance, and lower scores indicate higher risk of overexploitation with respect to that attribute.  These stock risk ratings, along with relative biomass levels, will be used to determine the Council’s default risk tolerance (represented through P*) for each stock.</a:t>
          </a:r>
        </a:p>
        <a:p>
          <a:endParaRPr lang="en-US" sz="1400" baseline="0"/>
        </a:p>
        <a:p>
          <a:r>
            <a:rPr lang="en-US" sz="1400" i="0" baseline="0"/>
            <a:t>The Biological attributes describe biological characteristics of the species and will only change when new science is conducted that uncovers new information about the stock. Using current attributes, greater risk of overexploitation (and thus, lower recommended risk tolerance) is associated with low levels of natural mortality and older ages at maturity.</a:t>
          </a:r>
        </a:p>
        <a:p>
          <a:endParaRPr lang="en-US" sz="1400" baseline="0"/>
        </a:p>
        <a:p>
          <a:r>
            <a:rPr lang="en-US" sz="1400" baseline="0"/>
            <a:t>The Human Dimension attributes include factors dealing with management, value, desirability, and social issues. Greater risk of overexploitation is associated with regular exceedance of the total annual catch limit (ACL), relatively high proportions of removals as dead discards, high commercial value, high recreational desirability, and social concerns.  Scoring of these attributes considers the long-term effects rather than the short-term effects. </a:t>
          </a:r>
        </a:p>
        <a:p>
          <a:endParaRPr lang="en-US" sz="1400" baseline="0"/>
        </a:p>
        <a:p>
          <a:r>
            <a:rPr lang="en-US" sz="1400" baseline="0"/>
            <a:t>Finally, there are Environmental Attributes, including Ecosystem Importance, Climate Change, and Other Environmental Variables. These are important, but we unfortunately have little information for most species on these topics. Therefore, these attributes work as switches. They are either off (no score is present), or on (they are given a score of 1, indicating high risk of overexploitation). They act to alert the Council to a stock that is of particular importance to the ecosystem, has an issue with climate change that is affecting its population in a way that may make it more vulnerable to overfishing, or some other environmental variable that is causing the stock to be more prone to overfishing. Therefore, they would tell the Council to consider being less risk tolerant with these species.</a:t>
          </a:r>
        </a:p>
        <a:p>
          <a:endParaRPr lang="en-US" sz="1400" baseline="0"/>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t>For each category score and the final Risk score, the minimum value is 1 and the maximum value is 3. The final scores for each of the attribute categories are calculated by  taking the average of each of the individual attribute scores. If an attribute is unscored, it is not included in the average for the category. </a:t>
          </a:r>
          <a:r>
            <a:rPr kumimoji="0" lang="en-US" sz="1400" b="0" i="0" u="none" strike="noStrike" kern="0" cap="none" spc="0" normalizeH="0" baseline="0" noProof="0">
              <a:ln>
                <a:noFill/>
              </a:ln>
              <a:solidFill>
                <a:prstClr val="black"/>
              </a:solidFill>
              <a:effectLst/>
              <a:uLnTx/>
              <a:uFillTx/>
              <a:latin typeface="+mn-lt"/>
              <a:ea typeface="+mn-ea"/>
              <a:cs typeface="+mn-cs"/>
            </a:rPr>
            <a:t>The final Risk score is the average of the category scores.</a:t>
          </a:r>
          <a:endParaRPr kumimoji="0" lang="en-US" sz="1100" b="0" i="0" u="none" strike="noStrike" kern="0" cap="none" spc="0" normalizeH="0" baseline="0" noProof="0">
            <a:ln>
              <a:noFill/>
            </a:ln>
            <a:solidFill>
              <a:schemeClr val="dk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chemeClr val="dk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t>To determine the Stock Risk Rating that will be used in estimating default P* levels for the ABC Control Rule, Final Risk scores for all of the scored stocks are divided into (approximately) equal thirds.  The bottom third are considered High Risk, the middle third are considered Medium Risk, and the upper third are considered Low Risk.  A histogram describing this scoring system is  included in the 'All Results' tab.</a:t>
          </a:r>
        </a:p>
        <a:p>
          <a:pPr marL="0" marR="0" lvl="0" indent="0" defTabSz="914400" eaLnBrk="1" fontAlgn="auto" latinLnBrk="0" hangingPunct="1">
            <a:lnSpc>
              <a:spcPct val="100000"/>
            </a:lnSpc>
            <a:spcBef>
              <a:spcPts val="0"/>
            </a:spcBef>
            <a:spcAft>
              <a:spcPts val="0"/>
            </a:spcAft>
            <a:buClrTx/>
            <a:buSzTx/>
            <a:buFontTx/>
            <a:buNone/>
            <a:tabLst/>
            <a:defRPr/>
          </a:pPr>
          <a:endParaRPr lang="en-US" sz="14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0</xdr:row>
      <xdr:rowOff>0</xdr:rowOff>
    </xdr:from>
    <xdr:to>
      <xdr:col>14</xdr:col>
      <xdr:colOff>304800</xdr:colOff>
      <xdr:row>13</xdr:row>
      <xdr:rowOff>142875</xdr:rowOff>
    </xdr:to>
    <xdr:graphicFrame macro="">
      <xdr:nvGraphicFramePr>
        <xdr:cNvPr id="3" name="Chart 2">
          <a:extLst>
            <a:ext uri="{FF2B5EF4-FFF2-40B4-BE49-F238E27FC236}">
              <a16:creationId xmlns:a16="http://schemas.microsoft.com/office/drawing/2014/main" id="{724BEBC3-42A7-49C3-B7D5-072B49B4EE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T59"/>
  <sheetViews>
    <sheetView zoomScale="70" zoomScaleNormal="70" workbookViewId="0">
      <selection activeCell="Q8" sqref="Q8"/>
    </sheetView>
  </sheetViews>
  <sheetFormatPr defaultRowHeight="14.4" x14ac:dyDescent="0.3"/>
  <cols>
    <col min="1" max="1" width="11.33203125" customWidth="1"/>
    <col min="2" max="2" width="10" customWidth="1"/>
    <col min="3" max="3" width="13.44140625" customWidth="1"/>
    <col min="4" max="4" width="9" customWidth="1"/>
    <col min="10" max="10" width="8.88671875" customWidth="1"/>
    <col min="16" max="16" width="35.44140625" customWidth="1"/>
    <col min="17" max="17" width="75.5546875" customWidth="1"/>
    <col min="18" max="18" width="26.88671875" customWidth="1"/>
    <col min="19" max="19" width="24.21875" customWidth="1"/>
    <col min="20" max="20" width="24.5546875" customWidth="1"/>
  </cols>
  <sheetData>
    <row r="1" spans="16:20" x14ac:dyDescent="0.3">
      <c r="P1" s="196" t="s">
        <v>114</v>
      </c>
      <c r="Q1" s="196"/>
      <c r="R1" s="196"/>
      <c r="S1" s="196"/>
      <c r="T1" s="196"/>
    </row>
    <row r="2" spans="16:20" x14ac:dyDescent="0.3">
      <c r="P2" s="61"/>
      <c r="Q2" s="61"/>
      <c r="R2" s="196" t="s">
        <v>109</v>
      </c>
      <c r="S2" s="196"/>
      <c r="T2" s="196"/>
    </row>
    <row r="3" spans="16:20" ht="22.2" customHeight="1" x14ac:dyDescent="0.3">
      <c r="P3" s="36" t="s">
        <v>74</v>
      </c>
      <c r="Q3" s="44" t="s">
        <v>142</v>
      </c>
      <c r="R3" s="45" t="s">
        <v>106</v>
      </c>
      <c r="S3" s="48" t="s">
        <v>128</v>
      </c>
      <c r="T3" s="46" t="s">
        <v>107</v>
      </c>
    </row>
    <row r="4" spans="16:20" ht="46.2" customHeight="1" x14ac:dyDescent="0.3">
      <c r="P4" s="37" t="s">
        <v>3</v>
      </c>
      <c r="Q4" s="6" t="s">
        <v>132</v>
      </c>
      <c r="R4" s="2" t="s">
        <v>1</v>
      </c>
      <c r="S4" s="2" t="s">
        <v>4</v>
      </c>
      <c r="T4" s="2" t="s">
        <v>0</v>
      </c>
    </row>
    <row r="5" spans="16:20" ht="49.8" customHeight="1" x14ac:dyDescent="0.3">
      <c r="P5" s="37" t="s">
        <v>5</v>
      </c>
      <c r="Q5" s="6" t="s">
        <v>133</v>
      </c>
      <c r="R5" s="2" t="s">
        <v>8</v>
      </c>
      <c r="S5" s="2" t="s">
        <v>7</v>
      </c>
      <c r="T5" s="2" t="s">
        <v>6</v>
      </c>
    </row>
    <row r="6" spans="16:20" ht="37.200000000000003" customHeight="1" thickBot="1" x14ac:dyDescent="0.35">
      <c r="P6" s="38" t="s">
        <v>76</v>
      </c>
      <c r="Q6" s="197" t="s">
        <v>131</v>
      </c>
      <c r="R6" s="198"/>
      <c r="S6" s="198"/>
      <c r="T6" s="199"/>
    </row>
    <row r="7" spans="16:20" ht="25.95" customHeight="1" x14ac:dyDescent="0.3">
      <c r="P7" s="39" t="s">
        <v>78</v>
      </c>
      <c r="Q7" s="47" t="s">
        <v>142</v>
      </c>
      <c r="R7" s="45" t="s">
        <v>106</v>
      </c>
      <c r="S7" s="48" t="s">
        <v>128</v>
      </c>
      <c r="T7" s="46" t="s">
        <v>107</v>
      </c>
    </row>
    <row r="8" spans="16:20" ht="152.4" customHeight="1" x14ac:dyDescent="0.3">
      <c r="P8" s="40" t="s">
        <v>63</v>
      </c>
      <c r="Q8" s="5" t="s">
        <v>134</v>
      </c>
      <c r="R8" s="3" t="s">
        <v>69</v>
      </c>
      <c r="S8" s="3" t="s">
        <v>73</v>
      </c>
      <c r="T8" s="3" t="s">
        <v>68</v>
      </c>
    </row>
    <row r="9" spans="16:20" ht="94.2" customHeight="1" x14ac:dyDescent="0.3">
      <c r="P9" s="40" t="s">
        <v>64</v>
      </c>
      <c r="Q9" s="4" t="s">
        <v>135</v>
      </c>
      <c r="R9" s="2" t="s">
        <v>71</v>
      </c>
      <c r="S9" s="2" t="s">
        <v>77</v>
      </c>
      <c r="T9" s="2" t="s">
        <v>70</v>
      </c>
    </row>
    <row r="10" spans="16:20" ht="51.75" customHeight="1" x14ac:dyDescent="0.3">
      <c r="P10" s="200" t="s">
        <v>80</v>
      </c>
      <c r="Q10" s="202" t="s">
        <v>136</v>
      </c>
      <c r="R10" s="2" t="s">
        <v>93</v>
      </c>
      <c r="S10" s="2" t="s">
        <v>101</v>
      </c>
      <c r="T10" s="2" t="s">
        <v>100</v>
      </c>
    </row>
    <row r="11" spans="16:20" ht="45" customHeight="1" x14ac:dyDescent="0.3">
      <c r="P11" s="201"/>
      <c r="Q11" s="203"/>
      <c r="R11" s="2" t="s">
        <v>102</v>
      </c>
      <c r="S11" s="2" t="s">
        <v>103</v>
      </c>
      <c r="T11" s="2" t="s">
        <v>104</v>
      </c>
    </row>
    <row r="12" spans="16:20" ht="124.8" customHeight="1" x14ac:dyDescent="0.3">
      <c r="P12" s="40" t="s">
        <v>13</v>
      </c>
      <c r="Q12" s="1" t="s">
        <v>137</v>
      </c>
      <c r="R12" s="2" t="s">
        <v>98</v>
      </c>
      <c r="S12" s="2" t="s">
        <v>97</v>
      </c>
      <c r="T12" s="2" t="s">
        <v>96</v>
      </c>
    </row>
    <row r="13" spans="16:20" ht="153" customHeight="1" x14ac:dyDescent="0.3">
      <c r="P13" s="41" t="s">
        <v>65</v>
      </c>
      <c r="Q13" s="4" t="s">
        <v>138</v>
      </c>
      <c r="R13" s="2" t="s">
        <v>108</v>
      </c>
      <c r="S13" s="2" t="s">
        <v>108</v>
      </c>
      <c r="T13" s="2" t="s">
        <v>108</v>
      </c>
    </row>
    <row r="14" spans="16:20" ht="35.4" customHeight="1" x14ac:dyDescent="0.3">
      <c r="P14" s="42" t="s">
        <v>79</v>
      </c>
      <c r="Q14" s="204" t="s">
        <v>131</v>
      </c>
      <c r="R14" s="205"/>
      <c r="S14" s="205"/>
      <c r="T14" s="206"/>
    </row>
    <row r="15" spans="16:20" ht="22.95" customHeight="1" x14ac:dyDescent="0.3">
      <c r="P15" s="58" t="s">
        <v>94</v>
      </c>
      <c r="Q15" s="207" t="s">
        <v>142</v>
      </c>
      <c r="R15" s="208"/>
      <c r="S15" s="209"/>
      <c r="T15" s="49" t="s">
        <v>106</v>
      </c>
    </row>
    <row r="16" spans="16:20" ht="78.599999999999994" customHeight="1" x14ac:dyDescent="0.3">
      <c r="P16" s="59" t="s">
        <v>67</v>
      </c>
      <c r="Q16" s="4" t="s">
        <v>139</v>
      </c>
      <c r="R16" s="216" t="s">
        <v>144</v>
      </c>
      <c r="S16" s="217"/>
      <c r="T16" s="91" t="s">
        <v>145</v>
      </c>
    </row>
    <row r="17" spans="16:20" ht="93.6" customHeight="1" x14ac:dyDescent="0.3">
      <c r="P17" s="59" t="s">
        <v>66</v>
      </c>
      <c r="Q17" s="4" t="s">
        <v>140</v>
      </c>
      <c r="R17" s="218"/>
      <c r="S17" s="219"/>
      <c r="T17" s="91" t="s">
        <v>72</v>
      </c>
    </row>
    <row r="18" spans="16:20" ht="72" customHeight="1" x14ac:dyDescent="0.3">
      <c r="P18" s="59" t="s">
        <v>123</v>
      </c>
      <c r="Q18" s="4" t="s">
        <v>141</v>
      </c>
      <c r="R18" s="220"/>
      <c r="S18" s="221"/>
      <c r="T18" s="91" t="s">
        <v>124</v>
      </c>
    </row>
    <row r="19" spans="16:20" ht="27" customHeight="1" x14ac:dyDescent="0.3">
      <c r="P19" s="60" t="s">
        <v>99</v>
      </c>
      <c r="Q19" s="210" t="s">
        <v>130</v>
      </c>
      <c r="R19" s="211"/>
      <c r="S19" s="211"/>
      <c r="T19" s="212"/>
    </row>
    <row r="20" spans="16:20" ht="25.95" customHeight="1" x14ac:dyDescent="0.3">
      <c r="P20" s="43" t="s">
        <v>75</v>
      </c>
      <c r="Q20" s="213" t="s">
        <v>143</v>
      </c>
      <c r="R20" s="214"/>
      <c r="S20" s="214"/>
      <c r="T20" s="215"/>
    </row>
    <row r="48" spans="1:3" x14ac:dyDescent="0.3">
      <c r="A48" s="61"/>
      <c r="B48" s="61"/>
      <c r="C48" s="61"/>
    </row>
    <row r="49" spans="1:3" x14ac:dyDescent="0.3">
      <c r="A49" s="14"/>
      <c r="B49" s="86"/>
      <c r="C49" s="14"/>
    </row>
    <row r="50" spans="1:3" x14ac:dyDescent="0.3">
      <c r="A50" s="14"/>
      <c r="B50" s="86"/>
      <c r="C50" s="14"/>
    </row>
    <row r="51" spans="1:3" x14ac:dyDescent="0.3">
      <c r="A51" s="14"/>
      <c r="B51" s="86"/>
      <c r="C51" s="14"/>
    </row>
    <row r="56" spans="1:3" x14ac:dyDescent="0.3">
      <c r="A56" s="61"/>
      <c r="B56" s="61"/>
      <c r="C56" s="61"/>
    </row>
    <row r="57" spans="1:3" x14ac:dyDescent="0.3">
      <c r="A57" s="14"/>
      <c r="B57" s="86"/>
      <c r="C57" s="14"/>
    </row>
    <row r="58" spans="1:3" x14ac:dyDescent="0.3">
      <c r="A58" s="14"/>
      <c r="B58" s="86"/>
      <c r="C58" s="14"/>
    </row>
    <row r="59" spans="1:3" x14ac:dyDescent="0.3">
      <c r="A59" s="14"/>
      <c r="B59" s="86"/>
      <c r="C59" s="14"/>
    </row>
  </sheetData>
  <mergeCells count="10">
    <mergeCell ref="Q14:T14"/>
    <mergeCell ref="Q15:S15"/>
    <mergeCell ref="Q19:T19"/>
    <mergeCell ref="Q20:T20"/>
    <mergeCell ref="R16:S18"/>
    <mergeCell ref="P1:T1"/>
    <mergeCell ref="Q6:T6"/>
    <mergeCell ref="P10:P11"/>
    <mergeCell ref="Q10:Q11"/>
    <mergeCell ref="R2:T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8F9DD-35E6-4D97-9831-866DDE1CB055}">
  <sheetPr>
    <tabColor theme="4"/>
  </sheetPr>
  <dimension ref="A1:X132"/>
  <sheetViews>
    <sheetView zoomScale="70" zoomScaleNormal="70" workbookViewId="0">
      <pane xSplit="2" ySplit="2" topLeftCell="C7" activePane="bottomRight" state="frozen"/>
      <selection pane="topRight" activeCell="C1" sqref="C1"/>
      <selection pane="bottomLeft" activeCell="A3" sqref="A3"/>
      <selection pane="bottomRight" activeCell="B23" sqref="B23"/>
    </sheetView>
  </sheetViews>
  <sheetFormatPr defaultRowHeight="14.4" x14ac:dyDescent="0.3"/>
  <cols>
    <col min="1" max="1" width="10" style="12" bestFit="1" customWidth="1"/>
    <col min="2" max="2" width="20.88671875" bestFit="1" customWidth="1"/>
    <col min="3" max="3" width="24.33203125" style="14" bestFit="1" customWidth="1"/>
    <col min="4" max="4" width="15.109375" style="14" bestFit="1" customWidth="1"/>
    <col min="5" max="5" width="7.5546875" style="14" bestFit="1" customWidth="1"/>
    <col min="6" max="6" width="10" style="14" customWidth="1"/>
    <col min="7" max="7" width="24.6640625" style="14" bestFit="1" customWidth="1"/>
    <col min="8" max="8" width="25.6640625" style="14" bestFit="1" customWidth="1"/>
    <col min="9" max="9" width="24.33203125" style="14" bestFit="1" customWidth="1"/>
    <col min="10" max="10" width="23.109375" style="14" bestFit="1" customWidth="1"/>
    <col min="11" max="11" width="14.88671875" style="14" bestFit="1" customWidth="1"/>
    <col min="12" max="12" width="14.33203125" style="14" customWidth="1"/>
    <col min="13" max="13" width="16.88671875" style="14" bestFit="1" customWidth="1"/>
    <col min="14" max="14" width="21.109375" style="14" bestFit="1" customWidth="1"/>
    <col min="15" max="15" width="15" style="14" bestFit="1" customWidth="1"/>
    <col min="16" max="16" width="18.6640625" style="14" bestFit="1" customWidth="1"/>
    <col min="17" max="17" width="8" style="14" bestFit="1" customWidth="1"/>
    <col min="18" max="18" width="9.109375"/>
    <col min="19" max="19" width="14.33203125" customWidth="1"/>
    <col min="20" max="20" width="10.6640625" bestFit="1" customWidth="1"/>
    <col min="23" max="23" width="13.109375" customWidth="1"/>
    <col min="24" max="24" width="9.88671875" bestFit="1" customWidth="1"/>
  </cols>
  <sheetData>
    <row r="1" spans="1:24" ht="15" customHeight="1" thickBot="1" x14ac:dyDescent="0.35">
      <c r="A1" s="224" t="s">
        <v>9</v>
      </c>
      <c r="B1" s="226" t="s">
        <v>10</v>
      </c>
      <c r="C1" s="228" t="s">
        <v>74</v>
      </c>
      <c r="D1" s="229"/>
      <c r="E1" s="229"/>
      <c r="F1" s="230"/>
      <c r="G1" s="231" t="s">
        <v>78</v>
      </c>
      <c r="H1" s="232"/>
      <c r="I1" s="232"/>
      <c r="J1" s="232"/>
      <c r="K1" s="232"/>
      <c r="L1" s="232"/>
      <c r="M1" s="233"/>
      <c r="N1" s="245" t="s">
        <v>94</v>
      </c>
      <c r="O1" s="246"/>
      <c r="P1" s="246"/>
      <c r="Q1" s="246"/>
      <c r="R1" s="247"/>
      <c r="S1" s="243" t="s">
        <v>120</v>
      </c>
      <c r="T1" s="252" t="s">
        <v>129</v>
      </c>
      <c r="W1" s="248" t="s">
        <v>126</v>
      </c>
      <c r="X1" s="248"/>
    </row>
    <row r="2" spans="1:24" ht="34.799999999999997" customHeight="1" thickBot="1" x14ac:dyDescent="0.35">
      <c r="A2" s="225"/>
      <c r="B2" s="227"/>
      <c r="C2" s="103" t="s">
        <v>81</v>
      </c>
      <c r="D2" s="104" t="s">
        <v>82</v>
      </c>
      <c r="E2" s="105" t="s">
        <v>113</v>
      </c>
      <c r="F2" s="106" t="s">
        <v>83</v>
      </c>
      <c r="G2" s="107" t="s">
        <v>84</v>
      </c>
      <c r="H2" s="108" t="s">
        <v>85</v>
      </c>
      <c r="I2" s="108" t="s">
        <v>86</v>
      </c>
      <c r="J2" s="108" t="s">
        <v>87</v>
      </c>
      <c r="K2" s="108" t="s">
        <v>88</v>
      </c>
      <c r="L2" s="109" t="s">
        <v>112</v>
      </c>
      <c r="M2" s="110" t="s">
        <v>91</v>
      </c>
      <c r="N2" s="111" t="s">
        <v>89</v>
      </c>
      <c r="O2" s="112" t="s">
        <v>90</v>
      </c>
      <c r="P2" s="113" t="s">
        <v>122</v>
      </c>
      <c r="Q2" s="114" t="s">
        <v>111</v>
      </c>
      <c r="R2" s="115" t="s">
        <v>95</v>
      </c>
      <c r="S2" s="244"/>
      <c r="T2" s="253"/>
      <c r="W2" s="92" t="s">
        <v>125</v>
      </c>
      <c r="X2" s="93" t="s">
        <v>2</v>
      </c>
    </row>
    <row r="3" spans="1:24" ht="15" thickBot="1" x14ac:dyDescent="0.35">
      <c r="A3" s="222" t="s">
        <v>118</v>
      </c>
      <c r="B3" s="223"/>
      <c r="C3" s="74">
        <v>1</v>
      </c>
      <c r="D3" s="75">
        <v>1</v>
      </c>
      <c r="E3" s="76"/>
      <c r="F3" s="77"/>
      <c r="G3" s="78">
        <v>1</v>
      </c>
      <c r="H3" s="79">
        <v>1</v>
      </c>
      <c r="I3" s="79">
        <v>1</v>
      </c>
      <c r="J3" s="79">
        <v>1</v>
      </c>
      <c r="K3" s="79">
        <v>1</v>
      </c>
      <c r="L3" s="80"/>
      <c r="M3" s="81"/>
      <c r="N3" s="82">
        <v>1</v>
      </c>
      <c r="O3" s="83">
        <v>1</v>
      </c>
      <c r="P3" s="87"/>
      <c r="Q3" s="84"/>
      <c r="R3" s="85"/>
      <c r="S3" s="100"/>
      <c r="T3" s="253"/>
      <c r="W3" s="94" t="str">
        <f>"R &gt; "&amp;ROUND(X11,2)</f>
        <v>R &gt; 2.35</v>
      </c>
      <c r="X3" s="95" t="s">
        <v>11</v>
      </c>
    </row>
    <row r="4" spans="1:24" ht="15.6" x14ac:dyDescent="0.3">
      <c r="A4" s="7">
        <v>1</v>
      </c>
      <c r="B4" s="8" t="s">
        <v>14</v>
      </c>
      <c r="C4" s="23">
        <v>3</v>
      </c>
      <c r="D4" s="24">
        <v>3</v>
      </c>
      <c r="E4" s="68">
        <v>1</v>
      </c>
      <c r="F4" s="25">
        <f>IF($S$53="no",IF(SUM(C4:D4)=0,2,((C4*C$3)+(D4*D$3))/(COUNT(C4)*C$3+COUNT(D4)*D$3)),IF(SUM(C4:D4)=0,2,((C4*C$3)+(D4*D$3))/((COUNT(C4)*C$3+COUNT(D4)*D$3)+0.5*(COUNTBLANK(C4)*C$3+COUNTBLANK(D4)*D$3))))</f>
        <v>3</v>
      </c>
      <c r="G4" s="30">
        <v>3</v>
      </c>
      <c r="H4" s="31"/>
      <c r="I4" s="31">
        <v>3</v>
      </c>
      <c r="J4" s="31">
        <v>2</v>
      </c>
      <c r="K4" s="31"/>
      <c r="L4" s="65">
        <v>1</v>
      </c>
      <c r="M4" s="32">
        <f>IF($S$53="no",IF(SUM(G4:K4)=0,2,((G4*G$3)+(H4*H$3)+(I4*I$3)+(J4*J$3)+(K4*K$3))/(COUNT(G4)*G$3+COUNT(H4)*H$3+COUNT(I4)*I$3+COUNT(J4)*J$3+COUNT(K4)*K$3)),IF(SUM(G4:K4)=0,2,((G4*G$3)+(H4*H$3)+(I4*I$3)+(J4*J$3)+(K4*K$3))/((COUNT(G4)*G$3+COUNT(H4)*H$3+COUNT(I4)*I$3+COUNT(J4)*J$3+COUNT(K4)*K$3)+0.5*(COUNTBLANK(G4)*G$3+COUNTBLANK(H4)*H$3+COUNTBLANK(I4)*I$3+COUNTBLANK(J4)*J$3+COUNTBLANK(K4)*K$3))))</f>
        <v>2.6666666666666665</v>
      </c>
      <c r="N4" s="52"/>
      <c r="O4" s="50"/>
      <c r="P4" s="88"/>
      <c r="Q4" s="62">
        <v>1</v>
      </c>
      <c r="R4" s="56">
        <f>IF(SUM(N4:P4)&gt;0,1,0)</f>
        <v>0</v>
      </c>
      <c r="S4" s="118">
        <f>IF(R4=0,SUM(F4,M4)/SUM(E4,L4),SUM(F4,M4,R4)/SUM(E4,L4,Q4))</f>
        <v>2.833333333333333</v>
      </c>
      <c r="T4" s="101" t="str">
        <f>IF((S4&lt;=$X$10),"High",(IF((S4&lt;=$X$11),"Medium","Low")))</f>
        <v>Low</v>
      </c>
      <c r="W4" s="96" t="str">
        <f>ROUND(X10,2)&amp;" &lt; R ≤ "&amp;ROUND(X11,2)</f>
        <v>2.03 &lt; R ≤ 2.35</v>
      </c>
      <c r="X4" s="97" t="s">
        <v>127</v>
      </c>
    </row>
    <row r="5" spans="1:24" ht="16.2" thickBot="1" x14ac:dyDescent="0.35">
      <c r="A5" s="7">
        <v>2</v>
      </c>
      <c r="B5" s="8" t="s">
        <v>15</v>
      </c>
      <c r="C5" s="17"/>
      <c r="D5" s="16"/>
      <c r="E5" s="69">
        <v>1</v>
      </c>
      <c r="F5" s="22">
        <f t="shared" ref="F5:F52" si="0">IF($S$53="no",IF(SUM(C5:D5)=0,2,((C5*C$3)+(D5*D$3))/(COUNT(C5)*C$3+COUNT(D5)*D$3)),IF(SUM(C5:D5)=0,2,((C5*C$3)+(D5*D$3))/((COUNT(C5)*C$3+COUNT(D5)*D$3)+0.5*(COUNTBLANK(C5)*C$3+COUNTBLANK(D5)*D$3))))</f>
        <v>2</v>
      </c>
      <c r="G5" s="20">
        <v>3</v>
      </c>
      <c r="H5" s="21"/>
      <c r="I5" s="21">
        <v>3</v>
      </c>
      <c r="J5" s="21">
        <v>3</v>
      </c>
      <c r="K5" s="21"/>
      <c r="L5" s="66">
        <v>1</v>
      </c>
      <c r="M5" s="15">
        <f t="shared" ref="M5:M52" si="1">IF($S$53="no",IF(SUM(G5:K5)=0,2,((G5*G$3)+(H5*H$3)+(I5*I$3)+(J5*J$3)+(K5*K$3))/(COUNT(G5)*G$3+COUNT(H5)*H$3+COUNT(I5)*I$3+COUNT(J5)*J$3+COUNT(K5)*K$3)),IF(SUM(G5:K5)=0,2,((G5*G$3)+(H5*H$3)+(I5*I$3)+(J5*J$3)+(K5*K$3))/((COUNT(G5)*G$3+COUNT(H5)*H$3+COUNT(I5)*I$3+COUNT(J5)*J$3+COUNT(K5)*K$3)+0.5*(COUNTBLANK(G5)*G$3+COUNTBLANK(H5)*H$3+COUNTBLANK(I5)*I$3+COUNTBLANK(J5)*J$3+COUNTBLANK(K5)*K$3))))</f>
        <v>3</v>
      </c>
      <c r="N5" s="53"/>
      <c r="O5" s="51"/>
      <c r="P5" s="89"/>
      <c r="Q5" s="63">
        <v>1</v>
      </c>
      <c r="R5" s="57">
        <f>IF(SUM(N5:P5)&gt;0,1,0)</f>
        <v>0</v>
      </c>
      <c r="S5" s="119">
        <f t="shared" ref="S5:S6" si="2">IF(R5=0,SUM(F5,M5)/SUM(E5,L5),SUM(F5,M5,R5)/SUM(E5,L5,Q5))</f>
        <v>2.5</v>
      </c>
      <c r="T5" s="116" t="str">
        <f t="shared" ref="T5:T52" si="3">IF((S5&lt;=$X$10),"High",(IF((S5&lt;=$X$11),"Medium","Low")))</f>
        <v>Low</v>
      </c>
      <c r="W5" s="98" t="str">
        <f>"R ≤ "&amp;ROUND(X10,2)</f>
        <v>R ≤ 2.03</v>
      </c>
      <c r="X5" s="99" t="s">
        <v>12</v>
      </c>
    </row>
    <row r="6" spans="1:24" ht="15.6" x14ac:dyDescent="0.3">
      <c r="A6" s="7">
        <v>3</v>
      </c>
      <c r="B6" s="9" t="s">
        <v>16</v>
      </c>
      <c r="C6" s="26">
        <v>1</v>
      </c>
      <c r="D6" s="24">
        <v>1</v>
      </c>
      <c r="E6" s="68">
        <v>1</v>
      </c>
      <c r="F6" s="25">
        <f t="shared" si="0"/>
        <v>1</v>
      </c>
      <c r="G6" s="30">
        <v>3</v>
      </c>
      <c r="H6" s="31"/>
      <c r="I6" s="31">
        <v>2</v>
      </c>
      <c r="J6" s="31">
        <v>2</v>
      </c>
      <c r="K6" s="31"/>
      <c r="L6" s="65">
        <v>1</v>
      </c>
      <c r="M6" s="32">
        <f t="shared" si="1"/>
        <v>2.3333333333333335</v>
      </c>
      <c r="N6" s="52"/>
      <c r="O6" s="50"/>
      <c r="P6" s="88"/>
      <c r="Q6" s="62">
        <v>1</v>
      </c>
      <c r="R6" s="56">
        <f t="shared" ref="R6:R52" si="4">IF(SUM(N6:P6)&gt;0,1,0)</f>
        <v>0</v>
      </c>
      <c r="S6" s="118">
        <f t="shared" si="2"/>
        <v>1.6666666666666667</v>
      </c>
      <c r="T6" s="116" t="str">
        <f t="shared" si="3"/>
        <v>High</v>
      </c>
    </row>
    <row r="7" spans="1:24" ht="15.6" x14ac:dyDescent="0.3">
      <c r="A7" s="7">
        <v>4</v>
      </c>
      <c r="B7" s="8" t="s">
        <v>17</v>
      </c>
      <c r="C7" s="17">
        <v>2</v>
      </c>
      <c r="D7" s="16">
        <v>3</v>
      </c>
      <c r="E7" s="69">
        <v>1</v>
      </c>
      <c r="F7" s="22">
        <f t="shared" si="0"/>
        <v>2.5</v>
      </c>
      <c r="G7" s="20">
        <v>3</v>
      </c>
      <c r="H7" s="21">
        <v>1</v>
      </c>
      <c r="I7" s="21">
        <v>2</v>
      </c>
      <c r="J7" s="21">
        <v>1</v>
      </c>
      <c r="K7" s="21">
        <v>3</v>
      </c>
      <c r="L7" s="66">
        <v>1</v>
      </c>
      <c r="M7" s="15">
        <f t="shared" si="1"/>
        <v>2</v>
      </c>
      <c r="N7" s="53"/>
      <c r="O7" s="51"/>
      <c r="P7" s="89"/>
      <c r="Q7" s="63">
        <v>1</v>
      </c>
      <c r="R7" s="57">
        <f t="shared" si="4"/>
        <v>0</v>
      </c>
      <c r="S7" s="119">
        <f>IF(R7=0,SUM(F7,M7)/SUM(E7,L7),SUM(F7,M7,R7)/SUM(E7,L7,Q7))</f>
        <v>2.25</v>
      </c>
      <c r="T7" s="116" t="str">
        <f t="shared" si="3"/>
        <v>Medium</v>
      </c>
    </row>
    <row r="8" spans="1:24" ht="15.6" x14ac:dyDescent="0.3">
      <c r="A8" s="7">
        <v>5</v>
      </c>
      <c r="B8" s="8" t="s">
        <v>18</v>
      </c>
      <c r="C8" s="23">
        <v>1</v>
      </c>
      <c r="D8" s="24">
        <v>2</v>
      </c>
      <c r="E8" s="68">
        <v>1</v>
      </c>
      <c r="F8" s="25">
        <f t="shared" si="0"/>
        <v>1.5</v>
      </c>
      <c r="G8" s="30">
        <v>1</v>
      </c>
      <c r="H8" s="31">
        <v>3</v>
      </c>
      <c r="I8" s="31">
        <v>2</v>
      </c>
      <c r="J8" s="31">
        <v>3</v>
      </c>
      <c r="K8" s="31"/>
      <c r="L8" s="65">
        <v>1</v>
      </c>
      <c r="M8" s="32">
        <f t="shared" si="1"/>
        <v>2.25</v>
      </c>
      <c r="N8" s="52"/>
      <c r="O8" s="50">
        <v>1</v>
      </c>
      <c r="P8" s="88"/>
      <c r="Q8" s="62">
        <v>1</v>
      </c>
      <c r="R8" s="56">
        <f t="shared" si="4"/>
        <v>1</v>
      </c>
      <c r="S8" s="118">
        <f t="shared" ref="S8:S52" si="5">IF(R8=0,SUM(F8,M8)/SUM(E8,L8),SUM(F8,M8,R8)/SUM(E8,L8,Q8))</f>
        <v>1.5833333333333333</v>
      </c>
      <c r="T8" s="116" t="str">
        <f t="shared" si="3"/>
        <v>High</v>
      </c>
    </row>
    <row r="9" spans="1:24" ht="15.6" x14ac:dyDescent="0.3">
      <c r="A9" s="7">
        <v>6</v>
      </c>
      <c r="B9" s="8" t="s">
        <v>19</v>
      </c>
      <c r="C9" s="17">
        <v>1</v>
      </c>
      <c r="D9" s="16">
        <v>2</v>
      </c>
      <c r="E9" s="69">
        <v>1</v>
      </c>
      <c r="F9" s="22">
        <f t="shared" si="0"/>
        <v>1.5</v>
      </c>
      <c r="G9" s="20">
        <v>3</v>
      </c>
      <c r="H9" s="21">
        <v>2</v>
      </c>
      <c r="I9" s="21">
        <v>2</v>
      </c>
      <c r="J9" s="21">
        <v>2</v>
      </c>
      <c r="K9" s="21">
        <v>3</v>
      </c>
      <c r="L9" s="66">
        <v>1</v>
      </c>
      <c r="M9" s="15">
        <f t="shared" si="1"/>
        <v>2.4</v>
      </c>
      <c r="N9" s="53"/>
      <c r="O9" s="51"/>
      <c r="P9" s="89"/>
      <c r="Q9" s="63">
        <v>1</v>
      </c>
      <c r="R9" s="57">
        <f t="shared" si="4"/>
        <v>0</v>
      </c>
      <c r="S9" s="119">
        <f t="shared" si="5"/>
        <v>1.95</v>
      </c>
      <c r="T9" s="116" t="str">
        <f t="shared" si="3"/>
        <v>High</v>
      </c>
      <c r="W9" s="121" t="s">
        <v>146</v>
      </c>
      <c r="X9" s="121"/>
    </row>
    <row r="10" spans="1:24" ht="15.6" x14ac:dyDescent="0.3">
      <c r="A10" s="7">
        <v>7</v>
      </c>
      <c r="B10" s="8" t="s">
        <v>20</v>
      </c>
      <c r="C10" s="23">
        <v>1</v>
      </c>
      <c r="D10" s="24">
        <v>2</v>
      </c>
      <c r="E10" s="68">
        <v>1</v>
      </c>
      <c r="F10" s="25">
        <f t="shared" si="0"/>
        <v>1.5</v>
      </c>
      <c r="G10" s="30">
        <v>2</v>
      </c>
      <c r="H10" s="31">
        <v>3</v>
      </c>
      <c r="I10" s="31">
        <v>1</v>
      </c>
      <c r="J10" s="31">
        <v>3</v>
      </c>
      <c r="K10" s="31"/>
      <c r="L10" s="65">
        <v>1</v>
      </c>
      <c r="M10" s="32">
        <f t="shared" si="1"/>
        <v>2.25</v>
      </c>
      <c r="N10" s="52"/>
      <c r="O10" s="50"/>
      <c r="P10" s="88"/>
      <c r="Q10" s="62">
        <v>1</v>
      </c>
      <c r="R10" s="56">
        <f t="shared" si="4"/>
        <v>0</v>
      </c>
      <c r="S10" s="118">
        <f t="shared" si="5"/>
        <v>1.875</v>
      </c>
      <c r="T10" s="116" t="str">
        <f t="shared" si="3"/>
        <v>High</v>
      </c>
      <c r="W10" s="122">
        <v>0.33329999999999999</v>
      </c>
      <c r="X10" s="123">
        <f>_xlfn.PERCENTILE.INC(S4:S52,W10)</f>
        <v>2.03328</v>
      </c>
    </row>
    <row r="11" spans="1:24" ht="15.6" x14ac:dyDescent="0.3">
      <c r="A11" s="7">
        <v>8</v>
      </c>
      <c r="B11" s="8" t="s">
        <v>21</v>
      </c>
      <c r="C11" s="17">
        <v>2</v>
      </c>
      <c r="D11" s="16">
        <v>3</v>
      </c>
      <c r="E11" s="69">
        <v>1</v>
      </c>
      <c r="F11" s="22">
        <f t="shared" si="0"/>
        <v>2.5</v>
      </c>
      <c r="G11" s="20">
        <v>2</v>
      </c>
      <c r="H11" s="21"/>
      <c r="I11" s="21">
        <v>2</v>
      </c>
      <c r="J11" s="21">
        <v>2</v>
      </c>
      <c r="K11" s="21">
        <v>3</v>
      </c>
      <c r="L11" s="66">
        <v>1</v>
      </c>
      <c r="M11" s="15">
        <f t="shared" si="1"/>
        <v>2.25</v>
      </c>
      <c r="N11" s="53"/>
      <c r="O11" s="51"/>
      <c r="P11" s="89"/>
      <c r="Q11" s="63">
        <v>1</v>
      </c>
      <c r="R11" s="57">
        <f t="shared" si="4"/>
        <v>0</v>
      </c>
      <c r="S11" s="119">
        <f t="shared" si="5"/>
        <v>2.375</v>
      </c>
      <c r="T11" s="116" t="str">
        <f t="shared" si="3"/>
        <v>Low</v>
      </c>
      <c r="W11" s="122">
        <v>0.66669999999999996</v>
      </c>
      <c r="X11" s="123">
        <f>_xlfn.PERCENTILE.INC(S4:S52,W11)</f>
        <v>2.3500399999999999</v>
      </c>
    </row>
    <row r="12" spans="1:24" ht="15.6" x14ac:dyDescent="0.3">
      <c r="A12" s="7">
        <v>9</v>
      </c>
      <c r="B12" s="8" t="s">
        <v>22</v>
      </c>
      <c r="C12" s="23">
        <v>2</v>
      </c>
      <c r="D12" s="24">
        <v>3</v>
      </c>
      <c r="E12" s="68">
        <v>1</v>
      </c>
      <c r="F12" s="25">
        <f t="shared" si="0"/>
        <v>2.5</v>
      </c>
      <c r="G12" s="30">
        <v>3</v>
      </c>
      <c r="H12" s="31">
        <v>3</v>
      </c>
      <c r="I12" s="31">
        <v>2</v>
      </c>
      <c r="J12" s="31">
        <v>2</v>
      </c>
      <c r="K12" s="31">
        <v>1</v>
      </c>
      <c r="L12" s="65">
        <v>1</v>
      </c>
      <c r="M12" s="32">
        <f t="shared" si="1"/>
        <v>2.2000000000000002</v>
      </c>
      <c r="N12" s="52"/>
      <c r="O12" s="50"/>
      <c r="P12" s="88"/>
      <c r="Q12" s="62">
        <v>1</v>
      </c>
      <c r="R12" s="56">
        <f t="shared" si="4"/>
        <v>0</v>
      </c>
      <c r="S12" s="118">
        <f t="shared" si="5"/>
        <v>2.35</v>
      </c>
      <c r="T12" s="116" t="str">
        <f t="shared" si="3"/>
        <v>Medium</v>
      </c>
    </row>
    <row r="13" spans="1:24" ht="15.6" x14ac:dyDescent="0.3">
      <c r="A13" s="7">
        <v>10</v>
      </c>
      <c r="B13" s="8" t="s">
        <v>23</v>
      </c>
      <c r="C13" s="17">
        <v>1</v>
      </c>
      <c r="D13" s="16">
        <v>1</v>
      </c>
      <c r="E13" s="69">
        <v>1</v>
      </c>
      <c r="F13" s="22">
        <f t="shared" si="0"/>
        <v>1</v>
      </c>
      <c r="G13" s="20">
        <v>1</v>
      </c>
      <c r="H13" s="21">
        <v>3</v>
      </c>
      <c r="I13" s="21">
        <v>3</v>
      </c>
      <c r="J13" s="21">
        <v>1</v>
      </c>
      <c r="K13" s="21"/>
      <c r="L13" s="66">
        <v>1</v>
      </c>
      <c r="M13" s="15">
        <f t="shared" si="1"/>
        <v>2</v>
      </c>
      <c r="N13" s="53"/>
      <c r="O13" s="51"/>
      <c r="P13" s="89"/>
      <c r="Q13" s="63">
        <v>1</v>
      </c>
      <c r="R13" s="57">
        <f t="shared" si="4"/>
        <v>0</v>
      </c>
      <c r="S13" s="119">
        <f t="shared" si="5"/>
        <v>1.5</v>
      </c>
      <c r="T13" s="116" t="str">
        <f t="shared" si="3"/>
        <v>High</v>
      </c>
    </row>
    <row r="14" spans="1:24" ht="15.6" x14ac:dyDescent="0.3">
      <c r="A14" s="7">
        <v>11</v>
      </c>
      <c r="B14" s="8" t="s">
        <v>24</v>
      </c>
      <c r="C14" s="23">
        <v>1</v>
      </c>
      <c r="D14" s="24">
        <v>1</v>
      </c>
      <c r="E14" s="68">
        <v>1</v>
      </c>
      <c r="F14" s="25">
        <f t="shared" si="0"/>
        <v>1</v>
      </c>
      <c r="G14" s="30">
        <v>1</v>
      </c>
      <c r="H14" s="31"/>
      <c r="I14" s="31">
        <v>3</v>
      </c>
      <c r="J14" s="31">
        <v>3</v>
      </c>
      <c r="K14" s="31"/>
      <c r="L14" s="65">
        <v>1</v>
      </c>
      <c r="M14" s="32">
        <f t="shared" si="1"/>
        <v>2.3333333333333335</v>
      </c>
      <c r="N14" s="52"/>
      <c r="O14" s="50"/>
      <c r="P14" s="88"/>
      <c r="Q14" s="62">
        <v>1</v>
      </c>
      <c r="R14" s="56">
        <f t="shared" si="4"/>
        <v>0</v>
      </c>
      <c r="S14" s="118">
        <f t="shared" si="5"/>
        <v>1.6666666666666667</v>
      </c>
      <c r="T14" s="116" t="str">
        <f t="shared" si="3"/>
        <v>High</v>
      </c>
    </row>
    <row r="15" spans="1:24" ht="15.6" x14ac:dyDescent="0.3">
      <c r="A15" s="7">
        <v>12</v>
      </c>
      <c r="B15" s="8" t="s">
        <v>25</v>
      </c>
      <c r="C15" s="17">
        <v>1</v>
      </c>
      <c r="D15" s="16">
        <v>2</v>
      </c>
      <c r="E15" s="69">
        <v>1</v>
      </c>
      <c r="F15" s="22">
        <f t="shared" si="0"/>
        <v>1.5</v>
      </c>
      <c r="G15" s="20">
        <v>3</v>
      </c>
      <c r="H15" s="21">
        <v>3</v>
      </c>
      <c r="I15" s="21">
        <v>2</v>
      </c>
      <c r="J15" s="21">
        <v>1</v>
      </c>
      <c r="K15" s="21"/>
      <c r="L15" s="66">
        <v>1</v>
      </c>
      <c r="M15" s="15">
        <f t="shared" si="1"/>
        <v>2.25</v>
      </c>
      <c r="N15" s="53"/>
      <c r="O15" s="51"/>
      <c r="P15" s="89"/>
      <c r="Q15" s="63">
        <v>1</v>
      </c>
      <c r="R15" s="57">
        <f t="shared" si="4"/>
        <v>0</v>
      </c>
      <c r="S15" s="119">
        <f t="shared" si="5"/>
        <v>1.875</v>
      </c>
      <c r="T15" s="116" t="str">
        <f t="shared" si="3"/>
        <v>High</v>
      </c>
    </row>
    <row r="16" spans="1:24" ht="15.6" x14ac:dyDescent="0.3">
      <c r="A16" s="7">
        <v>13</v>
      </c>
      <c r="B16" s="8" t="s">
        <v>26</v>
      </c>
      <c r="C16" s="23">
        <v>1</v>
      </c>
      <c r="D16" s="24">
        <v>2</v>
      </c>
      <c r="E16" s="68">
        <v>1</v>
      </c>
      <c r="F16" s="25">
        <f t="shared" si="0"/>
        <v>1.5</v>
      </c>
      <c r="G16" s="30">
        <v>3</v>
      </c>
      <c r="H16" s="31">
        <v>1</v>
      </c>
      <c r="I16" s="31">
        <v>2</v>
      </c>
      <c r="J16" s="31">
        <v>2</v>
      </c>
      <c r="K16" s="31">
        <v>3</v>
      </c>
      <c r="L16" s="65">
        <v>1</v>
      </c>
      <c r="M16" s="32">
        <f t="shared" si="1"/>
        <v>2.2000000000000002</v>
      </c>
      <c r="N16" s="52">
        <v>1</v>
      </c>
      <c r="O16" s="50"/>
      <c r="P16" s="88">
        <v>1</v>
      </c>
      <c r="Q16" s="62">
        <v>1</v>
      </c>
      <c r="R16" s="56">
        <f t="shared" si="4"/>
        <v>1</v>
      </c>
      <c r="S16" s="118">
        <f t="shared" si="5"/>
        <v>1.5666666666666667</v>
      </c>
      <c r="T16" s="116" t="str">
        <f t="shared" si="3"/>
        <v>High</v>
      </c>
    </row>
    <row r="17" spans="1:20" ht="15.6" x14ac:dyDescent="0.3">
      <c r="A17" s="7">
        <v>14</v>
      </c>
      <c r="B17" s="8" t="s">
        <v>27</v>
      </c>
      <c r="C17" s="17">
        <v>2</v>
      </c>
      <c r="D17" s="16">
        <v>3</v>
      </c>
      <c r="E17" s="69">
        <v>1</v>
      </c>
      <c r="F17" s="22">
        <f t="shared" si="0"/>
        <v>2.5</v>
      </c>
      <c r="G17" s="20">
        <v>3</v>
      </c>
      <c r="H17" s="21">
        <v>3</v>
      </c>
      <c r="I17" s="21">
        <v>2</v>
      </c>
      <c r="J17" s="21">
        <v>3</v>
      </c>
      <c r="K17" s="21">
        <v>2</v>
      </c>
      <c r="L17" s="66">
        <v>1</v>
      </c>
      <c r="M17" s="15">
        <f t="shared" si="1"/>
        <v>2.6</v>
      </c>
      <c r="N17" s="53"/>
      <c r="O17" s="51"/>
      <c r="P17" s="89">
        <v>1</v>
      </c>
      <c r="Q17" s="63">
        <v>1</v>
      </c>
      <c r="R17" s="57">
        <f t="shared" si="4"/>
        <v>1</v>
      </c>
      <c r="S17" s="119">
        <f t="shared" si="5"/>
        <v>2.0333333333333332</v>
      </c>
      <c r="T17" s="116" t="str">
        <f t="shared" si="3"/>
        <v>Medium</v>
      </c>
    </row>
    <row r="18" spans="1:20" ht="15.6" x14ac:dyDescent="0.3">
      <c r="A18" s="7">
        <v>15</v>
      </c>
      <c r="B18" s="8" t="s">
        <v>28</v>
      </c>
      <c r="C18" s="23">
        <v>1</v>
      </c>
      <c r="D18" s="24">
        <v>3</v>
      </c>
      <c r="E18" s="68">
        <v>1</v>
      </c>
      <c r="F18" s="25">
        <f t="shared" si="0"/>
        <v>2</v>
      </c>
      <c r="G18" s="30">
        <v>1</v>
      </c>
      <c r="H18" s="31">
        <v>1</v>
      </c>
      <c r="I18" s="31">
        <v>3</v>
      </c>
      <c r="J18" s="31">
        <v>2</v>
      </c>
      <c r="K18" s="31"/>
      <c r="L18" s="65">
        <v>1</v>
      </c>
      <c r="M18" s="32">
        <f t="shared" si="1"/>
        <v>1.75</v>
      </c>
      <c r="N18" s="52"/>
      <c r="O18" s="50"/>
      <c r="P18" s="88"/>
      <c r="Q18" s="62">
        <v>1</v>
      </c>
      <c r="R18" s="56">
        <f t="shared" si="4"/>
        <v>0</v>
      </c>
      <c r="S18" s="118">
        <f t="shared" si="5"/>
        <v>1.875</v>
      </c>
      <c r="T18" s="116" t="str">
        <f t="shared" si="3"/>
        <v>High</v>
      </c>
    </row>
    <row r="19" spans="1:20" ht="15.6" x14ac:dyDescent="0.3">
      <c r="A19" s="7">
        <v>16</v>
      </c>
      <c r="B19" s="8" t="s">
        <v>29</v>
      </c>
      <c r="C19" s="17">
        <v>1</v>
      </c>
      <c r="D19" s="16">
        <v>3</v>
      </c>
      <c r="E19" s="69">
        <v>1</v>
      </c>
      <c r="F19" s="22">
        <f t="shared" si="0"/>
        <v>2</v>
      </c>
      <c r="G19" s="20">
        <v>3</v>
      </c>
      <c r="H19" s="21"/>
      <c r="I19" s="21">
        <v>2</v>
      </c>
      <c r="J19" s="21">
        <v>3</v>
      </c>
      <c r="K19" s="21">
        <v>3</v>
      </c>
      <c r="L19" s="66">
        <v>1</v>
      </c>
      <c r="M19" s="15">
        <f t="shared" si="1"/>
        <v>2.75</v>
      </c>
      <c r="N19" s="53"/>
      <c r="O19" s="51"/>
      <c r="P19" s="89"/>
      <c r="Q19" s="63">
        <v>1</v>
      </c>
      <c r="R19" s="57">
        <f t="shared" si="4"/>
        <v>0</v>
      </c>
      <c r="S19" s="119">
        <f t="shared" si="5"/>
        <v>2.375</v>
      </c>
      <c r="T19" s="116" t="str">
        <f t="shared" si="3"/>
        <v>Low</v>
      </c>
    </row>
    <row r="20" spans="1:20" ht="15.6" x14ac:dyDescent="0.3">
      <c r="A20" s="7">
        <v>17</v>
      </c>
      <c r="B20" s="8" t="s">
        <v>30</v>
      </c>
      <c r="C20" s="23">
        <v>1</v>
      </c>
      <c r="D20" s="24">
        <v>1</v>
      </c>
      <c r="E20" s="68">
        <v>1</v>
      </c>
      <c r="F20" s="25">
        <f t="shared" si="0"/>
        <v>1</v>
      </c>
      <c r="G20" s="30">
        <v>1</v>
      </c>
      <c r="H20" s="31">
        <v>3</v>
      </c>
      <c r="I20" s="31">
        <v>2</v>
      </c>
      <c r="J20" s="31">
        <v>3</v>
      </c>
      <c r="K20" s="31"/>
      <c r="L20" s="65">
        <v>1</v>
      </c>
      <c r="M20" s="32">
        <f t="shared" si="1"/>
        <v>2.25</v>
      </c>
      <c r="N20" s="52"/>
      <c r="O20" s="50"/>
      <c r="P20" s="88"/>
      <c r="Q20" s="62">
        <v>1</v>
      </c>
      <c r="R20" s="56">
        <f t="shared" si="4"/>
        <v>0</v>
      </c>
      <c r="S20" s="118">
        <f t="shared" si="5"/>
        <v>1.625</v>
      </c>
      <c r="T20" s="116" t="str">
        <f t="shared" si="3"/>
        <v>High</v>
      </c>
    </row>
    <row r="21" spans="1:20" ht="15.6" x14ac:dyDescent="0.3">
      <c r="A21" s="7">
        <v>18</v>
      </c>
      <c r="B21" s="8" t="s">
        <v>31</v>
      </c>
      <c r="C21" s="17">
        <v>2</v>
      </c>
      <c r="D21" s="16">
        <v>3</v>
      </c>
      <c r="E21" s="69">
        <v>1</v>
      </c>
      <c r="F21" s="22">
        <f t="shared" si="0"/>
        <v>2.5</v>
      </c>
      <c r="G21" s="20">
        <v>2</v>
      </c>
      <c r="H21" s="21">
        <v>3</v>
      </c>
      <c r="I21" s="21">
        <v>1</v>
      </c>
      <c r="J21" s="21">
        <v>2</v>
      </c>
      <c r="K21" s="21"/>
      <c r="L21" s="66">
        <v>1</v>
      </c>
      <c r="M21" s="15">
        <f t="shared" si="1"/>
        <v>2</v>
      </c>
      <c r="N21" s="53"/>
      <c r="O21" s="51"/>
      <c r="P21" s="89"/>
      <c r="Q21" s="63">
        <v>1</v>
      </c>
      <c r="R21" s="57">
        <f t="shared" si="4"/>
        <v>0</v>
      </c>
      <c r="S21" s="119">
        <f t="shared" si="5"/>
        <v>2.25</v>
      </c>
      <c r="T21" s="116" t="str">
        <f t="shared" si="3"/>
        <v>Medium</v>
      </c>
    </row>
    <row r="22" spans="1:20" ht="15.6" x14ac:dyDescent="0.3">
      <c r="A22" s="7">
        <v>19</v>
      </c>
      <c r="B22" s="8" t="s">
        <v>32</v>
      </c>
      <c r="C22" s="23">
        <v>1</v>
      </c>
      <c r="D22" s="24">
        <v>1</v>
      </c>
      <c r="E22" s="68">
        <v>1</v>
      </c>
      <c r="F22" s="25">
        <f t="shared" si="0"/>
        <v>1</v>
      </c>
      <c r="G22" s="30">
        <v>3</v>
      </c>
      <c r="H22" s="31"/>
      <c r="I22" s="31">
        <v>3</v>
      </c>
      <c r="J22" s="31">
        <v>3</v>
      </c>
      <c r="K22" s="31"/>
      <c r="L22" s="65">
        <v>1</v>
      </c>
      <c r="M22" s="32">
        <f t="shared" si="1"/>
        <v>3</v>
      </c>
      <c r="N22" s="52"/>
      <c r="O22" s="50"/>
      <c r="P22" s="88"/>
      <c r="Q22" s="62">
        <v>1</v>
      </c>
      <c r="R22" s="56">
        <f t="shared" si="4"/>
        <v>0</v>
      </c>
      <c r="S22" s="118">
        <f t="shared" si="5"/>
        <v>2</v>
      </c>
      <c r="T22" s="116" t="str">
        <f t="shared" si="3"/>
        <v>High</v>
      </c>
    </row>
    <row r="23" spans="1:20" ht="15.6" x14ac:dyDescent="0.3">
      <c r="A23" s="7">
        <v>20</v>
      </c>
      <c r="B23" s="8" t="s">
        <v>33</v>
      </c>
      <c r="C23" s="17">
        <v>1</v>
      </c>
      <c r="D23" s="16">
        <v>3</v>
      </c>
      <c r="E23" s="69">
        <v>1</v>
      </c>
      <c r="F23" s="22">
        <f t="shared" si="0"/>
        <v>2</v>
      </c>
      <c r="G23" s="20">
        <v>3</v>
      </c>
      <c r="H23" s="21">
        <v>3</v>
      </c>
      <c r="I23" s="21">
        <v>1</v>
      </c>
      <c r="J23" s="21">
        <v>1</v>
      </c>
      <c r="K23" s="21"/>
      <c r="L23" s="66">
        <v>1</v>
      </c>
      <c r="M23" s="15">
        <f t="shared" si="1"/>
        <v>2</v>
      </c>
      <c r="N23" s="53"/>
      <c r="O23" s="51"/>
      <c r="P23" s="89"/>
      <c r="Q23" s="63">
        <v>1</v>
      </c>
      <c r="R23" s="57">
        <f t="shared" si="4"/>
        <v>0</v>
      </c>
      <c r="S23" s="119">
        <f t="shared" si="5"/>
        <v>2</v>
      </c>
      <c r="T23" s="116" t="str">
        <f t="shared" si="3"/>
        <v>High</v>
      </c>
    </row>
    <row r="24" spans="1:20" ht="15.6" x14ac:dyDescent="0.3">
      <c r="A24" s="7">
        <v>21</v>
      </c>
      <c r="B24" s="8" t="s">
        <v>34</v>
      </c>
      <c r="C24" s="23"/>
      <c r="D24" s="24"/>
      <c r="E24" s="68">
        <v>1</v>
      </c>
      <c r="F24" s="25">
        <f t="shared" si="0"/>
        <v>2</v>
      </c>
      <c r="G24" s="30">
        <v>1</v>
      </c>
      <c r="H24" s="31"/>
      <c r="I24" s="31">
        <v>3</v>
      </c>
      <c r="J24" s="31">
        <v>3</v>
      </c>
      <c r="K24" s="31"/>
      <c r="L24" s="65">
        <v>1</v>
      </c>
      <c r="M24" s="32">
        <f t="shared" si="1"/>
        <v>2.3333333333333335</v>
      </c>
      <c r="N24" s="52"/>
      <c r="O24" s="50"/>
      <c r="P24" s="88"/>
      <c r="Q24" s="62">
        <v>1</v>
      </c>
      <c r="R24" s="56">
        <f t="shared" si="4"/>
        <v>0</v>
      </c>
      <c r="S24" s="118">
        <f t="shared" si="5"/>
        <v>2.166666666666667</v>
      </c>
      <c r="T24" s="116" t="str">
        <f t="shared" si="3"/>
        <v>Medium</v>
      </c>
    </row>
    <row r="25" spans="1:20" ht="15.6" x14ac:dyDescent="0.3">
      <c r="A25" s="7">
        <v>22</v>
      </c>
      <c r="B25" s="8" t="s">
        <v>35</v>
      </c>
      <c r="C25" s="17">
        <v>1</v>
      </c>
      <c r="D25" s="16"/>
      <c r="E25" s="69">
        <v>1</v>
      </c>
      <c r="F25" s="22">
        <f t="shared" si="0"/>
        <v>1</v>
      </c>
      <c r="G25" s="20">
        <v>3</v>
      </c>
      <c r="H25" s="21"/>
      <c r="I25" s="21">
        <v>3</v>
      </c>
      <c r="J25" s="21">
        <v>3</v>
      </c>
      <c r="K25" s="21"/>
      <c r="L25" s="66">
        <v>1</v>
      </c>
      <c r="M25" s="15">
        <f t="shared" si="1"/>
        <v>3</v>
      </c>
      <c r="N25" s="53"/>
      <c r="O25" s="51"/>
      <c r="P25" s="89"/>
      <c r="Q25" s="63">
        <v>1</v>
      </c>
      <c r="R25" s="57">
        <f t="shared" si="4"/>
        <v>0</v>
      </c>
      <c r="S25" s="119">
        <f t="shared" si="5"/>
        <v>2</v>
      </c>
      <c r="T25" s="116" t="str">
        <f t="shared" si="3"/>
        <v>High</v>
      </c>
    </row>
    <row r="26" spans="1:20" ht="15.6" x14ac:dyDescent="0.3">
      <c r="A26" s="7">
        <v>23</v>
      </c>
      <c r="B26" s="8" t="s">
        <v>36</v>
      </c>
      <c r="C26" s="23">
        <v>1</v>
      </c>
      <c r="D26" s="24">
        <v>3</v>
      </c>
      <c r="E26" s="68">
        <v>1</v>
      </c>
      <c r="F26" s="25">
        <f t="shared" si="0"/>
        <v>2</v>
      </c>
      <c r="G26" s="30">
        <v>1</v>
      </c>
      <c r="H26" s="31"/>
      <c r="I26" s="31">
        <v>3</v>
      </c>
      <c r="J26" s="31">
        <v>3</v>
      </c>
      <c r="K26" s="31"/>
      <c r="L26" s="65">
        <v>1</v>
      </c>
      <c r="M26" s="32">
        <f t="shared" si="1"/>
        <v>2.3333333333333335</v>
      </c>
      <c r="N26" s="52"/>
      <c r="O26" s="50"/>
      <c r="P26" s="88"/>
      <c r="Q26" s="62">
        <v>1</v>
      </c>
      <c r="R26" s="56">
        <f t="shared" si="4"/>
        <v>0</v>
      </c>
      <c r="S26" s="118">
        <f t="shared" si="5"/>
        <v>2.166666666666667</v>
      </c>
      <c r="T26" s="116" t="str">
        <f t="shared" si="3"/>
        <v>Medium</v>
      </c>
    </row>
    <row r="27" spans="1:20" ht="15.6" x14ac:dyDescent="0.3">
      <c r="A27" s="7">
        <v>24</v>
      </c>
      <c r="B27" s="8" t="s">
        <v>37</v>
      </c>
      <c r="C27" s="17" t="s">
        <v>105</v>
      </c>
      <c r="D27" s="16" t="s">
        <v>105</v>
      </c>
      <c r="E27" s="69">
        <v>1</v>
      </c>
      <c r="F27" s="22">
        <f t="shared" si="0"/>
        <v>2</v>
      </c>
      <c r="G27" s="20">
        <v>3</v>
      </c>
      <c r="H27" s="21"/>
      <c r="I27" s="21">
        <v>3</v>
      </c>
      <c r="J27" s="21">
        <v>3</v>
      </c>
      <c r="K27" s="21"/>
      <c r="L27" s="66">
        <v>1</v>
      </c>
      <c r="M27" s="15">
        <f t="shared" si="1"/>
        <v>3</v>
      </c>
      <c r="N27" s="53"/>
      <c r="O27" s="51"/>
      <c r="P27" s="89"/>
      <c r="Q27" s="63">
        <v>1</v>
      </c>
      <c r="R27" s="57">
        <f t="shared" si="4"/>
        <v>0</v>
      </c>
      <c r="S27" s="119">
        <f t="shared" si="5"/>
        <v>2.5</v>
      </c>
      <c r="T27" s="116" t="str">
        <f t="shared" si="3"/>
        <v>Low</v>
      </c>
    </row>
    <row r="28" spans="1:20" ht="15.6" x14ac:dyDescent="0.3">
      <c r="A28" s="7">
        <v>25</v>
      </c>
      <c r="B28" s="8" t="s">
        <v>38</v>
      </c>
      <c r="C28" s="23"/>
      <c r="D28" s="24">
        <v>1</v>
      </c>
      <c r="E28" s="68">
        <v>1</v>
      </c>
      <c r="F28" s="25">
        <f t="shared" si="0"/>
        <v>1</v>
      </c>
      <c r="G28" s="30">
        <v>3</v>
      </c>
      <c r="H28" s="31"/>
      <c r="I28" s="31">
        <v>3</v>
      </c>
      <c r="J28" s="31">
        <v>3</v>
      </c>
      <c r="K28" s="31"/>
      <c r="L28" s="65">
        <v>1</v>
      </c>
      <c r="M28" s="32">
        <f t="shared" si="1"/>
        <v>3</v>
      </c>
      <c r="N28" s="52"/>
      <c r="O28" s="50"/>
      <c r="P28" s="88"/>
      <c r="Q28" s="62">
        <v>1</v>
      </c>
      <c r="R28" s="56">
        <f t="shared" si="4"/>
        <v>0</v>
      </c>
      <c r="S28" s="118">
        <f t="shared" si="5"/>
        <v>2</v>
      </c>
      <c r="T28" s="116" t="str">
        <f t="shared" si="3"/>
        <v>High</v>
      </c>
    </row>
    <row r="29" spans="1:20" ht="15.6" x14ac:dyDescent="0.3">
      <c r="A29" s="7">
        <v>26</v>
      </c>
      <c r="B29" s="8" t="s">
        <v>39</v>
      </c>
      <c r="C29" s="17">
        <v>1</v>
      </c>
      <c r="D29" s="16"/>
      <c r="E29" s="69">
        <v>1</v>
      </c>
      <c r="F29" s="22">
        <f t="shared" si="0"/>
        <v>1</v>
      </c>
      <c r="G29" s="20">
        <v>2</v>
      </c>
      <c r="H29" s="21"/>
      <c r="I29" s="21">
        <v>3</v>
      </c>
      <c r="J29" s="21">
        <v>3</v>
      </c>
      <c r="K29" s="21"/>
      <c r="L29" s="66">
        <v>1</v>
      </c>
      <c r="M29" s="15">
        <f t="shared" si="1"/>
        <v>2.6666666666666665</v>
      </c>
      <c r="N29" s="53"/>
      <c r="O29" s="51"/>
      <c r="P29" s="89"/>
      <c r="Q29" s="63">
        <v>1</v>
      </c>
      <c r="R29" s="57">
        <f t="shared" si="4"/>
        <v>0</v>
      </c>
      <c r="S29" s="119">
        <f t="shared" si="5"/>
        <v>1.8333333333333333</v>
      </c>
      <c r="T29" s="116" t="str">
        <f t="shared" si="3"/>
        <v>High</v>
      </c>
    </row>
    <row r="30" spans="1:20" ht="15.6" x14ac:dyDescent="0.3">
      <c r="A30" s="7">
        <v>27</v>
      </c>
      <c r="B30" s="8" t="s">
        <v>40</v>
      </c>
      <c r="C30" s="23"/>
      <c r="D30" s="24"/>
      <c r="E30" s="68">
        <v>1</v>
      </c>
      <c r="F30" s="25">
        <f t="shared" si="0"/>
        <v>2</v>
      </c>
      <c r="G30" s="30">
        <v>2</v>
      </c>
      <c r="H30" s="31"/>
      <c r="I30" s="31">
        <v>3</v>
      </c>
      <c r="J30" s="31">
        <v>3</v>
      </c>
      <c r="K30" s="31"/>
      <c r="L30" s="65">
        <v>1</v>
      </c>
      <c r="M30" s="32">
        <f t="shared" si="1"/>
        <v>2.6666666666666665</v>
      </c>
      <c r="N30" s="52"/>
      <c r="O30" s="50"/>
      <c r="P30" s="88"/>
      <c r="Q30" s="62">
        <v>1</v>
      </c>
      <c r="R30" s="56">
        <f t="shared" si="4"/>
        <v>0</v>
      </c>
      <c r="S30" s="118">
        <f t="shared" si="5"/>
        <v>2.333333333333333</v>
      </c>
      <c r="T30" s="116" t="str">
        <f t="shared" si="3"/>
        <v>Medium</v>
      </c>
    </row>
    <row r="31" spans="1:20" ht="15.6" x14ac:dyDescent="0.3">
      <c r="A31" s="7">
        <v>28</v>
      </c>
      <c r="B31" s="8" t="s">
        <v>41</v>
      </c>
      <c r="C31" s="17"/>
      <c r="D31" s="16"/>
      <c r="E31" s="69">
        <v>1</v>
      </c>
      <c r="F31" s="22">
        <f t="shared" si="0"/>
        <v>2</v>
      </c>
      <c r="G31" s="20">
        <v>2</v>
      </c>
      <c r="H31" s="21"/>
      <c r="I31" s="21">
        <v>3</v>
      </c>
      <c r="J31" s="21">
        <v>3</v>
      </c>
      <c r="K31" s="21"/>
      <c r="L31" s="66">
        <v>1</v>
      </c>
      <c r="M31" s="15">
        <f t="shared" si="1"/>
        <v>2.6666666666666665</v>
      </c>
      <c r="N31" s="53"/>
      <c r="O31" s="51"/>
      <c r="P31" s="89"/>
      <c r="Q31" s="63">
        <v>1</v>
      </c>
      <c r="R31" s="57">
        <f t="shared" si="4"/>
        <v>0</v>
      </c>
      <c r="S31" s="119">
        <f t="shared" si="5"/>
        <v>2.333333333333333</v>
      </c>
      <c r="T31" s="116" t="str">
        <f t="shared" si="3"/>
        <v>Medium</v>
      </c>
    </row>
    <row r="32" spans="1:20" ht="15.6" x14ac:dyDescent="0.3">
      <c r="A32" s="7">
        <v>29</v>
      </c>
      <c r="B32" s="8" t="s">
        <v>42</v>
      </c>
      <c r="C32" s="23"/>
      <c r="D32" s="24"/>
      <c r="E32" s="68">
        <v>1</v>
      </c>
      <c r="F32" s="25">
        <f t="shared" si="0"/>
        <v>2</v>
      </c>
      <c r="G32" s="30">
        <v>1</v>
      </c>
      <c r="H32" s="31"/>
      <c r="I32" s="31">
        <v>3</v>
      </c>
      <c r="J32" s="31">
        <v>3</v>
      </c>
      <c r="K32" s="31"/>
      <c r="L32" s="65">
        <v>1</v>
      </c>
      <c r="M32" s="32">
        <f t="shared" si="1"/>
        <v>2.3333333333333335</v>
      </c>
      <c r="N32" s="52"/>
      <c r="O32" s="50"/>
      <c r="P32" s="88"/>
      <c r="Q32" s="62">
        <v>1</v>
      </c>
      <c r="R32" s="56">
        <f t="shared" si="4"/>
        <v>0</v>
      </c>
      <c r="S32" s="118">
        <f t="shared" si="5"/>
        <v>2.166666666666667</v>
      </c>
      <c r="T32" s="116" t="str">
        <f t="shared" si="3"/>
        <v>Medium</v>
      </c>
    </row>
    <row r="33" spans="1:20" ht="15.6" x14ac:dyDescent="0.3">
      <c r="A33" s="7">
        <v>30</v>
      </c>
      <c r="B33" s="8" t="s">
        <v>43</v>
      </c>
      <c r="C33" s="17"/>
      <c r="D33" s="16"/>
      <c r="E33" s="69">
        <v>1</v>
      </c>
      <c r="F33" s="22">
        <f t="shared" si="0"/>
        <v>2</v>
      </c>
      <c r="G33" s="20">
        <v>2</v>
      </c>
      <c r="H33" s="21"/>
      <c r="I33" s="21">
        <v>3</v>
      </c>
      <c r="J33" s="21">
        <v>3</v>
      </c>
      <c r="K33" s="21"/>
      <c r="L33" s="66">
        <v>1</v>
      </c>
      <c r="M33" s="15">
        <f t="shared" si="1"/>
        <v>2.6666666666666665</v>
      </c>
      <c r="N33" s="53"/>
      <c r="O33" s="51"/>
      <c r="P33" s="89"/>
      <c r="Q33" s="63">
        <v>1</v>
      </c>
      <c r="R33" s="57">
        <f t="shared" si="4"/>
        <v>0</v>
      </c>
      <c r="S33" s="119">
        <f t="shared" si="5"/>
        <v>2.333333333333333</v>
      </c>
      <c r="T33" s="116" t="str">
        <f t="shared" si="3"/>
        <v>Medium</v>
      </c>
    </row>
    <row r="34" spans="1:20" ht="15.6" x14ac:dyDescent="0.3">
      <c r="A34" s="7">
        <v>31</v>
      </c>
      <c r="B34" s="8" t="s">
        <v>44</v>
      </c>
      <c r="C34" s="23">
        <v>2</v>
      </c>
      <c r="D34" s="24">
        <v>2</v>
      </c>
      <c r="E34" s="68">
        <v>1</v>
      </c>
      <c r="F34" s="25">
        <f t="shared" si="0"/>
        <v>2</v>
      </c>
      <c r="G34" s="30">
        <v>2</v>
      </c>
      <c r="H34" s="31"/>
      <c r="I34" s="31">
        <v>2</v>
      </c>
      <c r="J34" s="31">
        <v>1</v>
      </c>
      <c r="K34" s="31"/>
      <c r="L34" s="65">
        <v>1</v>
      </c>
      <c r="M34" s="32">
        <f t="shared" si="1"/>
        <v>1.6666666666666667</v>
      </c>
      <c r="N34" s="52"/>
      <c r="O34" s="50"/>
      <c r="P34" s="88"/>
      <c r="Q34" s="62">
        <v>1</v>
      </c>
      <c r="R34" s="56">
        <f t="shared" si="4"/>
        <v>0</v>
      </c>
      <c r="S34" s="118">
        <f t="shared" si="5"/>
        <v>1.8333333333333335</v>
      </c>
      <c r="T34" s="116" t="str">
        <f t="shared" si="3"/>
        <v>High</v>
      </c>
    </row>
    <row r="35" spans="1:20" ht="15.6" x14ac:dyDescent="0.3">
      <c r="A35" s="7">
        <v>32</v>
      </c>
      <c r="B35" s="9" t="s">
        <v>45</v>
      </c>
      <c r="C35" s="18">
        <v>2</v>
      </c>
      <c r="D35" s="16">
        <v>3</v>
      </c>
      <c r="E35" s="69">
        <v>1</v>
      </c>
      <c r="F35" s="22">
        <f t="shared" si="0"/>
        <v>2.5</v>
      </c>
      <c r="G35" s="20">
        <v>3</v>
      </c>
      <c r="H35" s="21"/>
      <c r="I35" s="21">
        <v>3</v>
      </c>
      <c r="J35" s="21">
        <v>3</v>
      </c>
      <c r="K35" s="21"/>
      <c r="L35" s="66">
        <v>1</v>
      </c>
      <c r="M35" s="15">
        <f t="shared" si="1"/>
        <v>3</v>
      </c>
      <c r="N35" s="53"/>
      <c r="O35" s="51"/>
      <c r="P35" s="89"/>
      <c r="Q35" s="63">
        <v>1</v>
      </c>
      <c r="R35" s="57">
        <f t="shared" si="4"/>
        <v>0</v>
      </c>
      <c r="S35" s="119">
        <f t="shared" si="5"/>
        <v>2.75</v>
      </c>
      <c r="T35" s="116" t="str">
        <f t="shared" si="3"/>
        <v>Low</v>
      </c>
    </row>
    <row r="36" spans="1:20" ht="15.6" x14ac:dyDescent="0.3">
      <c r="A36" s="7">
        <v>33</v>
      </c>
      <c r="B36" s="9" t="s">
        <v>46</v>
      </c>
      <c r="C36" s="26">
        <v>2</v>
      </c>
      <c r="D36" s="24"/>
      <c r="E36" s="68">
        <v>1</v>
      </c>
      <c r="F36" s="25">
        <f t="shared" si="0"/>
        <v>2</v>
      </c>
      <c r="G36" s="30">
        <v>3</v>
      </c>
      <c r="H36" s="31"/>
      <c r="I36" s="31">
        <v>3</v>
      </c>
      <c r="J36" s="31">
        <v>3</v>
      </c>
      <c r="K36" s="31"/>
      <c r="L36" s="65">
        <v>1</v>
      </c>
      <c r="M36" s="32">
        <f t="shared" si="1"/>
        <v>3</v>
      </c>
      <c r="N36" s="52"/>
      <c r="O36" s="50"/>
      <c r="P36" s="88"/>
      <c r="Q36" s="62">
        <v>1</v>
      </c>
      <c r="R36" s="56">
        <f t="shared" si="4"/>
        <v>0</v>
      </c>
      <c r="S36" s="118">
        <f t="shared" si="5"/>
        <v>2.5</v>
      </c>
      <c r="T36" s="116" t="str">
        <f t="shared" si="3"/>
        <v>Low</v>
      </c>
    </row>
    <row r="37" spans="1:20" ht="15.6" x14ac:dyDescent="0.3">
      <c r="A37" s="7">
        <v>34</v>
      </c>
      <c r="B37" s="9" t="s">
        <v>47</v>
      </c>
      <c r="C37" s="18" t="s">
        <v>105</v>
      </c>
      <c r="D37" s="16" t="s">
        <v>105</v>
      </c>
      <c r="E37" s="69">
        <v>1</v>
      </c>
      <c r="F37" s="22">
        <f t="shared" si="0"/>
        <v>2</v>
      </c>
      <c r="G37" s="20">
        <v>2</v>
      </c>
      <c r="H37" s="21"/>
      <c r="I37" s="21">
        <v>3</v>
      </c>
      <c r="J37" s="21">
        <v>3</v>
      </c>
      <c r="K37" s="21"/>
      <c r="L37" s="66">
        <v>1</v>
      </c>
      <c r="M37" s="15">
        <f t="shared" si="1"/>
        <v>2.6666666666666665</v>
      </c>
      <c r="N37" s="53"/>
      <c r="O37" s="51"/>
      <c r="P37" s="89"/>
      <c r="Q37" s="63">
        <v>1</v>
      </c>
      <c r="R37" s="57">
        <f t="shared" si="4"/>
        <v>0</v>
      </c>
      <c r="S37" s="119">
        <f t="shared" si="5"/>
        <v>2.333333333333333</v>
      </c>
      <c r="T37" s="116" t="str">
        <f t="shared" si="3"/>
        <v>Medium</v>
      </c>
    </row>
    <row r="38" spans="1:20" ht="15.6" x14ac:dyDescent="0.3">
      <c r="A38" s="7">
        <v>35</v>
      </c>
      <c r="B38" s="9" t="s">
        <v>48</v>
      </c>
      <c r="C38" s="23">
        <v>2</v>
      </c>
      <c r="D38" s="24">
        <v>2</v>
      </c>
      <c r="E38" s="68">
        <v>1</v>
      </c>
      <c r="F38" s="25">
        <f t="shared" si="0"/>
        <v>2</v>
      </c>
      <c r="G38" s="30">
        <v>3</v>
      </c>
      <c r="H38" s="31"/>
      <c r="I38" s="31">
        <v>3</v>
      </c>
      <c r="J38" s="31">
        <v>3</v>
      </c>
      <c r="K38" s="31"/>
      <c r="L38" s="65">
        <v>1</v>
      </c>
      <c r="M38" s="32">
        <f t="shared" si="1"/>
        <v>3</v>
      </c>
      <c r="N38" s="52"/>
      <c r="O38" s="50"/>
      <c r="P38" s="88"/>
      <c r="Q38" s="62">
        <v>1</v>
      </c>
      <c r="R38" s="56">
        <f t="shared" si="4"/>
        <v>0</v>
      </c>
      <c r="S38" s="118">
        <f t="shared" si="5"/>
        <v>2.5</v>
      </c>
      <c r="T38" s="116" t="str">
        <f t="shared" si="3"/>
        <v>Low</v>
      </c>
    </row>
    <row r="39" spans="1:20" ht="15.6" x14ac:dyDescent="0.3">
      <c r="A39" s="7">
        <v>36</v>
      </c>
      <c r="B39" s="8" t="s">
        <v>49</v>
      </c>
      <c r="C39" s="17">
        <v>2</v>
      </c>
      <c r="D39" s="16">
        <v>2</v>
      </c>
      <c r="E39" s="69">
        <v>1</v>
      </c>
      <c r="F39" s="22">
        <f t="shared" si="0"/>
        <v>2</v>
      </c>
      <c r="G39" s="20">
        <v>3</v>
      </c>
      <c r="H39" s="21"/>
      <c r="I39" s="21">
        <v>3</v>
      </c>
      <c r="J39" s="21">
        <v>3</v>
      </c>
      <c r="K39" s="21"/>
      <c r="L39" s="66">
        <v>1</v>
      </c>
      <c r="M39" s="15">
        <f t="shared" si="1"/>
        <v>3</v>
      </c>
      <c r="N39" s="53"/>
      <c r="O39" s="51"/>
      <c r="P39" s="89"/>
      <c r="Q39" s="63">
        <v>1</v>
      </c>
      <c r="R39" s="57">
        <f t="shared" si="4"/>
        <v>0</v>
      </c>
      <c r="S39" s="119">
        <f t="shared" si="5"/>
        <v>2.5</v>
      </c>
      <c r="T39" s="116" t="str">
        <f t="shared" si="3"/>
        <v>Low</v>
      </c>
    </row>
    <row r="40" spans="1:20" ht="15.6" x14ac:dyDescent="0.3">
      <c r="A40" s="7">
        <v>37</v>
      </c>
      <c r="B40" s="8" t="s">
        <v>50</v>
      </c>
      <c r="C40" s="23">
        <v>3</v>
      </c>
      <c r="D40" s="24"/>
      <c r="E40" s="68">
        <v>1</v>
      </c>
      <c r="F40" s="25">
        <f t="shared" si="0"/>
        <v>3</v>
      </c>
      <c r="G40" s="30">
        <v>3</v>
      </c>
      <c r="H40" s="31"/>
      <c r="I40" s="31">
        <v>3</v>
      </c>
      <c r="J40" s="31">
        <v>3</v>
      </c>
      <c r="K40" s="31"/>
      <c r="L40" s="65">
        <v>1</v>
      </c>
      <c r="M40" s="32">
        <f t="shared" si="1"/>
        <v>3</v>
      </c>
      <c r="N40" s="52"/>
      <c r="O40" s="50"/>
      <c r="P40" s="88"/>
      <c r="Q40" s="62">
        <v>1</v>
      </c>
      <c r="R40" s="56">
        <f t="shared" si="4"/>
        <v>0</v>
      </c>
      <c r="S40" s="118">
        <f t="shared" si="5"/>
        <v>3</v>
      </c>
      <c r="T40" s="116" t="str">
        <f t="shared" si="3"/>
        <v>Low</v>
      </c>
    </row>
    <row r="41" spans="1:20" ht="15.6" x14ac:dyDescent="0.3">
      <c r="A41" s="7">
        <v>38</v>
      </c>
      <c r="B41" s="8" t="s">
        <v>51</v>
      </c>
      <c r="C41" s="17">
        <v>3</v>
      </c>
      <c r="D41" s="16">
        <v>2</v>
      </c>
      <c r="E41" s="69">
        <v>1</v>
      </c>
      <c r="F41" s="22">
        <f t="shared" si="0"/>
        <v>2.5</v>
      </c>
      <c r="G41" s="20">
        <v>1</v>
      </c>
      <c r="H41" s="21"/>
      <c r="I41" s="21">
        <v>3</v>
      </c>
      <c r="J41" s="21">
        <v>3</v>
      </c>
      <c r="K41" s="21"/>
      <c r="L41" s="66">
        <v>1</v>
      </c>
      <c r="M41" s="15">
        <f t="shared" si="1"/>
        <v>2.3333333333333335</v>
      </c>
      <c r="N41" s="53"/>
      <c r="O41" s="51"/>
      <c r="P41" s="89"/>
      <c r="Q41" s="63">
        <v>1</v>
      </c>
      <c r="R41" s="57">
        <f t="shared" si="4"/>
        <v>0</v>
      </c>
      <c r="S41" s="119">
        <f t="shared" si="5"/>
        <v>2.416666666666667</v>
      </c>
      <c r="T41" s="116" t="str">
        <f t="shared" si="3"/>
        <v>Low</v>
      </c>
    </row>
    <row r="42" spans="1:20" ht="15.6" x14ac:dyDescent="0.3">
      <c r="A42" s="7">
        <v>39</v>
      </c>
      <c r="B42" s="8" t="s">
        <v>52</v>
      </c>
      <c r="C42" s="23">
        <v>2</v>
      </c>
      <c r="D42" s="24"/>
      <c r="E42" s="68">
        <v>1</v>
      </c>
      <c r="F42" s="25">
        <f t="shared" si="0"/>
        <v>2</v>
      </c>
      <c r="G42" s="30">
        <v>3</v>
      </c>
      <c r="H42" s="31"/>
      <c r="I42" s="31">
        <v>3</v>
      </c>
      <c r="J42" s="31">
        <v>3</v>
      </c>
      <c r="K42" s="31"/>
      <c r="L42" s="65">
        <v>1</v>
      </c>
      <c r="M42" s="32">
        <f t="shared" si="1"/>
        <v>3</v>
      </c>
      <c r="N42" s="52"/>
      <c r="O42" s="50"/>
      <c r="P42" s="88"/>
      <c r="Q42" s="62">
        <v>1</v>
      </c>
      <c r="R42" s="56">
        <f t="shared" si="4"/>
        <v>0</v>
      </c>
      <c r="S42" s="118">
        <f t="shared" si="5"/>
        <v>2.5</v>
      </c>
      <c r="T42" s="116" t="str">
        <f t="shared" si="3"/>
        <v>Low</v>
      </c>
    </row>
    <row r="43" spans="1:20" ht="15.6" x14ac:dyDescent="0.3">
      <c r="A43" s="7">
        <v>40</v>
      </c>
      <c r="B43" s="8" t="s">
        <v>53</v>
      </c>
      <c r="C43" s="17">
        <v>3</v>
      </c>
      <c r="D43" s="16">
        <v>1</v>
      </c>
      <c r="E43" s="69">
        <v>1</v>
      </c>
      <c r="F43" s="22">
        <f t="shared" si="0"/>
        <v>2</v>
      </c>
      <c r="G43" s="20">
        <v>3</v>
      </c>
      <c r="H43" s="21"/>
      <c r="I43" s="21">
        <v>3</v>
      </c>
      <c r="J43" s="21">
        <v>3</v>
      </c>
      <c r="K43" s="21"/>
      <c r="L43" s="66">
        <v>1</v>
      </c>
      <c r="M43" s="15">
        <f t="shared" si="1"/>
        <v>3</v>
      </c>
      <c r="N43" s="53"/>
      <c r="O43" s="51"/>
      <c r="P43" s="89"/>
      <c r="Q43" s="63">
        <v>1</v>
      </c>
      <c r="R43" s="57">
        <f t="shared" si="4"/>
        <v>0</v>
      </c>
      <c r="S43" s="119">
        <f t="shared" si="5"/>
        <v>2.5</v>
      </c>
      <c r="T43" s="116" t="str">
        <f t="shared" si="3"/>
        <v>Low</v>
      </c>
    </row>
    <row r="44" spans="1:20" ht="15.6" x14ac:dyDescent="0.3">
      <c r="A44" s="7">
        <v>41</v>
      </c>
      <c r="B44" s="8" t="s">
        <v>54</v>
      </c>
      <c r="C44" s="23">
        <v>3</v>
      </c>
      <c r="D44" s="24"/>
      <c r="E44" s="68">
        <v>1</v>
      </c>
      <c r="F44" s="25">
        <f t="shared" si="0"/>
        <v>3</v>
      </c>
      <c r="G44" s="30">
        <v>3</v>
      </c>
      <c r="H44" s="31"/>
      <c r="I44" s="31">
        <v>3</v>
      </c>
      <c r="J44" s="31">
        <v>3</v>
      </c>
      <c r="K44" s="31"/>
      <c r="L44" s="65">
        <v>1</v>
      </c>
      <c r="M44" s="32">
        <f t="shared" si="1"/>
        <v>3</v>
      </c>
      <c r="N44" s="52"/>
      <c r="O44" s="50"/>
      <c r="P44" s="88"/>
      <c r="Q44" s="62">
        <v>1</v>
      </c>
      <c r="R44" s="56">
        <f t="shared" si="4"/>
        <v>0</v>
      </c>
      <c r="S44" s="118">
        <f t="shared" si="5"/>
        <v>3</v>
      </c>
      <c r="T44" s="116" t="str">
        <f t="shared" si="3"/>
        <v>Low</v>
      </c>
    </row>
    <row r="45" spans="1:20" ht="15.6" x14ac:dyDescent="0.3">
      <c r="A45" s="7">
        <v>42</v>
      </c>
      <c r="B45" s="8" t="s">
        <v>55</v>
      </c>
      <c r="C45" s="17">
        <v>1</v>
      </c>
      <c r="D45" s="16">
        <v>2</v>
      </c>
      <c r="E45" s="69">
        <v>1</v>
      </c>
      <c r="F45" s="22">
        <f t="shared" si="0"/>
        <v>1.5</v>
      </c>
      <c r="G45" s="20">
        <v>3</v>
      </c>
      <c r="H45" s="21"/>
      <c r="I45" s="21">
        <v>3</v>
      </c>
      <c r="J45" s="21">
        <v>3</v>
      </c>
      <c r="K45" s="21"/>
      <c r="L45" s="66">
        <v>1</v>
      </c>
      <c r="M45" s="15">
        <f t="shared" si="1"/>
        <v>3</v>
      </c>
      <c r="N45" s="53"/>
      <c r="O45" s="51"/>
      <c r="P45" s="89"/>
      <c r="Q45" s="63">
        <v>1</v>
      </c>
      <c r="R45" s="57">
        <f t="shared" si="4"/>
        <v>0</v>
      </c>
      <c r="S45" s="119">
        <f t="shared" si="5"/>
        <v>2.25</v>
      </c>
      <c r="T45" s="116" t="str">
        <f t="shared" si="3"/>
        <v>Medium</v>
      </c>
    </row>
    <row r="46" spans="1:20" ht="15.6" x14ac:dyDescent="0.3">
      <c r="A46" s="7">
        <v>43</v>
      </c>
      <c r="B46" s="8" t="s">
        <v>56</v>
      </c>
      <c r="C46" s="23"/>
      <c r="D46" s="24">
        <v>2</v>
      </c>
      <c r="E46" s="68">
        <v>1</v>
      </c>
      <c r="F46" s="25">
        <f t="shared" si="0"/>
        <v>2</v>
      </c>
      <c r="G46" s="30">
        <v>1</v>
      </c>
      <c r="H46" s="31"/>
      <c r="I46" s="31">
        <v>3</v>
      </c>
      <c r="J46" s="31">
        <v>3</v>
      </c>
      <c r="K46" s="31"/>
      <c r="L46" s="65">
        <v>1</v>
      </c>
      <c r="M46" s="32">
        <f t="shared" si="1"/>
        <v>2.3333333333333335</v>
      </c>
      <c r="N46" s="52"/>
      <c r="O46" s="50"/>
      <c r="P46" s="88"/>
      <c r="Q46" s="62">
        <v>1</v>
      </c>
      <c r="R46" s="56">
        <f t="shared" si="4"/>
        <v>0</v>
      </c>
      <c r="S46" s="118">
        <f t="shared" si="5"/>
        <v>2.166666666666667</v>
      </c>
      <c r="T46" s="116" t="str">
        <f t="shared" si="3"/>
        <v>Medium</v>
      </c>
    </row>
    <row r="47" spans="1:20" ht="15.6" x14ac:dyDescent="0.3">
      <c r="A47" s="7">
        <v>44</v>
      </c>
      <c r="B47" s="8" t="s">
        <v>57</v>
      </c>
      <c r="C47" s="17">
        <v>2</v>
      </c>
      <c r="D47" s="16">
        <v>1</v>
      </c>
      <c r="E47" s="69">
        <v>1</v>
      </c>
      <c r="F47" s="22">
        <f t="shared" si="0"/>
        <v>1.5</v>
      </c>
      <c r="G47" s="20">
        <v>2</v>
      </c>
      <c r="H47" s="21"/>
      <c r="I47" s="21">
        <v>3</v>
      </c>
      <c r="J47" s="21">
        <v>3</v>
      </c>
      <c r="K47" s="21"/>
      <c r="L47" s="66">
        <v>1</v>
      </c>
      <c r="M47" s="15">
        <f t="shared" si="1"/>
        <v>2.6666666666666665</v>
      </c>
      <c r="N47" s="53"/>
      <c r="O47" s="51"/>
      <c r="P47" s="89"/>
      <c r="Q47" s="63">
        <v>1</v>
      </c>
      <c r="R47" s="57">
        <f t="shared" si="4"/>
        <v>0</v>
      </c>
      <c r="S47" s="119">
        <f t="shared" si="5"/>
        <v>2.083333333333333</v>
      </c>
      <c r="T47" s="116" t="str">
        <f t="shared" si="3"/>
        <v>Medium</v>
      </c>
    </row>
    <row r="48" spans="1:20" ht="15.6" x14ac:dyDescent="0.3">
      <c r="A48" s="7">
        <v>45</v>
      </c>
      <c r="B48" s="8" t="s">
        <v>58</v>
      </c>
      <c r="C48" s="23"/>
      <c r="D48" s="24"/>
      <c r="E48" s="68">
        <v>1</v>
      </c>
      <c r="F48" s="25">
        <f t="shared" si="0"/>
        <v>2</v>
      </c>
      <c r="G48" s="30">
        <v>2</v>
      </c>
      <c r="H48" s="31"/>
      <c r="I48" s="31">
        <v>3</v>
      </c>
      <c r="J48" s="31">
        <v>3</v>
      </c>
      <c r="K48" s="31"/>
      <c r="L48" s="65">
        <v>1</v>
      </c>
      <c r="M48" s="32">
        <f t="shared" si="1"/>
        <v>2.6666666666666665</v>
      </c>
      <c r="N48" s="52"/>
      <c r="O48" s="50"/>
      <c r="P48" s="88"/>
      <c r="Q48" s="62">
        <v>1</v>
      </c>
      <c r="R48" s="56">
        <f t="shared" si="4"/>
        <v>0</v>
      </c>
      <c r="S48" s="118">
        <f t="shared" si="5"/>
        <v>2.333333333333333</v>
      </c>
      <c r="T48" s="116" t="str">
        <f t="shared" si="3"/>
        <v>Medium</v>
      </c>
    </row>
    <row r="49" spans="1:20" ht="15.6" x14ac:dyDescent="0.3">
      <c r="A49" s="7">
        <v>46</v>
      </c>
      <c r="B49" s="8" t="s">
        <v>59</v>
      </c>
      <c r="C49" s="17">
        <v>3</v>
      </c>
      <c r="D49" s="16">
        <v>2</v>
      </c>
      <c r="E49" s="69">
        <v>1</v>
      </c>
      <c r="F49" s="22">
        <f t="shared" si="0"/>
        <v>2.5</v>
      </c>
      <c r="G49" s="20">
        <v>3</v>
      </c>
      <c r="H49" s="21"/>
      <c r="I49" s="21">
        <v>3</v>
      </c>
      <c r="J49" s="21">
        <v>3</v>
      </c>
      <c r="K49" s="21"/>
      <c r="L49" s="66">
        <v>1</v>
      </c>
      <c r="M49" s="15">
        <f t="shared" si="1"/>
        <v>3</v>
      </c>
      <c r="N49" s="53"/>
      <c r="O49" s="51"/>
      <c r="P49" s="89"/>
      <c r="Q49" s="63">
        <v>1</v>
      </c>
      <c r="R49" s="57">
        <f t="shared" si="4"/>
        <v>0</v>
      </c>
      <c r="S49" s="119">
        <f t="shared" si="5"/>
        <v>2.75</v>
      </c>
      <c r="T49" s="116" t="str">
        <f t="shared" si="3"/>
        <v>Low</v>
      </c>
    </row>
    <row r="50" spans="1:20" ht="15.6" x14ac:dyDescent="0.3">
      <c r="A50" s="7">
        <v>47</v>
      </c>
      <c r="B50" s="8" t="s">
        <v>60</v>
      </c>
      <c r="C50" s="23">
        <v>3</v>
      </c>
      <c r="D50" s="24"/>
      <c r="E50" s="68">
        <v>1</v>
      </c>
      <c r="F50" s="25">
        <f t="shared" si="0"/>
        <v>3</v>
      </c>
      <c r="G50" s="30">
        <v>1</v>
      </c>
      <c r="H50" s="31"/>
      <c r="I50" s="31">
        <v>3</v>
      </c>
      <c r="J50" s="31">
        <v>3</v>
      </c>
      <c r="K50" s="31"/>
      <c r="L50" s="65">
        <v>1</v>
      </c>
      <c r="M50" s="32">
        <f t="shared" si="1"/>
        <v>2.3333333333333335</v>
      </c>
      <c r="N50" s="52"/>
      <c r="O50" s="50"/>
      <c r="P50" s="88"/>
      <c r="Q50" s="62">
        <v>1</v>
      </c>
      <c r="R50" s="56">
        <f t="shared" si="4"/>
        <v>0</v>
      </c>
      <c r="S50" s="118">
        <f t="shared" si="5"/>
        <v>2.666666666666667</v>
      </c>
      <c r="T50" s="116" t="str">
        <f t="shared" si="3"/>
        <v>Low</v>
      </c>
    </row>
    <row r="51" spans="1:20" ht="15.6" x14ac:dyDescent="0.3">
      <c r="A51" s="7">
        <v>48</v>
      </c>
      <c r="B51" s="8" t="s">
        <v>61</v>
      </c>
      <c r="C51" s="17">
        <v>3</v>
      </c>
      <c r="D51" s="16">
        <v>3</v>
      </c>
      <c r="E51" s="69">
        <v>1</v>
      </c>
      <c r="F51" s="22">
        <f t="shared" si="0"/>
        <v>3</v>
      </c>
      <c r="G51" s="20">
        <v>3</v>
      </c>
      <c r="H51" s="21"/>
      <c r="I51" s="21">
        <v>1</v>
      </c>
      <c r="J51" s="21">
        <v>1</v>
      </c>
      <c r="K51" s="21"/>
      <c r="L51" s="66">
        <v>1</v>
      </c>
      <c r="M51" s="15">
        <f t="shared" si="1"/>
        <v>1.6666666666666667</v>
      </c>
      <c r="N51" s="53"/>
      <c r="O51" s="51"/>
      <c r="P51" s="89"/>
      <c r="Q51" s="63">
        <v>1</v>
      </c>
      <c r="R51" s="57">
        <f t="shared" si="4"/>
        <v>0</v>
      </c>
      <c r="S51" s="119">
        <f t="shared" si="5"/>
        <v>2.3333333333333335</v>
      </c>
      <c r="T51" s="116" t="str">
        <f t="shared" si="3"/>
        <v>Medium</v>
      </c>
    </row>
    <row r="52" spans="1:20" ht="16.2" thickBot="1" x14ac:dyDescent="0.35">
      <c r="A52" s="10">
        <v>49</v>
      </c>
      <c r="B52" s="11" t="s">
        <v>62</v>
      </c>
      <c r="C52" s="27">
        <v>3</v>
      </c>
      <c r="D52" s="28">
        <v>3</v>
      </c>
      <c r="E52" s="70">
        <v>1</v>
      </c>
      <c r="F52" s="29">
        <f t="shared" si="0"/>
        <v>3</v>
      </c>
      <c r="G52" s="33">
        <v>2</v>
      </c>
      <c r="H52" s="34"/>
      <c r="I52" s="34">
        <v>2</v>
      </c>
      <c r="J52" s="34">
        <v>1</v>
      </c>
      <c r="K52" s="34"/>
      <c r="L52" s="67">
        <v>1</v>
      </c>
      <c r="M52" s="35">
        <f t="shared" si="1"/>
        <v>1.6666666666666667</v>
      </c>
      <c r="N52" s="54"/>
      <c r="O52" s="55"/>
      <c r="P52" s="90"/>
      <c r="Q52" s="64">
        <v>1</v>
      </c>
      <c r="R52" s="56">
        <f t="shared" si="4"/>
        <v>0</v>
      </c>
      <c r="S52" s="120">
        <f t="shared" si="5"/>
        <v>2.3333333333333335</v>
      </c>
      <c r="T52" s="116" t="str">
        <f t="shared" si="3"/>
        <v>Medium</v>
      </c>
    </row>
    <row r="53" spans="1:20" ht="15" thickBot="1" x14ac:dyDescent="0.35">
      <c r="B53" s="13"/>
      <c r="C53" s="19"/>
      <c r="O53" s="249" t="s">
        <v>115</v>
      </c>
      <c r="P53" s="248"/>
      <c r="Q53" s="250"/>
      <c r="R53" s="251"/>
      <c r="S53" s="73" t="s">
        <v>116</v>
      </c>
    </row>
    <row r="54" spans="1:20" ht="14.4" customHeight="1" x14ac:dyDescent="0.3">
      <c r="B54" s="13"/>
      <c r="C54" s="19"/>
      <c r="O54" s="234" t="s">
        <v>110</v>
      </c>
      <c r="P54" s="235"/>
      <c r="Q54" s="235"/>
      <c r="R54" s="235"/>
      <c r="S54" s="236"/>
      <c r="T54" s="117"/>
    </row>
    <row r="55" spans="1:20" x14ac:dyDescent="0.3">
      <c r="B55" s="13"/>
      <c r="C55" s="19"/>
      <c r="O55" s="237"/>
      <c r="P55" s="238"/>
      <c r="Q55" s="238"/>
      <c r="R55" s="238"/>
      <c r="S55" s="239"/>
    </row>
    <row r="56" spans="1:20" x14ac:dyDescent="0.3">
      <c r="B56" s="13"/>
      <c r="C56" s="19"/>
      <c r="O56" s="237"/>
      <c r="P56" s="238"/>
      <c r="Q56" s="238"/>
      <c r="R56" s="238"/>
      <c r="S56" s="239"/>
    </row>
    <row r="57" spans="1:20" ht="15" thickBot="1" x14ac:dyDescent="0.35">
      <c r="B57" s="13"/>
      <c r="C57" s="19"/>
      <c r="O57" s="240"/>
      <c r="P57" s="241"/>
      <c r="Q57" s="241"/>
      <c r="R57" s="241"/>
      <c r="S57" s="242"/>
    </row>
    <row r="58" spans="1:20" x14ac:dyDescent="0.3">
      <c r="B58" s="13"/>
      <c r="C58" s="19"/>
      <c r="O58" s="72"/>
      <c r="P58" s="72"/>
      <c r="Q58" s="72"/>
      <c r="R58" s="72"/>
    </row>
    <row r="59" spans="1:20" x14ac:dyDescent="0.3">
      <c r="B59" s="13"/>
      <c r="C59" s="19"/>
      <c r="O59" s="72"/>
      <c r="P59" s="72"/>
      <c r="Q59" s="72"/>
      <c r="R59" s="72"/>
    </row>
    <row r="60" spans="1:20" x14ac:dyDescent="0.3">
      <c r="B60" s="13"/>
      <c r="C60" s="19"/>
      <c r="O60" s="72"/>
      <c r="P60" s="72"/>
      <c r="Q60" s="72"/>
      <c r="R60" s="72"/>
    </row>
    <row r="61" spans="1:20" x14ac:dyDescent="0.3">
      <c r="B61" s="13"/>
      <c r="C61" s="19"/>
      <c r="O61" s="72"/>
      <c r="P61" s="72"/>
      <c r="Q61" s="72"/>
      <c r="R61" s="72"/>
    </row>
    <row r="62" spans="1:20" x14ac:dyDescent="0.3">
      <c r="B62" s="13"/>
      <c r="C62" s="19"/>
    </row>
    <row r="63" spans="1:20" x14ac:dyDescent="0.3">
      <c r="B63" s="13"/>
      <c r="C63" s="19"/>
    </row>
    <row r="64" spans="1:20" x14ac:dyDescent="0.3">
      <c r="B64" s="13"/>
      <c r="C64" s="19"/>
    </row>
    <row r="65" spans="2:3" x14ac:dyDescent="0.3">
      <c r="B65" s="13"/>
      <c r="C65" s="19"/>
    </row>
    <row r="66" spans="2:3" x14ac:dyDescent="0.3">
      <c r="B66" s="13"/>
      <c r="C66" s="19"/>
    </row>
    <row r="67" spans="2:3" x14ac:dyDescent="0.3">
      <c r="B67" s="13"/>
      <c r="C67" s="19"/>
    </row>
    <row r="68" spans="2:3" x14ac:dyDescent="0.3">
      <c r="B68" s="13"/>
      <c r="C68" s="19"/>
    </row>
    <row r="69" spans="2:3" x14ac:dyDescent="0.3">
      <c r="B69" s="13"/>
      <c r="C69" s="19"/>
    </row>
    <row r="70" spans="2:3" x14ac:dyDescent="0.3">
      <c r="B70" s="13"/>
      <c r="C70" s="19"/>
    </row>
    <row r="71" spans="2:3" x14ac:dyDescent="0.3">
      <c r="B71" s="13"/>
      <c r="C71" s="19"/>
    </row>
    <row r="72" spans="2:3" x14ac:dyDescent="0.3">
      <c r="B72" s="13"/>
      <c r="C72" s="19"/>
    </row>
    <row r="73" spans="2:3" x14ac:dyDescent="0.3">
      <c r="B73" s="13"/>
      <c r="C73" s="19"/>
    </row>
    <row r="74" spans="2:3" x14ac:dyDescent="0.3">
      <c r="B74" s="13"/>
      <c r="C74" s="19"/>
    </row>
    <row r="75" spans="2:3" x14ac:dyDescent="0.3">
      <c r="B75" s="13"/>
      <c r="C75" s="19"/>
    </row>
    <row r="76" spans="2:3" x14ac:dyDescent="0.3">
      <c r="B76" s="13"/>
      <c r="C76" s="19"/>
    </row>
    <row r="77" spans="2:3" x14ac:dyDescent="0.3">
      <c r="B77" s="13"/>
      <c r="C77" s="19"/>
    </row>
    <row r="78" spans="2:3" x14ac:dyDescent="0.3">
      <c r="B78" s="13"/>
      <c r="C78" s="19"/>
    </row>
    <row r="79" spans="2:3" x14ac:dyDescent="0.3">
      <c r="B79" s="13"/>
      <c r="C79" s="19"/>
    </row>
    <row r="80" spans="2:3" x14ac:dyDescent="0.3">
      <c r="B80" s="13"/>
      <c r="C80" s="19"/>
    </row>
    <row r="81" spans="2:3" x14ac:dyDescent="0.3">
      <c r="B81" s="13"/>
      <c r="C81" s="19"/>
    </row>
    <row r="82" spans="2:3" x14ac:dyDescent="0.3">
      <c r="B82" s="13"/>
      <c r="C82" s="19"/>
    </row>
    <row r="83" spans="2:3" x14ac:dyDescent="0.3">
      <c r="B83" s="13"/>
      <c r="C83" s="19"/>
    </row>
    <row r="84" spans="2:3" x14ac:dyDescent="0.3">
      <c r="B84" s="13"/>
      <c r="C84" s="19"/>
    </row>
    <row r="85" spans="2:3" x14ac:dyDescent="0.3">
      <c r="B85" s="13"/>
      <c r="C85" s="19"/>
    </row>
    <row r="86" spans="2:3" x14ac:dyDescent="0.3">
      <c r="B86" s="13"/>
      <c r="C86" s="19"/>
    </row>
    <row r="87" spans="2:3" x14ac:dyDescent="0.3">
      <c r="B87" s="13"/>
      <c r="C87" s="19"/>
    </row>
    <row r="88" spans="2:3" x14ac:dyDescent="0.3">
      <c r="B88" s="13"/>
      <c r="C88" s="19"/>
    </row>
    <row r="89" spans="2:3" x14ac:dyDescent="0.3">
      <c r="B89" s="13"/>
      <c r="C89" s="19"/>
    </row>
    <row r="90" spans="2:3" x14ac:dyDescent="0.3">
      <c r="B90" s="13"/>
      <c r="C90" s="19"/>
    </row>
    <row r="91" spans="2:3" x14ac:dyDescent="0.3">
      <c r="B91" s="13"/>
      <c r="C91" s="19"/>
    </row>
    <row r="92" spans="2:3" x14ac:dyDescent="0.3">
      <c r="B92" s="13"/>
      <c r="C92" s="19"/>
    </row>
    <row r="93" spans="2:3" x14ac:dyDescent="0.3">
      <c r="B93" s="13"/>
      <c r="C93" s="19"/>
    </row>
    <row r="94" spans="2:3" x14ac:dyDescent="0.3">
      <c r="B94" s="13"/>
      <c r="C94" s="19"/>
    </row>
    <row r="95" spans="2:3" x14ac:dyDescent="0.3">
      <c r="B95" s="13"/>
      <c r="C95" s="19"/>
    </row>
    <row r="96" spans="2:3" x14ac:dyDescent="0.3">
      <c r="B96" s="13"/>
      <c r="C96" s="19"/>
    </row>
    <row r="97" spans="2:3" x14ac:dyDescent="0.3">
      <c r="B97" s="13"/>
      <c r="C97" s="19"/>
    </row>
    <row r="98" spans="2:3" x14ac:dyDescent="0.3">
      <c r="B98" s="13"/>
      <c r="C98" s="19"/>
    </row>
    <row r="99" spans="2:3" x14ac:dyDescent="0.3">
      <c r="B99" s="13"/>
      <c r="C99" s="19"/>
    </row>
    <row r="100" spans="2:3" x14ac:dyDescent="0.3">
      <c r="B100" s="13"/>
      <c r="C100" s="19"/>
    </row>
    <row r="101" spans="2:3" x14ac:dyDescent="0.3">
      <c r="B101" s="13"/>
      <c r="C101" s="19"/>
    </row>
    <row r="102" spans="2:3" x14ac:dyDescent="0.3">
      <c r="B102" s="13"/>
      <c r="C102" s="19"/>
    </row>
    <row r="103" spans="2:3" x14ac:dyDescent="0.3">
      <c r="B103" s="13"/>
      <c r="C103" s="19"/>
    </row>
    <row r="104" spans="2:3" x14ac:dyDescent="0.3">
      <c r="B104" s="13"/>
      <c r="C104" s="19"/>
    </row>
    <row r="105" spans="2:3" x14ac:dyDescent="0.3">
      <c r="B105" s="13"/>
      <c r="C105" s="19"/>
    </row>
    <row r="106" spans="2:3" x14ac:dyDescent="0.3">
      <c r="B106" s="13"/>
      <c r="C106" s="19"/>
    </row>
    <row r="107" spans="2:3" x14ac:dyDescent="0.3">
      <c r="B107" s="13"/>
      <c r="C107" s="19"/>
    </row>
    <row r="108" spans="2:3" x14ac:dyDescent="0.3">
      <c r="B108" s="13"/>
      <c r="C108" s="19"/>
    </row>
    <row r="109" spans="2:3" x14ac:dyDescent="0.3">
      <c r="B109" s="13"/>
      <c r="C109" s="19"/>
    </row>
    <row r="110" spans="2:3" x14ac:dyDescent="0.3">
      <c r="B110" s="13"/>
      <c r="C110" s="19"/>
    </row>
    <row r="111" spans="2:3" x14ac:dyDescent="0.3">
      <c r="B111" s="13"/>
      <c r="C111" s="19"/>
    </row>
    <row r="112" spans="2:3" x14ac:dyDescent="0.3">
      <c r="B112" s="13"/>
      <c r="C112" s="19"/>
    </row>
    <row r="113" spans="2:3" x14ac:dyDescent="0.3">
      <c r="B113" s="13"/>
      <c r="C113" s="19"/>
    </row>
    <row r="114" spans="2:3" x14ac:dyDescent="0.3">
      <c r="B114" s="13"/>
      <c r="C114" s="19"/>
    </row>
    <row r="115" spans="2:3" x14ac:dyDescent="0.3">
      <c r="B115" s="13"/>
      <c r="C115" s="19"/>
    </row>
    <row r="116" spans="2:3" x14ac:dyDescent="0.3">
      <c r="B116" s="13"/>
      <c r="C116" s="19"/>
    </row>
    <row r="117" spans="2:3" x14ac:dyDescent="0.3">
      <c r="B117" s="13"/>
      <c r="C117" s="19"/>
    </row>
    <row r="118" spans="2:3" x14ac:dyDescent="0.3">
      <c r="B118" s="13"/>
      <c r="C118" s="19"/>
    </row>
    <row r="119" spans="2:3" x14ac:dyDescent="0.3">
      <c r="B119" s="13"/>
      <c r="C119" s="19"/>
    </row>
    <row r="120" spans="2:3" x14ac:dyDescent="0.3">
      <c r="B120" s="13"/>
      <c r="C120" s="19"/>
    </row>
    <row r="121" spans="2:3" x14ac:dyDescent="0.3">
      <c r="B121" s="13"/>
      <c r="C121" s="19"/>
    </row>
    <row r="122" spans="2:3" x14ac:dyDescent="0.3">
      <c r="B122" s="13"/>
      <c r="C122" s="19"/>
    </row>
    <row r="123" spans="2:3" x14ac:dyDescent="0.3">
      <c r="B123" s="13"/>
      <c r="C123" s="19"/>
    </row>
    <row r="124" spans="2:3" x14ac:dyDescent="0.3">
      <c r="B124" s="13"/>
      <c r="C124" s="19"/>
    </row>
    <row r="125" spans="2:3" x14ac:dyDescent="0.3">
      <c r="B125" s="13"/>
      <c r="C125" s="19"/>
    </row>
    <row r="126" spans="2:3" x14ac:dyDescent="0.3">
      <c r="B126" s="13"/>
      <c r="C126" s="19"/>
    </row>
    <row r="127" spans="2:3" x14ac:dyDescent="0.3">
      <c r="B127" s="13"/>
      <c r="C127" s="19"/>
    </row>
    <row r="128" spans="2:3" x14ac:dyDescent="0.3">
      <c r="B128" s="13"/>
      <c r="C128" s="19"/>
    </row>
    <row r="129" spans="2:3" x14ac:dyDescent="0.3">
      <c r="B129" s="13"/>
      <c r="C129" s="19"/>
    </row>
    <row r="130" spans="2:3" x14ac:dyDescent="0.3">
      <c r="B130" s="13"/>
      <c r="C130" s="19"/>
    </row>
    <row r="131" spans="2:3" x14ac:dyDescent="0.3">
      <c r="B131" s="13"/>
      <c r="C131" s="19"/>
    </row>
    <row r="132" spans="2:3" x14ac:dyDescent="0.3">
      <c r="B132" s="13"/>
      <c r="C132" s="19"/>
    </row>
  </sheetData>
  <mergeCells count="11">
    <mergeCell ref="O54:S57"/>
    <mergeCell ref="S1:S2"/>
    <mergeCell ref="N1:R1"/>
    <mergeCell ref="W1:X1"/>
    <mergeCell ref="O53:R53"/>
    <mergeCell ref="T1:T3"/>
    <mergeCell ref="A3:B3"/>
    <mergeCell ref="A1:A2"/>
    <mergeCell ref="B1:B2"/>
    <mergeCell ref="C1:F1"/>
    <mergeCell ref="G1:M1"/>
  </mergeCells>
  <conditionalFormatting sqref="T4:T52">
    <cfRule type="containsText" dxfId="23" priority="1" stopIfTrue="1" operator="containsText" text="High">
      <formula>NOT(ISERROR(SEARCH("High",T4)))</formula>
    </cfRule>
    <cfRule type="containsText" dxfId="22" priority="2" stopIfTrue="1" operator="containsText" text="Medium">
      <formula>NOT(ISERROR(SEARCH("Medium",T4)))</formula>
    </cfRule>
    <cfRule type="containsText" dxfId="21" priority="3" stopIfTrue="1" operator="containsText" text="Low">
      <formula>NOT(ISERROR(SEARCH("Low",T4)))</formula>
    </cfRule>
  </conditionalFormatting>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B0335-043B-4160-8F0E-AF5DD43AD616}">
  <dimension ref="A1:AB23"/>
  <sheetViews>
    <sheetView tabSelected="1" zoomScale="70" zoomScaleNormal="70" workbookViewId="0">
      <pane xSplit="5" topLeftCell="F1" activePane="topRight" state="frozen"/>
      <selection pane="topRight" activeCell="AB19" sqref="AB19"/>
    </sheetView>
  </sheetViews>
  <sheetFormatPr defaultRowHeight="14.4" x14ac:dyDescent="0.3"/>
  <cols>
    <col min="1" max="1" width="19.44140625" customWidth="1"/>
    <col min="2" max="2" width="38.5546875" customWidth="1"/>
    <col min="3" max="3" width="10.44140625" customWidth="1"/>
    <col min="4" max="4" width="13.109375" customWidth="1"/>
    <col min="5" max="5" width="12.33203125" customWidth="1"/>
    <col min="6" max="6" width="14.77734375" style="139" customWidth="1"/>
    <col min="7" max="7" width="19.109375" style="139" customWidth="1"/>
    <col min="8" max="8" width="40.109375" style="139" customWidth="1"/>
    <col min="9" max="9" width="62.44140625" style="139" customWidth="1"/>
    <col min="10" max="10" width="17.5546875" style="139" customWidth="1"/>
    <col min="11" max="11" width="19.109375" style="139" customWidth="1"/>
    <col min="12" max="12" width="45.44140625" style="139" customWidth="1"/>
    <col min="13" max="13" width="62" style="139" customWidth="1"/>
    <col min="14" max="14" width="11.33203125" customWidth="1"/>
    <col min="15" max="15" width="14.5546875" customWidth="1"/>
    <col min="16" max="16" width="35.21875" customWidth="1"/>
    <col min="17" max="17" width="51.109375" customWidth="1"/>
    <col min="18" max="18" width="12.6640625" customWidth="1"/>
    <col min="19" max="19" width="11.6640625" customWidth="1"/>
    <col min="20" max="20" width="40.5546875" customWidth="1"/>
    <col min="21" max="21" width="60.109375" customWidth="1"/>
    <col min="22" max="22" width="12.109375" style="139" customWidth="1"/>
    <col min="23" max="23" width="11.6640625" style="139" customWidth="1"/>
    <col min="24" max="24" width="45.21875" style="139" customWidth="1"/>
    <col min="25" max="25" width="58.44140625" style="139" customWidth="1"/>
    <col min="26" max="26" width="11.6640625" customWidth="1"/>
    <col min="27" max="27" width="14.109375" customWidth="1"/>
    <col min="28" max="28" width="40.33203125" customWidth="1"/>
  </cols>
  <sheetData>
    <row r="1" spans="1:28" s="141" customFormat="1" ht="15.6" customHeight="1" x14ac:dyDescent="0.3">
      <c r="A1" s="140"/>
      <c r="B1" s="140"/>
      <c r="C1" s="272" t="s">
        <v>109</v>
      </c>
      <c r="D1" s="272"/>
      <c r="E1" s="273"/>
      <c r="F1" s="255" t="s">
        <v>23</v>
      </c>
      <c r="G1" s="255"/>
      <c r="H1" s="256"/>
      <c r="I1" s="190"/>
      <c r="J1" s="254" t="s">
        <v>28</v>
      </c>
      <c r="K1" s="255"/>
      <c r="L1" s="256"/>
      <c r="M1" s="190"/>
      <c r="N1" s="254" t="s">
        <v>20</v>
      </c>
      <c r="O1" s="255"/>
      <c r="P1" s="256"/>
      <c r="Q1" s="190"/>
      <c r="R1" s="254" t="s">
        <v>18</v>
      </c>
      <c r="S1" s="255"/>
      <c r="T1" s="256"/>
      <c r="U1" s="190"/>
      <c r="V1" s="254" t="s">
        <v>25</v>
      </c>
      <c r="W1" s="255"/>
      <c r="X1" s="256"/>
      <c r="Y1" s="190"/>
      <c r="Z1" s="254" t="s">
        <v>33</v>
      </c>
      <c r="AA1" s="255"/>
      <c r="AB1" s="256"/>
    </row>
    <row r="2" spans="1:28" s="141" customFormat="1" ht="46.8" x14ac:dyDescent="0.3">
      <c r="A2" s="36" t="s">
        <v>74</v>
      </c>
      <c r="B2" s="44" t="s">
        <v>142</v>
      </c>
      <c r="C2" s="45" t="s">
        <v>106</v>
      </c>
      <c r="D2" s="48" t="s">
        <v>128</v>
      </c>
      <c r="E2" s="172" t="s">
        <v>107</v>
      </c>
      <c r="F2" s="145" t="s">
        <v>157</v>
      </c>
      <c r="G2" s="144" t="s">
        <v>219</v>
      </c>
      <c r="H2" s="155" t="s">
        <v>148</v>
      </c>
      <c r="I2" s="192"/>
      <c r="J2" s="189" t="s">
        <v>214</v>
      </c>
      <c r="K2" s="144" t="s">
        <v>219</v>
      </c>
      <c r="L2" s="155" t="s">
        <v>148</v>
      </c>
      <c r="M2" s="192"/>
      <c r="N2" s="189" t="s">
        <v>214</v>
      </c>
      <c r="O2" s="144" t="s">
        <v>219</v>
      </c>
      <c r="P2" s="155" t="s">
        <v>148</v>
      </c>
      <c r="Q2" s="192"/>
      <c r="R2" s="189" t="s">
        <v>214</v>
      </c>
      <c r="S2" s="144" t="s">
        <v>219</v>
      </c>
      <c r="T2" s="155" t="s">
        <v>148</v>
      </c>
      <c r="U2" s="192"/>
      <c r="V2" s="189" t="s">
        <v>214</v>
      </c>
      <c r="W2" s="144" t="s">
        <v>219</v>
      </c>
      <c r="X2" s="155" t="s">
        <v>148</v>
      </c>
      <c r="Y2" s="192"/>
      <c r="Z2" s="189" t="s">
        <v>214</v>
      </c>
      <c r="AA2" s="144" t="s">
        <v>219</v>
      </c>
      <c r="AB2" s="155" t="s">
        <v>148</v>
      </c>
    </row>
    <row r="3" spans="1:28" ht="111" customHeight="1" x14ac:dyDescent="0.3">
      <c r="A3" s="37" t="s">
        <v>3</v>
      </c>
      <c r="B3" s="6" t="s">
        <v>171</v>
      </c>
      <c r="C3" s="2" t="s">
        <v>1</v>
      </c>
      <c r="D3" s="2" t="s">
        <v>4</v>
      </c>
      <c r="E3" s="173" t="s">
        <v>0</v>
      </c>
      <c r="F3" s="146">
        <f>IF(ISBLANK(VLOOKUP(F$1,'All Species Scores'!$B:$S,2,FALSE)),"",VLOOKUP(F$1,'All Species Scores'!$B:$S,2,FALSE))</f>
        <v>1</v>
      </c>
      <c r="G3" s="125"/>
      <c r="H3" s="156" t="s">
        <v>149</v>
      </c>
      <c r="I3" s="19"/>
      <c r="J3" s="162">
        <f>IF(ISBLANK(VLOOKUP(J$1,'All Species Scores'!$B:$S,2,FALSE)),"",VLOOKUP(J$1,'All Species Scores'!$B:$S,2,FALSE))</f>
        <v>1</v>
      </c>
      <c r="K3" s="125"/>
      <c r="L3" s="156" t="s">
        <v>228</v>
      </c>
      <c r="M3" s="19"/>
      <c r="N3" s="162">
        <f>IF(ISBLANK(VLOOKUP(N$1,'All Species Scores'!$B:$S,2,FALSE)),"",VLOOKUP(N$1,'All Species Scores'!$B:$S,2,FALSE))</f>
        <v>1</v>
      </c>
      <c r="O3" s="125"/>
      <c r="P3" s="156" t="s">
        <v>167</v>
      </c>
      <c r="Q3" s="19"/>
      <c r="R3" s="162">
        <f>IF(ISBLANK(VLOOKUP(R$1,'All Species Scores'!$B:$S,2,FALSE)),"",VLOOKUP(R$1,'All Species Scores'!$B:$S,2,FALSE))</f>
        <v>1</v>
      </c>
      <c r="S3" s="125"/>
      <c r="T3" s="156" t="s">
        <v>195</v>
      </c>
      <c r="U3" s="19"/>
      <c r="V3" s="162">
        <f>IF(ISBLANK(VLOOKUP(V$1,'All Species Scores'!$B:$S,2,FALSE)),"",VLOOKUP(V$1,'All Species Scores'!$B:$S,2,FALSE))</f>
        <v>1</v>
      </c>
      <c r="W3" s="125"/>
      <c r="X3" s="156" t="s">
        <v>166</v>
      </c>
      <c r="Y3" s="19"/>
      <c r="Z3" s="162">
        <f>IF(ISBLANK(VLOOKUP(Z$1,'All Species Scores'!$B:$S,2,FALSE)),"",VLOOKUP(Z$1,'All Species Scores'!$B:$S,2,FALSE))</f>
        <v>1</v>
      </c>
      <c r="AA3" s="125"/>
      <c r="AB3" s="156" t="s">
        <v>164</v>
      </c>
    </row>
    <row r="4" spans="1:28" ht="172.8" customHeight="1" x14ac:dyDescent="0.3">
      <c r="A4" s="37" t="s">
        <v>5</v>
      </c>
      <c r="B4" s="6" t="s">
        <v>168</v>
      </c>
      <c r="C4" s="2" t="s">
        <v>8</v>
      </c>
      <c r="D4" s="2" t="s">
        <v>7</v>
      </c>
      <c r="E4" s="173" t="s">
        <v>6</v>
      </c>
      <c r="F4" s="146">
        <f>IF(ISBLANK(VLOOKUP(F$1,'All Species Scores'!$B:$S,3,FALSE)),"",VLOOKUP(F$1,'All Species Scores'!$B:$S,3,FALSE))</f>
        <v>1</v>
      </c>
      <c r="G4" s="127"/>
      <c r="H4" s="156" t="s">
        <v>158</v>
      </c>
      <c r="I4" s="19"/>
      <c r="J4" s="162">
        <f>IF(ISBLANK(VLOOKUP(J$1,'All Species Scores'!$B:$S,3,FALSE)),"",VLOOKUP(J$1,'All Species Scores'!$B:$S,3,FALSE))</f>
        <v>3</v>
      </c>
      <c r="K4" s="127"/>
      <c r="L4" s="156" t="s">
        <v>215</v>
      </c>
      <c r="M4" s="19"/>
      <c r="N4" s="162">
        <f>IF(ISBLANK(VLOOKUP(N$1,'All Species Scores'!$B:$S,3,FALSE)),"",VLOOKUP(N$1,'All Species Scores'!$B:$S,3,FALSE))</f>
        <v>2</v>
      </c>
      <c r="O4" s="127"/>
      <c r="P4" s="156" t="s">
        <v>169</v>
      </c>
      <c r="Q4" s="19"/>
      <c r="R4" s="162"/>
      <c r="S4" s="127"/>
      <c r="T4" s="156" t="s">
        <v>196</v>
      </c>
      <c r="U4" s="19"/>
      <c r="V4" s="162">
        <f>IF(ISBLANK(VLOOKUP(V$1,'All Species Scores'!$B:$S,3,FALSE)),"",VLOOKUP(V$1,'All Species Scores'!$B:$S,3,FALSE))</f>
        <v>2</v>
      </c>
      <c r="W4" s="127"/>
      <c r="X4" s="156" t="s">
        <v>221</v>
      </c>
      <c r="Y4" s="19"/>
      <c r="Z4" s="162">
        <f>IF(ISBLANK(VLOOKUP(Z$1,'All Species Scores'!$B:$S,3,FALSE)),"",VLOOKUP(Z$1,'All Species Scores'!$B:$S,3,FALSE))</f>
        <v>3</v>
      </c>
      <c r="AA4" s="127"/>
      <c r="AB4" s="156" t="s">
        <v>165</v>
      </c>
    </row>
    <row r="5" spans="1:28" ht="15.6" x14ac:dyDescent="0.3">
      <c r="A5" s="134" t="s">
        <v>155</v>
      </c>
      <c r="B5" s="132"/>
      <c r="C5" s="133"/>
      <c r="D5" s="133"/>
      <c r="E5" s="174"/>
      <c r="F5" s="147">
        <v>1</v>
      </c>
      <c r="G5" s="127">
        <v>1</v>
      </c>
      <c r="H5" s="161"/>
      <c r="I5" s="19"/>
      <c r="J5" s="163">
        <v>1</v>
      </c>
      <c r="K5" s="127">
        <v>1</v>
      </c>
      <c r="L5" s="157"/>
      <c r="M5" s="194"/>
      <c r="N5" s="163">
        <v>1</v>
      </c>
      <c r="O5" s="127">
        <v>1</v>
      </c>
      <c r="P5" s="157"/>
      <c r="Q5" s="194"/>
      <c r="R5" s="163">
        <v>1</v>
      </c>
      <c r="S5" s="127">
        <v>1</v>
      </c>
      <c r="T5" s="157"/>
      <c r="U5" s="194"/>
      <c r="V5" s="163">
        <v>1</v>
      </c>
      <c r="W5" s="127">
        <v>1</v>
      </c>
      <c r="X5" s="157"/>
      <c r="Y5" s="194"/>
      <c r="Z5" s="163">
        <v>1</v>
      </c>
      <c r="AA5" s="127">
        <v>1</v>
      </c>
      <c r="AB5" s="157"/>
    </row>
    <row r="6" spans="1:28" s="142" customFormat="1" ht="51" customHeight="1" thickBot="1" x14ac:dyDescent="0.35">
      <c r="A6" s="38" t="s">
        <v>76</v>
      </c>
      <c r="B6" s="274" t="s">
        <v>131</v>
      </c>
      <c r="C6" s="275"/>
      <c r="D6" s="275"/>
      <c r="E6" s="276"/>
      <c r="F6" s="148">
        <f>AVERAGE(F3:F4)</f>
        <v>1</v>
      </c>
      <c r="G6" s="75" t="e">
        <f>AVERAGE(G3:G4)</f>
        <v>#DIV/0!</v>
      </c>
      <c r="H6" s="158"/>
      <c r="I6" s="191"/>
      <c r="J6" s="164">
        <f>AVERAGE(J3:J4)</f>
        <v>2</v>
      </c>
      <c r="K6" s="75" t="e">
        <f>AVERAGE(K3:K4)</f>
        <v>#DIV/0!</v>
      </c>
      <c r="L6" s="158"/>
      <c r="M6" s="191"/>
      <c r="N6" s="164">
        <f>AVERAGE(N3:N4)</f>
        <v>1.5</v>
      </c>
      <c r="O6" s="75" t="e">
        <f>AVERAGE(O3:O4)</f>
        <v>#DIV/0!</v>
      </c>
      <c r="P6" s="158"/>
      <c r="Q6" s="191"/>
      <c r="R6" s="164">
        <f>AVERAGE(R3:R4)</f>
        <v>1</v>
      </c>
      <c r="S6" s="75" t="e">
        <f>AVERAGE(S3:S4)</f>
        <v>#DIV/0!</v>
      </c>
      <c r="T6" s="158"/>
      <c r="U6" s="191"/>
      <c r="V6" s="164">
        <f>AVERAGE(V3:V4)</f>
        <v>1.5</v>
      </c>
      <c r="W6" s="75" t="e">
        <f>AVERAGE(W3:W4)</f>
        <v>#DIV/0!</v>
      </c>
      <c r="X6" s="158"/>
      <c r="Y6" s="191"/>
      <c r="Z6" s="164">
        <f>AVERAGE(Z3:Z4)</f>
        <v>2</v>
      </c>
      <c r="AA6" s="75" t="e">
        <f>AVERAGE(AA3:AA4)</f>
        <v>#DIV/0!</v>
      </c>
      <c r="AB6" s="158"/>
    </row>
    <row r="7" spans="1:28" ht="31.2" x14ac:dyDescent="0.3">
      <c r="A7" s="39" t="s">
        <v>78</v>
      </c>
      <c r="B7" s="47" t="s">
        <v>142</v>
      </c>
      <c r="C7" s="45" t="s">
        <v>106</v>
      </c>
      <c r="D7" s="48" t="s">
        <v>128</v>
      </c>
      <c r="E7" s="172" t="s">
        <v>107</v>
      </c>
      <c r="F7" s="149"/>
      <c r="G7" s="128"/>
      <c r="H7" s="159"/>
      <c r="J7" s="165"/>
      <c r="K7" s="128"/>
      <c r="L7" s="159"/>
      <c r="N7" s="165"/>
      <c r="O7" s="128"/>
      <c r="P7" s="159"/>
      <c r="Q7" s="139"/>
      <c r="R7" s="165"/>
      <c r="S7" s="128"/>
      <c r="T7" s="159"/>
      <c r="U7" s="139"/>
      <c r="V7" s="165"/>
      <c r="W7" s="128"/>
      <c r="X7" s="159"/>
      <c r="Z7" s="165"/>
      <c r="AA7" s="128"/>
      <c r="AB7" s="159"/>
    </row>
    <row r="8" spans="1:28" ht="285.60000000000002" customHeight="1" x14ac:dyDescent="0.3">
      <c r="A8" s="40" t="s">
        <v>63</v>
      </c>
      <c r="B8" s="5" t="s">
        <v>134</v>
      </c>
      <c r="C8" s="3" t="s">
        <v>69</v>
      </c>
      <c r="D8" s="3" t="s">
        <v>73</v>
      </c>
      <c r="E8" s="175" t="s">
        <v>68</v>
      </c>
      <c r="F8" s="150">
        <v>3</v>
      </c>
      <c r="G8" s="129"/>
      <c r="H8" s="160" t="s">
        <v>150</v>
      </c>
      <c r="I8" s="193"/>
      <c r="J8" s="166">
        <f>IF(ISBLANK(VLOOKUP(J$1,'All Species Scores'!$B:$S,6,FALSE)),"",VLOOKUP(J$1,'All Species Scores'!$B:$S,6,FALSE))</f>
        <v>1</v>
      </c>
      <c r="K8" s="129"/>
      <c r="L8" s="160" t="s">
        <v>229</v>
      </c>
      <c r="M8" s="193"/>
      <c r="N8" s="166">
        <f>IF(ISBLANK(VLOOKUP(N$1,'All Species Scores'!$B:$S,6,FALSE)),"",VLOOKUP(N$1,'All Species Scores'!$B:$S,6,FALSE))</f>
        <v>2</v>
      </c>
      <c r="O8" s="129"/>
      <c r="P8" s="160" t="s">
        <v>190</v>
      </c>
      <c r="Q8" s="193"/>
      <c r="R8" s="166">
        <f>IF(ISBLANK(VLOOKUP(R$1,'All Species Scores'!$B:$S,6,FALSE)),"",VLOOKUP(R$1,'All Species Scores'!$B:$S,6,FALSE))</f>
        <v>1</v>
      </c>
      <c r="S8" s="129"/>
      <c r="T8" s="160" t="s">
        <v>193</v>
      </c>
      <c r="U8" s="193"/>
      <c r="V8" s="166">
        <f>IF(ISBLANK(VLOOKUP(V$1,'All Species Scores'!$B:$S,6,FALSE)),"",VLOOKUP(V$1,'All Species Scores'!$B:$S,6,FALSE))</f>
        <v>3</v>
      </c>
      <c r="W8" s="129"/>
      <c r="X8" s="187" t="s">
        <v>231</v>
      </c>
      <c r="Y8" s="195"/>
      <c r="Z8" s="166">
        <f>IF(ISBLANK(VLOOKUP(Z$1,'All Species Scores'!$B:$S,6,FALSE)),"",VLOOKUP(Z$1,'All Species Scores'!$B:$S,6,FALSE))</f>
        <v>3</v>
      </c>
      <c r="AA8" s="129"/>
      <c r="AB8" s="160" t="s">
        <v>234</v>
      </c>
    </row>
    <row r="9" spans="1:28" ht="197.4" customHeight="1" x14ac:dyDescent="0.3">
      <c r="A9" s="40" t="s">
        <v>64</v>
      </c>
      <c r="B9" s="4" t="s">
        <v>135</v>
      </c>
      <c r="C9" s="2" t="s">
        <v>71</v>
      </c>
      <c r="D9" s="2" t="s">
        <v>77</v>
      </c>
      <c r="E9" s="173" t="s">
        <v>70</v>
      </c>
      <c r="F9" s="150">
        <f>IF(ISBLANK(VLOOKUP(F$1,'All Species Scores'!$B:$S,7,FALSE)),"",VLOOKUP(F$1,'All Species Scores'!$B:$S,7,FALSE))</f>
        <v>3</v>
      </c>
      <c r="G9" s="129"/>
      <c r="H9" s="156" t="s">
        <v>159</v>
      </c>
      <c r="I9" s="19"/>
      <c r="J9" s="166">
        <f>IF(ISBLANK(VLOOKUP(J$1,'All Species Scores'!$B:$S,7,FALSE)),"",VLOOKUP(J$1,'All Species Scores'!$B:$S,7,FALSE))</f>
        <v>1</v>
      </c>
      <c r="K9" s="129"/>
      <c r="L9" s="156" t="s">
        <v>182</v>
      </c>
      <c r="M9" s="19"/>
      <c r="N9" s="166">
        <f>IF(ISBLANK(VLOOKUP(N$1,'All Species Scores'!$B:$S,7,FALSE)),"",VLOOKUP(N$1,'All Species Scores'!$B:$S,7,FALSE))</f>
        <v>3</v>
      </c>
      <c r="O9" s="129"/>
      <c r="P9" s="156" t="s">
        <v>227</v>
      </c>
      <c r="Q9" s="19"/>
      <c r="R9" s="166">
        <f>IF(ISBLANK(VLOOKUP(R$1,'All Species Scores'!$B:$S,7,FALSE)),"",VLOOKUP(R$1,'All Species Scores'!$B:$S,7,FALSE))</f>
        <v>3</v>
      </c>
      <c r="S9" s="129"/>
      <c r="T9" s="156" t="s">
        <v>194</v>
      </c>
      <c r="U9" s="19"/>
      <c r="V9" s="166">
        <v>1</v>
      </c>
      <c r="W9" s="129"/>
      <c r="X9" s="156" t="s">
        <v>232</v>
      </c>
      <c r="Y9" s="19"/>
      <c r="Z9" s="166">
        <f>IF(ISBLANK(VLOOKUP(Z$1,'All Species Scores'!$B:$S,7,FALSE)),"",VLOOKUP(Z$1,'All Species Scores'!$B:$S,7,FALSE))</f>
        <v>3</v>
      </c>
      <c r="AA9" s="129"/>
      <c r="AB9" s="156" t="s">
        <v>211</v>
      </c>
    </row>
    <row r="10" spans="1:28" ht="71.400000000000006" customHeight="1" x14ac:dyDescent="0.3">
      <c r="A10" s="200" t="s">
        <v>80</v>
      </c>
      <c r="B10" s="202" t="s">
        <v>136</v>
      </c>
      <c r="C10" s="2" t="s">
        <v>93</v>
      </c>
      <c r="D10" s="2" t="s">
        <v>101</v>
      </c>
      <c r="E10" s="173" t="s">
        <v>100</v>
      </c>
      <c r="F10" s="264">
        <v>2</v>
      </c>
      <c r="G10" s="259"/>
      <c r="H10" s="266" t="s">
        <v>160</v>
      </c>
      <c r="I10" s="19"/>
      <c r="J10" s="257">
        <v>2</v>
      </c>
      <c r="K10" s="259"/>
      <c r="L10" s="188" t="s">
        <v>197</v>
      </c>
      <c r="M10" s="19"/>
      <c r="N10" s="257">
        <f>IF(ISBLANK(VLOOKUP(N$1,'All Species Scores'!$B:$S,8,FALSE)),"",VLOOKUP(N$1,'All Species Scores'!$B:$S,8,FALSE))</f>
        <v>1</v>
      </c>
      <c r="O10" s="259"/>
      <c r="P10" s="188" t="s">
        <v>198</v>
      </c>
      <c r="Q10" s="19"/>
      <c r="R10" s="257">
        <f>IF(ISBLANK(VLOOKUP(R$1,'All Species Scores'!$B:$S,8,FALSE)),"",VLOOKUP(R$1,'All Species Scores'!$B:$S,8,FALSE))</f>
        <v>2</v>
      </c>
      <c r="S10" s="259"/>
      <c r="T10" s="188" t="s">
        <v>200</v>
      </c>
      <c r="U10" s="19"/>
      <c r="V10" s="257">
        <v>3</v>
      </c>
      <c r="W10" s="259"/>
      <c r="X10" s="188" t="s">
        <v>202</v>
      </c>
      <c r="Y10" s="19"/>
      <c r="Z10" s="257">
        <f>IF(ISBLANK(VLOOKUP(Z$1,'All Species Scores'!$B:$S,8,FALSE)),"",VLOOKUP(Z$1,'All Species Scores'!$B:$S,8,FALSE))</f>
        <v>1</v>
      </c>
      <c r="AA10" s="259"/>
      <c r="AB10" s="188" t="s">
        <v>203</v>
      </c>
    </row>
    <row r="11" spans="1:28" ht="95.4" customHeight="1" x14ac:dyDescent="0.3">
      <c r="A11" s="201"/>
      <c r="B11" s="203"/>
      <c r="C11" s="2" t="s">
        <v>102</v>
      </c>
      <c r="D11" s="2" t="s">
        <v>103</v>
      </c>
      <c r="E11" s="173" t="s">
        <v>104</v>
      </c>
      <c r="F11" s="265"/>
      <c r="G11" s="260"/>
      <c r="H11" s="267"/>
      <c r="J11" s="258"/>
      <c r="K11" s="260"/>
      <c r="L11" s="188" t="s">
        <v>230</v>
      </c>
      <c r="M11" s="137"/>
      <c r="N11" s="258"/>
      <c r="O11" s="260"/>
      <c r="P11" s="188" t="s">
        <v>199</v>
      </c>
      <c r="Q11" s="137"/>
      <c r="R11" s="258"/>
      <c r="S11" s="260"/>
      <c r="T11" s="188" t="s">
        <v>201</v>
      </c>
      <c r="U11" s="137"/>
      <c r="V11" s="258"/>
      <c r="W11" s="260"/>
      <c r="X11" s="188" t="s">
        <v>233</v>
      </c>
      <c r="Y11" s="137"/>
      <c r="Z11" s="258"/>
      <c r="AA11" s="260"/>
      <c r="AB11" s="188" t="s">
        <v>204</v>
      </c>
    </row>
    <row r="12" spans="1:28" ht="181.8" customHeight="1" x14ac:dyDescent="0.3">
      <c r="A12" s="40" t="s">
        <v>13</v>
      </c>
      <c r="B12" s="1" t="s">
        <v>137</v>
      </c>
      <c r="C12" s="2" t="s">
        <v>98</v>
      </c>
      <c r="D12" s="2" t="s">
        <v>97</v>
      </c>
      <c r="E12" s="173" t="s">
        <v>96</v>
      </c>
      <c r="F12" s="150">
        <v>3</v>
      </c>
      <c r="G12" s="129"/>
      <c r="H12" s="161" t="s">
        <v>161</v>
      </c>
      <c r="I12" s="19"/>
      <c r="J12" s="166">
        <v>3</v>
      </c>
      <c r="K12" s="129"/>
      <c r="L12" s="161" t="s">
        <v>216</v>
      </c>
      <c r="M12" s="19"/>
      <c r="N12" s="166">
        <f>IF(ISBLANK(VLOOKUP(N$1,'All Species Scores'!$B:$S,9,FALSE)),"",VLOOKUP(N$1,'All Species Scores'!$B:$S,9,FALSE))</f>
        <v>3</v>
      </c>
      <c r="O12" s="129"/>
      <c r="P12" s="161" t="s">
        <v>225</v>
      </c>
      <c r="Q12" s="19"/>
      <c r="R12" s="166">
        <f>IF(ISBLANK(VLOOKUP(R$1,'All Species Scores'!$B:$S,9,FALSE)),"",VLOOKUP(R$1,'All Species Scores'!$B:$S,9,FALSE))</f>
        <v>3</v>
      </c>
      <c r="S12" s="129"/>
      <c r="T12" s="161" t="s">
        <v>217</v>
      </c>
      <c r="U12" s="19"/>
      <c r="V12" s="166">
        <f>IF(ISBLANK(VLOOKUP(V$1,'All Species Scores'!$B:$S,9,FALSE)),"",VLOOKUP(V$1,'All Species Scores'!$B:$S,9,FALSE))</f>
        <v>1</v>
      </c>
      <c r="W12" s="129"/>
      <c r="X12" s="161" t="s">
        <v>223</v>
      </c>
      <c r="Y12" s="19"/>
      <c r="Z12" s="166">
        <f>IF(ISBLANK(VLOOKUP(Z$1,'All Species Scores'!$B:$S,9,FALSE)),"",VLOOKUP(Z$1,'All Species Scores'!$B:$S,9,FALSE))</f>
        <v>1</v>
      </c>
      <c r="AA12" s="129"/>
      <c r="AB12" s="161" t="s">
        <v>222</v>
      </c>
    </row>
    <row r="13" spans="1:28" ht="219.6" customHeight="1" x14ac:dyDescent="0.3">
      <c r="A13" s="41" t="s">
        <v>65</v>
      </c>
      <c r="B13" s="4" t="s">
        <v>138</v>
      </c>
      <c r="C13" s="2" t="s">
        <v>151</v>
      </c>
      <c r="D13" s="2" t="s">
        <v>152</v>
      </c>
      <c r="E13" s="173" t="s">
        <v>153</v>
      </c>
      <c r="F13" s="150" t="str">
        <f>IF(ISBLANK(VLOOKUP(F$1,'All Species Scores'!$B:$S,10,FALSE)),"",VLOOKUP(F$1,'All Species Scores'!$B:$S,10,FALSE))</f>
        <v/>
      </c>
      <c r="G13" s="129"/>
      <c r="H13" s="161" t="s">
        <v>220</v>
      </c>
      <c r="I13" s="19"/>
      <c r="J13" s="166">
        <v>3</v>
      </c>
      <c r="K13" s="129"/>
      <c r="L13" s="161" t="s">
        <v>212</v>
      </c>
      <c r="M13" s="19"/>
      <c r="N13" s="166">
        <v>2</v>
      </c>
      <c r="O13" s="129"/>
      <c r="P13" s="161" t="s">
        <v>226</v>
      </c>
      <c r="Q13" s="19"/>
      <c r="R13" s="166">
        <v>2</v>
      </c>
      <c r="S13" s="129"/>
      <c r="T13" s="161" t="s">
        <v>218</v>
      </c>
      <c r="U13" s="19"/>
      <c r="V13" s="166">
        <v>3</v>
      </c>
      <c r="W13" s="129"/>
      <c r="X13" s="161" t="s">
        <v>213</v>
      </c>
      <c r="Y13" s="19"/>
      <c r="Z13" s="166">
        <v>2</v>
      </c>
      <c r="AA13" s="129"/>
      <c r="AB13" s="161" t="s">
        <v>224</v>
      </c>
    </row>
    <row r="14" spans="1:28" ht="39.6" customHeight="1" x14ac:dyDescent="0.3">
      <c r="A14" s="136" t="s">
        <v>154</v>
      </c>
      <c r="B14" s="135"/>
      <c r="C14" s="124"/>
      <c r="D14" s="124"/>
      <c r="E14" s="176"/>
      <c r="F14" s="150">
        <v>1</v>
      </c>
      <c r="G14" s="129">
        <v>1</v>
      </c>
      <c r="H14" s="159"/>
      <c r="J14" s="166">
        <v>1</v>
      </c>
      <c r="K14" s="129">
        <v>1</v>
      </c>
      <c r="L14" s="159"/>
      <c r="N14" s="166">
        <v>1</v>
      </c>
      <c r="O14" s="129">
        <v>1</v>
      </c>
      <c r="P14" s="159"/>
      <c r="Q14" s="139"/>
      <c r="R14" s="166">
        <v>1</v>
      </c>
      <c r="S14" s="129">
        <v>1</v>
      </c>
      <c r="T14" s="159"/>
      <c r="U14" s="139"/>
      <c r="V14" s="166">
        <v>1</v>
      </c>
      <c r="W14" s="129">
        <v>1</v>
      </c>
      <c r="X14" s="159"/>
      <c r="Z14" s="166">
        <v>1</v>
      </c>
      <c r="AA14" s="129">
        <v>1</v>
      </c>
      <c r="AB14" s="159"/>
    </row>
    <row r="15" spans="1:28" s="142" customFormat="1" ht="44.4" customHeight="1" x14ac:dyDescent="0.3">
      <c r="A15" s="42" t="s">
        <v>79</v>
      </c>
      <c r="B15" s="261" t="s">
        <v>131</v>
      </c>
      <c r="C15" s="262"/>
      <c r="D15" s="262"/>
      <c r="E15" s="263"/>
      <c r="F15" s="151">
        <f>AVERAGE(F8:F13)</f>
        <v>2.75</v>
      </c>
      <c r="G15" s="143" t="e">
        <f>AVERAGE(G8:G13)</f>
        <v>#DIV/0!</v>
      </c>
      <c r="H15" s="158"/>
      <c r="I15" s="191"/>
      <c r="J15" s="167">
        <f>AVERAGE(J8:J13)</f>
        <v>2</v>
      </c>
      <c r="K15" s="143" t="e">
        <f>AVERAGE(K8:K13)</f>
        <v>#DIV/0!</v>
      </c>
      <c r="L15" s="158"/>
      <c r="M15" s="191"/>
      <c r="N15" s="167">
        <f>AVERAGE(N8:N13)</f>
        <v>2.2000000000000002</v>
      </c>
      <c r="O15" s="143" t="e">
        <f>AVERAGE(O8:O13)</f>
        <v>#DIV/0!</v>
      </c>
      <c r="P15" s="158"/>
      <c r="Q15" s="191"/>
      <c r="R15" s="167">
        <f>AVERAGE(R8:R13)</f>
        <v>2.2000000000000002</v>
      </c>
      <c r="S15" s="143" t="e">
        <f>AVERAGE(S8:S13)</f>
        <v>#DIV/0!</v>
      </c>
      <c r="T15" s="158"/>
      <c r="U15" s="191"/>
      <c r="V15" s="167">
        <f>AVERAGE(V8:V13)</f>
        <v>2.2000000000000002</v>
      </c>
      <c r="W15" s="143" t="e">
        <f>AVERAGE(W8:W13)</f>
        <v>#DIV/0!</v>
      </c>
      <c r="X15" s="158"/>
      <c r="Y15" s="191"/>
      <c r="Z15" s="167">
        <f>AVERAGE(Z8:Z13)</f>
        <v>2</v>
      </c>
      <c r="AA15" s="143" t="e">
        <f>AVERAGE(AA8:AA13)</f>
        <v>#DIV/0!</v>
      </c>
      <c r="AB15" s="158"/>
    </row>
    <row r="16" spans="1:28" ht="31.2" x14ac:dyDescent="0.3">
      <c r="A16" s="58" t="s">
        <v>94</v>
      </c>
      <c r="B16" s="207" t="s">
        <v>142</v>
      </c>
      <c r="C16" s="208"/>
      <c r="D16" s="209"/>
      <c r="E16" s="177" t="s">
        <v>106</v>
      </c>
      <c r="F16" s="152"/>
      <c r="G16" s="130"/>
      <c r="H16" s="159"/>
      <c r="J16" s="168"/>
      <c r="K16" s="130"/>
      <c r="L16" s="159"/>
      <c r="N16" s="168"/>
      <c r="O16" s="130"/>
      <c r="P16" s="159"/>
      <c r="Q16" s="139"/>
      <c r="R16" s="168"/>
      <c r="S16" s="130"/>
      <c r="T16" s="159"/>
      <c r="U16" s="139"/>
      <c r="V16" s="168"/>
      <c r="W16" s="130"/>
      <c r="X16" s="159"/>
      <c r="Z16" s="168"/>
      <c r="AA16" s="130"/>
      <c r="AB16" s="159"/>
    </row>
    <row r="17" spans="1:28" ht="84" customHeight="1" x14ac:dyDescent="0.3">
      <c r="A17" s="59" t="s">
        <v>67</v>
      </c>
      <c r="B17" s="4" t="s">
        <v>139</v>
      </c>
      <c r="C17" s="216" t="s">
        <v>144</v>
      </c>
      <c r="D17" s="217"/>
      <c r="E17" s="176" t="s">
        <v>145</v>
      </c>
      <c r="F17" s="152" t="str">
        <f>IF(ISBLANK(VLOOKUP(F$1,'All Species Scores'!$B:$S,13,FALSE)),"",VLOOKUP(F$1,'All Species Scores'!$B:$S,13,FALSE))</f>
        <v/>
      </c>
      <c r="G17" s="130"/>
      <c r="H17" s="159"/>
      <c r="J17" s="168" t="str">
        <f>IF(ISBLANK(VLOOKUP(J$1,'All Species Scores'!$B:$S,13,FALSE)),"",VLOOKUP(J$1,'All Species Scores'!$B:$S,13,FALSE))</f>
        <v/>
      </c>
      <c r="K17" s="130"/>
      <c r="L17" s="161"/>
      <c r="M17" s="19"/>
      <c r="N17" s="168" t="str">
        <f>IF(ISBLANK(VLOOKUP(N$1,'All Species Scores'!$B:$S,13,FALSE)),"",VLOOKUP(N$1,'All Species Scores'!$B:$S,13,FALSE))</f>
        <v/>
      </c>
      <c r="O17" s="130"/>
      <c r="P17" s="161" t="s">
        <v>170</v>
      </c>
      <c r="Q17" s="19"/>
      <c r="R17" s="168" t="str">
        <f>IF(ISBLANK(VLOOKUP(R$1,'All Species Scores'!$B:$S,13,FALSE)),"",VLOOKUP(R$1,'All Species Scores'!$B:$S,13,FALSE))</f>
        <v/>
      </c>
      <c r="S17" s="130"/>
      <c r="T17" s="159"/>
      <c r="U17" s="139"/>
      <c r="V17" s="168" t="str">
        <f>IF(ISBLANK(VLOOKUP(V$1,'All Species Scores'!$B:$S,13,FALSE)),"",VLOOKUP(V$1,'All Species Scores'!$B:$S,13,FALSE))</f>
        <v/>
      </c>
      <c r="W17" s="130"/>
      <c r="X17" s="159"/>
      <c r="Z17" s="168" t="str">
        <f>IF(ISBLANK(VLOOKUP(Z$1,'All Species Scores'!$B:$S,13,FALSE)),"",VLOOKUP(Z$1,'All Species Scores'!$B:$S,13,FALSE))</f>
        <v/>
      </c>
      <c r="AA17" s="130"/>
      <c r="AB17" s="159"/>
    </row>
    <row r="18" spans="1:28" ht="95.4" customHeight="1" x14ac:dyDescent="0.3">
      <c r="A18" s="59" t="s">
        <v>66</v>
      </c>
      <c r="B18" s="4" t="s">
        <v>140</v>
      </c>
      <c r="C18" s="218"/>
      <c r="D18" s="219"/>
      <c r="E18" s="176" t="s">
        <v>72</v>
      </c>
      <c r="F18" s="152" t="str">
        <f>IF(ISBLANK(VLOOKUP(F$1,'All Species Scores'!$B:$S,14,FALSE)),"",VLOOKUP(F$1,'All Species Scores'!$B:$S,14,FALSE))</f>
        <v/>
      </c>
      <c r="G18" s="130"/>
      <c r="H18" s="159"/>
      <c r="J18" s="168" t="str">
        <f>IF(ISBLANK(VLOOKUP(J$1,'All Species Scores'!$B:$S,14,FALSE)),"",VLOOKUP(J$1,'All Species Scores'!$B:$S,14,FALSE))</f>
        <v/>
      </c>
      <c r="K18" s="130"/>
      <c r="L18" s="159"/>
      <c r="N18" s="168" t="str">
        <f>IF(ISBLANK(VLOOKUP(N$1,'All Species Scores'!$B:$S,14,FALSE)),"",VLOOKUP(N$1,'All Species Scores'!$B:$S,14,FALSE))</f>
        <v/>
      </c>
      <c r="O18" s="130"/>
      <c r="P18" s="159"/>
      <c r="Q18" s="139"/>
      <c r="R18" s="168">
        <f>IF(ISBLANK(VLOOKUP(R$1,'All Species Scores'!$B:$S,14,FALSE)),"",VLOOKUP(R$1,'All Species Scores'!$B:$S,14,FALSE))</f>
        <v>1</v>
      </c>
      <c r="S18" s="130"/>
      <c r="T18" s="159"/>
      <c r="U18" s="139"/>
      <c r="V18" s="168" t="str">
        <f>IF(ISBLANK(VLOOKUP(V$1,'All Species Scores'!$B:$S,14,FALSE)),"",VLOOKUP(V$1,'All Species Scores'!$B:$S,14,FALSE))</f>
        <v/>
      </c>
      <c r="W18" s="130"/>
      <c r="X18" s="159"/>
      <c r="Z18" s="168" t="str">
        <f>IF(ISBLANK(VLOOKUP(Z$1,'All Species Scores'!$B:$S,14,FALSE)),"",VLOOKUP(Z$1,'All Species Scores'!$B:$S,14,FALSE))</f>
        <v/>
      </c>
      <c r="AA18" s="130"/>
      <c r="AB18" s="159"/>
    </row>
    <row r="19" spans="1:28" ht="77.400000000000006" customHeight="1" x14ac:dyDescent="0.3">
      <c r="A19" s="59" t="s">
        <v>123</v>
      </c>
      <c r="B19" s="4" t="s">
        <v>163</v>
      </c>
      <c r="C19" s="220"/>
      <c r="D19" s="221"/>
      <c r="E19" s="176" t="s">
        <v>124</v>
      </c>
      <c r="F19" s="152" t="str">
        <f>IF(ISBLANK(VLOOKUP(F$1,'All Species Scores'!$B:$S,15,FALSE)),"",VLOOKUP(F$1,'All Species Scores'!$B:$S,15,FALSE))</f>
        <v/>
      </c>
      <c r="G19" s="130"/>
      <c r="H19" s="161" t="s">
        <v>162</v>
      </c>
      <c r="I19" s="19"/>
      <c r="J19" s="168" t="str">
        <f>IF(ISBLANK(VLOOKUP(J$1,'All Species Scores'!$B:$S,15,FALSE)),"",VLOOKUP(J$1,'All Species Scores'!$B:$S,15,FALSE))</f>
        <v/>
      </c>
      <c r="K19" s="130"/>
      <c r="L19" s="161"/>
      <c r="M19" s="19"/>
      <c r="N19" s="168" t="str">
        <f>IF(ISBLANK(VLOOKUP(N$1,'All Species Scores'!$B:$S,15,FALSE)),"",VLOOKUP(N$1,'All Species Scores'!$B:$S,15,FALSE))</f>
        <v/>
      </c>
      <c r="O19" s="130"/>
      <c r="P19" s="161"/>
      <c r="Q19" s="19"/>
      <c r="R19" s="168" t="str">
        <f>IF(ISBLANK(VLOOKUP(R$1,'All Species Scores'!$B:$S,15,FALSE)),"",VLOOKUP(R$1,'All Species Scores'!$B:$S,15,FALSE))</f>
        <v/>
      </c>
      <c r="S19" s="130"/>
      <c r="T19" s="161"/>
      <c r="U19" s="19"/>
      <c r="V19" s="168" t="str">
        <f>IF(ISBLANK(VLOOKUP(V$1,'All Species Scores'!$B:$S,15,FALSE)),"",VLOOKUP(V$1,'All Species Scores'!$B:$S,15,FALSE))</f>
        <v/>
      </c>
      <c r="W19" s="130"/>
      <c r="X19" s="157"/>
      <c r="Y19" s="19"/>
      <c r="Z19" s="168" t="str">
        <f>IF(ISBLANK(VLOOKUP(Z$1,'All Species Scores'!$B:$S,15,FALSE)),"",VLOOKUP(Z$1,'All Species Scores'!$B:$S,15,FALSE))</f>
        <v/>
      </c>
      <c r="AA19" s="130"/>
      <c r="AB19" s="161" t="s">
        <v>162</v>
      </c>
    </row>
    <row r="20" spans="1:28" ht="25.8" customHeight="1" x14ac:dyDescent="0.3">
      <c r="A20" s="138" t="s">
        <v>156</v>
      </c>
      <c r="B20" s="135"/>
      <c r="C20" s="137"/>
      <c r="D20" s="137"/>
      <c r="E20" s="176"/>
      <c r="F20" s="152">
        <v>1</v>
      </c>
      <c r="G20" s="130">
        <v>1</v>
      </c>
      <c r="H20" s="159"/>
      <c r="J20" s="168">
        <v>1</v>
      </c>
      <c r="K20" s="130">
        <v>1</v>
      </c>
      <c r="L20" s="159"/>
      <c r="N20" s="168">
        <v>1</v>
      </c>
      <c r="O20" s="130">
        <v>1</v>
      </c>
      <c r="P20" s="159"/>
      <c r="Q20" s="139"/>
      <c r="R20" s="168">
        <v>1</v>
      </c>
      <c r="S20" s="130">
        <v>1</v>
      </c>
      <c r="T20" s="159"/>
      <c r="U20" s="139"/>
      <c r="V20" s="168">
        <v>1</v>
      </c>
      <c r="W20" s="130">
        <v>1</v>
      </c>
      <c r="X20" s="159"/>
      <c r="Z20" s="168">
        <v>1</v>
      </c>
      <c r="AA20" s="130">
        <v>1</v>
      </c>
      <c r="AB20" s="159"/>
    </row>
    <row r="21" spans="1:28" s="142" customFormat="1" ht="36.6" customHeight="1" x14ac:dyDescent="0.3">
      <c r="A21" s="60" t="s">
        <v>99</v>
      </c>
      <c r="B21" s="268" t="s">
        <v>130</v>
      </c>
      <c r="C21" s="269"/>
      <c r="D21" s="269"/>
      <c r="E21" s="270"/>
      <c r="F21" s="83">
        <f>IF(SUM(F17:F19)&gt;0,1,0)</f>
        <v>0</v>
      </c>
      <c r="G21" s="87">
        <f>IF(SUM(G17:G19)&gt;0,1,0)</f>
        <v>0</v>
      </c>
      <c r="H21" s="158"/>
      <c r="I21" s="191"/>
      <c r="J21" s="169">
        <f>IF(SUM(J17:J19)&gt;0,1,0)</f>
        <v>0</v>
      </c>
      <c r="K21" s="87">
        <f>IF(SUM(K17:K19)&gt;0,1,0)</f>
        <v>0</v>
      </c>
      <c r="L21" s="158"/>
      <c r="M21" s="191"/>
      <c r="N21" s="169">
        <f>IF(SUM(N17:N19)&gt;0,1,0)</f>
        <v>0</v>
      </c>
      <c r="O21" s="87">
        <f>IF(SUM(O17:O19)&gt;0,1,0)</f>
        <v>0</v>
      </c>
      <c r="P21" s="158"/>
      <c r="Q21" s="191"/>
      <c r="R21" s="169">
        <f>IF(SUM(R17:R19)&gt;0,1,0)</f>
        <v>1</v>
      </c>
      <c r="S21" s="87">
        <f>IF(SUM(S17:S19)&gt;0,1,0)</f>
        <v>0</v>
      </c>
      <c r="T21" s="158"/>
      <c r="U21" s="191"/>
      <c r="V21" s="169">
        <f>IF(SUM(V17:V19)&gt;0,1,0)</f>
        <v>0</v>
      </c>
      <c r="W21" s="87">
        <f>IF(SUM(W17:W19)&gt;0,1,0)</f>
        <v>0</v>
      </c>
      <c r="X21" s="158"/>
      <c r="Y21" s="191"/>
      <c r="Z21" s="169">
        <f>IF(SUM(Z17:Z19)&gt;0,1,0)</f>
        <v>0</v>
      </c>
      <c r="AA21" s="87">
        <f>IF(SUM(AA17:AA19)&gt;0,1,0)</f>
        <v>0</v>
      </c>
      <c r="AB21" s="158"/>
    </row>
    <row r="22" spans="1:28" ht="28.2" customHeight="1" x14ac:dyDescent="0.3">
      <c r="A22" s="43" t="s">
        <v>75</v>
      </c>
      <c r="B22" s="213" t="s">
        <v>143</v>
      </c>
      <c r="C22" s="214"/>
      <c r="D22" s="214"/>
      <c r="E22" s="271"/>
      <c r="F22" s="153">
        <f>IF(F21=0,SUM(F6,F15)/COUNT(F6,F15),SUM(F6,F15,F21)/COUNT(F6,F15,F21))</f>
        <v>1.875</v>
      </c>
      <c r="G22" s="131" t="e">
        <f>IF(G21=0,SUM(G6,G15)/COUNT(G6,G15),SUM(G6,G15,G21)/COUNT(G6,G15,G21))</f>
        <v>#DIV/0!</v>
      </c>
      <c r="H22" s="159"/>
      <c r="J22" s="170">
        <f>IF(J21=0,SUM(J6,J15)/COUNT(J6,J15),SUM(J6,J15,J21)/COUNT(J6,J15,J21))</f>
        <v>2</v>
      </c>
      <c r="K22" s="131" t="e">
        <f>IF(K21=0,SUM(K6,K15)/COUNT(K6,K15),SUM(K6,K15,K21)/COUNT(K6,K15,K21))</f>
        <v>#DIV/0!</v>
      </c>
      <c r="L22" s="159"/>
      <c r="N22" s="170">
        <f>IF(N21=0,SUM(N6,N15)/COUNT(N6,N15),SUM(N6,N15,N21)/COUNT(N6,N15,N21))</f>
        <v>1.85</v>
      </c>
      <c r="O22" s="131" t="e">
        <f>IF(O21=0,SUM(O6,O15)/COUNT(O6,O15),SUM(O6,O15,O21)/COUNT(O6,O15,O21))</f>
        <v>#DIV/0!</v>
      </c>
      <c r="P22" s="159"/>
      <c r="Q22" s="139"/>
      <c r="R22" s="170">
        <f>IF(R21=0,SUM(R6,R15)/COUNT(R6,R15),SUM(R6,R15,R21)/COUNT(R6,R15,R21))</f>
        <v>1.4000000000000001</v>
      </c>
      <c r="S22" s="131" t="e">
        <f>IF(S21=0,SUM(S6,S15)/COUNT(S6,S15),SUM(S6,S15,S21)/COUNT(S6,S15,S21))</f>
        <v>#DIV/0!</v>
      </c>
      <c r="T22" s="159"/>
      <c r="U22" s="139"/>
      <c r="V22" s="170">
        <f>IF(V21=0,SUM(V6,V15)/COUNT(V6,V15),SUM(V6,V15,V21)/COUNT(V6,V15,V21))</f>
        <v>1.85</v>
      </c>
      <c r="W22" s="131" t="e">
        <f>IF(W21=0,SUM(W6,W15)/COUNT(W6,W15),SUM(W6,W15,W21)/COUNT(W6,W15,W21))</f>
        <v>#DIV/0!</v>
      </c>
      <c r="X22" s="159"/>
      <c r="Z22" s="170">
        <f>IF(Z21=0,SUM(Z6,Z15)/COUNT(Z6,Z15),SUM(Z6,Z15,Z21)/COUNT(Z6,Z15,Z21))</f>
        <v>2</v>
      </c>
      <c r="AA22" s="131" t="e">
        <f>IF(AA21=0,SUM(AA6,AA15)/COUNT(AA6,AA15),SUM(AA6,AA15,AA21)/COUNT(AA6,AA15,AA21))</f>
        <v>#DIV/0!</v>
      </c>
      <c r="AB22" s="159"/>
    </row>
    <row r="23" spans="1:28" ht="15.6" x14ac:dyDescent="0.3">
      <c r="E23" s="178"/>
      <c r="F23" s="154" t="str">
        <f>IF((F22&lt;='All Species Scores'!$X$10),"High",(IF((F22&lt;='All Species Scores'!$X$11),"Medium","Low")))</f>
        <v>High</v>
      </c>
      <c r="G23" s="126" t="e">
        <f>IF((G22&lt;='All Species Scores'!$X$10),"High",(IF((G22&lt;='All Species Scores'!$X$11),"Medium","Low")))</f>
        <v>#DIV/0!</v>
      </c>
      <c r="H23" s="159"/>
      <c r="J23" s="171" t="str">
        <f>IF((J22&lt;='All Species Scores'!$X$10),"High",(IF((J22&lt;='All Species Scores'!$X$11),"Medium","Low")))</f>
        <v>High</v>
      </c>
      <c r="K23" s="126" t="e">
        <f>IF((K22&lt;='All Species Scores'!$X$10),"High",(IF((K22&lt;='All Species Scores'!$X$11),"Medium","Low")))</f>
        <v>#DIV/0!</v>
      </c>
      <c r="L23" s="159"/>
      <c r="N23" s="171" t="str">
        <f>IF((N22&lt;='All Species Scores'!$X$10),"High",(IF((N22&lt;='All Species Scores'!$X$11),"Medium","Low")))</f>
        <v>High</v>
      </c>
      <c r="O23" s="126" t="e">
        <f>IF((O22&lt;='All Species Scores'!$X$10),"High",(IF((O22&lt;='All Species Scores'!$X$11),"Medium","Low")))</f>
        <v>#DIV/0!</v>
      </c>
      <c r="P23" s="159"/>
      <c r="Q23" s="139"/>
      <c r="R23" s="171" t="str">
        <f>IF((R22&lt;='All Species Scores'!$X$10),"High",(IF((R22&lt;='All Species Scores'!$X$11),"Medium","Low")))</f>
        <v>High</v>
      </c>
      <c r="S23" s="126" t="e">
        <f>IF((S22&lt;='All Species Scores'!$X$10),"High",(IF((S22&lt;='All Species Scores'!$X$11),"Medium","Low")))</f>
        <v>#DIV/0!</v>
      </c>
      <c r="T23" s="159"/>
      <c r="U23" s="139"/>
      <c r="V23" s="171" t="str">
        <f>IF((V22&lt;='All Species Scores'!$X$10),"High",(IF((V22&lt;='All Species Scores'!$X$11),"Medium","Low")))</f>
        <v>High</v>
      </c>
      <c r="W23" s="126" t="e">
        <f>IF((W22&lt;='All Species Scores'!$X$10),"High",(IF((W22&lt;='All Species Scores'!$X$11),"Medium","Low")))</f>
        <v>#DIV/0!</v>
      </c>
      <c r="X23" s="159"/>
      <c r="Z23" s="171" t="str">
        <f>IF((Z22&lt;='All Species Scores'!$X$10),"High",(IF((Z22&lt;='All Species Scores'!$X$11),"Medium","Low")))</f>
        <v>High</v>
      </c>
      <c r="AA23" s="126" t="e">
        <f>IF((AA22&lt;='All Species Scores'!$X$10),"High",(IF((AA22&lt;='All Species Scores'!$X$11),"Medium","Low")))</f>
        <v>#DIV/0!</v>
      </c>
      <c r="AB23" s="159"/>
    </row>
  </sheetData>
  <mergeCells count="28">
    <mergeCell ref="B16:D16"/>
    <mergeCell ref="C17:D19"/>
    <mergeCell ref="B21:E21"/>
    <mergeCell ref="B22:E22"/>
    <mergeCell ref="C1:E1"/>
    <mergeCell ref="B6:E6"/>
    <mergeCell ref="O10:O11"/>
    <mergeCell ref="A10:A11"/>
    <mergeCell ref="B10:B11"/>
    <mergeCell ref="B15:E15"/>
    <mergeCell ref="F10:F11"/>
    <mergeCell ref="H10:H11"/>
    <mergeCell ref="Z1:AB1"/>
    <mergeCell ref="Z10:Z11"/>
    <mergeCell ref="AA10:AA11"/>
    <mergeCell ref="F1:H1"/>
    <mergeCell ref="J10:J11"/>
    <mergeCell ref="K10:K11"/>
    <mergeCell ref="V10:V11"/>
    <mergeCell ref="W10:W11"/>
    <mergeCell ref="G10:G11"/>
    <mergeCell ref="J1:L1"/>
    <mergeCell ref="V1:X1"/>
    <mergeCell ref="N1:P1"/>
    <mergeCell ref="R1:T1"/>
    <mergeCell ref="R10:R11"/>
    <mergeCell ref="S10:S11"/>
    <mergeCell ref="N10:N11"/>
  </mergeCells>
  <conditionalFormatting sqref="F23:G23">
    <cfRule type="containsText" dxfId="20" priority="19" stopIfTrue="1" operator="containsText" text="High">
      <formula>NOT(ISERROR(SEARCH("High",F23)))</formula>
    </cfRule>
    <cfRule type="containsText" dxfId="19" priority="20" stopIfTrue="1" operator="containsText" text="Medium">
      <formula>NOT(ISERROR(SEARCH("Medium",F23)))</formula>
    </cfRule>
    <cfRule type="containsText" dxfId="18" priority="21" stopIfTrue="1" operator="containsText" text="Low">
      <formula>NOT(ISERROR(SEARCH("Low",F23)))</formula>
    </cfRule>
  </conditionalFormatting>
  <conditionalFormatting sqref="J23:K23">
    <cfRule type="containsText" dxfId="17" priority="22" stopIfTrue="1" operator="containsText" text="High">
      <formula>NOT(ISERROR(SEARCH("High",J23)))</formula>
    </cfRule>
    <cfRule type="containsText" dxfId="16" priority="23" stopIfTrue="1" operator="containsText" text="Medium">
      <formula>NOT(ISERROR(SEARCH("Medium",J23)))</formula>
    </cfRule>
    <cfRule type="containsText" dxfId="15" priority="24" stopIfTrue="1" operator="containsText" text="Low">
      <formula>NOT(ISERROR(SEARCH("Low",J23)))</formula>
    </cfRule>
  </conditionalFormatting>
  <conditionalFormatting sqref="N23:O23">
    <cfRule type="containsText" dxfId="14" priority="4" stopIfTrue="1" operator="containsText" text="High">
      <formula>NOT(ISERROR(SEARCH("High",N23)))</formula>
    </cfRule>
    <cfRule type="containsText" dxfId="13" priority="5" stopIfTrue="1" operator="containsText" text="Medium">
      <formula>NOT(ISERROR(SEARCH("Medium",N23)))</formula>
    </cfRule>
    <cfRule type="containsText" dxfId="12" priority="6" stopIfTrue="1" operator="containsText" text="Low">
      <formula>NOT(ISERROR(SEARCH("Low",N23)))</formula>
    </cfRule>
  </conditionalFormatting>
  <conditionalFormatting sqref="R23:S23">
    <cfRule type="containsText" dxfId="11" priority="1" stopIfTrue="1" operator="containsText" text="High">
      <formula>NOT(ISERROR(SEARCH("High",R23)))</formula>
    </cfRule>
    <cfRule type="containsText" dxfId="10" priority="2" stopIfTrue="1" operator="containsText" text="Medium">
      <formula>NOT(ISERROR(SEARCH("Medium",R23)))</formula>
    </cfRule>
    <cfRule type="containsText" dxfId="9" priority="3" stopIfTrue="1" operator="containsText" text="Low">
      <formula>NOT(ISERROR(SEARCH("Low",R23)))</formula>
    </cfRule>
  </conditionalFormatting>
  <conditionalFormatting sqref="V23:W23">
    <cfRule type="containsText" dxfId="8" priority="16" stopIfTrue="1" operator="containsText" text="High">
      <formula>NOT(ISERROR(SEARCH("High",V23)))</formula>
    </cfRule>
    <cfRule type="containsText" dxfId="7" priority="17" stopIfTrue="1" operator="containsText" text="Medium">
      <formula>NOT(ISERROR(SEARCH("Medium",V23)))</formula>
    </cfRule>
    <cfRule type="containsText" dxfId="6" priority="18" stopIfTrue="1" operator="containsText" text="Low">
      <formula>NOT(ISERROR(SEARCH("Low",V23)))</formula>
    </cfRule>
  </conditionalFormatting>
  <conditionalFormatting sqref="Z23:AA23">
    <cfRule type="containsText" dxfId="5" priority="10" stopIfTrue="1" operator="containsText" text="High">
      <formula>NOT(ISERROR(SEARCH("High",Z23)))</formula>
    </cfRule>
    <cfRule type="containsText" dxfId="4" priority="11" stopIfTrue="1" operator="containsText" text="Medium">
      <formula>NOT(ISERROR(SEARCH("Medium",Z23)))</formula>
    </cfRule>
    <cfRule type="containsText" dxfId="3" priority="12" stopIfTrue="1" operator="containsText" text="Low">
      <formula>NOT(ISERROR(SEARCH("Low",Z23)))</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A7DE7-9393-440A-98DF-619E2BAC5D10}">
  <dimension ref="A1:T51"/>
  <sheetViews>
    <sheetView workbookViewId="0">
      <selection activeCell="D26" sqref="D26"/>
    </sheetView>
  </sheetViews>
  <sheetFormatPr defaultRowHeight="14.4" x14ac:dyDescent="0.3"/>
  <cols>
    <col min="1" max="1" width="20.88671875" bestFit="1" customWidth="1"/>
    <col min="2" max="2" width="15.21875" customWidth="1"/>
    <col min="4" max="4" width="13.88671875" customWidth="1"/>
    <col min="5" max="5" width="10.33203125" bestFit="1" customWidth="1"/>
    <col min="6" max="6" width="13.88671875" bestFit="1" customWidth="1"/>
    <col min="18" max="18" width="11" bestFit="1" customWidth="1"/>
    <col min="19" max="19" width="10.33203125" bestFit="1" customWidth="1"/>
    <col min="20" max="20" width="13.88671875" bestFit="1" customWidth="1"/>
  </cols>
  <sheetData>
    <row r="1" spans="1:20" ht="15" customHeight="1" x14ac:dyDescent="0.3">
      <c r="A1" s="277" t="s">
        <v>92</v>
      </c>
      <c r="B1" s="61"/>
      <c r="D1" s="196" t="s">
        <v>147</v>
      </c>
      <c r="E1" s="196"/>
      <c r="F1" s="196"/>
      <c r="R1" s="61"/>
      <c r="S1" s="61"/>
      <c r="T1" s="61"/>
    </row>
    <row r="2" spans="1:20" ht="15" thickBot="1" x14ac:dyDescent="0.35">
      <c r="A2" s="277"/>
      <c r="B2" s="61" t="s">
        <v>129</v>
      </c>
      <c r="D2" s="61" t="s">
        <v>117</v>
      </c>
      <c r="E2" s="61" t="s">
        <v>119</v>
      </c>
      <c r="F2" s="61" t="s">
        <v>121</v>
      </c>
      <c r="R2" s="14"/>
      <c r="S2" s="86"/>
      <c r="T2" s="14"/>
    </row>
    <row r="3" spans="1:20" ht="16.2" thickBot="1" x14ac:dyDescent="0.35">
      <c r="A3" t="s">
        <v>14</v>
      </c>
      <c r="B3" s="71" t="str">
        <f>'All Species Scores'!T4</f>
        <v>Low</v>
      </c>
      <c r="D3" s="14" t="str">
        <f>'All Species Scores'!W5</f>
        <v>R ≤ 2.03</v>
      </c>
      <c r="E3" s="86">
        <f>COUNTIF($B$3:$B$51,$F3)/COUNTA($B$3:$B$51)</f>
        <v>0.32653061224489793</v>
      </c>
      <c r="F3" s="14" t="s">
        <v>12</v>
      </c>
      <c r="R3" s="14"/>
      <c r="S3" s="86"/>
      <c r="T3" s="14"/>
    </row>
    <row r="4" spans="1:20" ht="16.2" thickBot="1" x14ac:dyDescent="0.35">
      <c r="A4" t="s">
        <v>15</v>
      </c>
      <c r="B4" s="71" t="str">
        <f>'All Species Scores'!T5</f>
        <v>Low</v>
      </c>
      <c r="D4" s="14" t="str">
        <f>'All Species Scores'!W4</f>
        <v>2.03 &lt; R ≤ 2.35</v>
      </c>
      <c r="E4" s="86">
        <f>COUNTIF($B$3:$B$51,$F4)/COUNTA($B$3:$B$51)</f>
        <v>0.34693877551020408</v>
      </c>
      <c r="F4" s="14" t="s">
        <v>127</v>
      </c>
      <c r="R4" s="14"/>
      <c r="S4" s="86"/>
      <c r="T4" s="14"/>
    </row>
    <row r="5" spans="1:20" ht="16.2" thickBot="1" x14ac:dyDescent="0.35">
      <c r="A5" t="s">
        <v>16</v>
      </c>
      <c r="B5" s="71" t="str">
        <f>'All Species Scores'!T6</f>
        <v>High</v>
      </c>
      <c r="D5" s="14" t="str">
        <f>'All Species Scores'!W3</f>
        <v>R &gt; 2.35</v>
      </c>
      <c r="E5" s="86">
        <f>COUNTIF($B$3:$B$51,$F5)/COUNTA($B$3:$B$51)</f>
        <v>0.32653061224489793</v>
      </c>
      <c r="F5" s="14" t="s">
        <v>11</v>
      </c>
    </row>
    <row r="6" spans="1:20" ht="16.2" thickBot="1" x14ac:dyDescent="0.35">
      <c r="A6" t="s">
        <v>17</v>
      </c>
      <c r="B6" s="71" t="str">
        <f>'All Species Scores'!T7</f>
        <v>Medium</v>
      </c>
    </row>
    <row r="7" spans="1:20" ht="16.2" thickBot="1" x14ac:dyDescent="0.35">
      <c r="A7" t="s">
        <v>18</v>
      </c>
      <c r="B7" s="71" t="str">
        <f>'All Species Scores'!T8</f>
        <v>High</v>
      </c>
    </row>
    <row r="8" spans="1:20" ht="16.2" thickBot="1" x14ac:dyDescent="0.35">
      <c r="A8" t="s">
        <v>19</v>
      </c>
      <c r="B8" s="71" t="str">
        <f>'All Species Scores'!T9</f>
        <v>High</v>
      </c>
    </row>
    <row r="9" spans="1:20" ht="16.2" thickBot="1" x14ac:dyDescent="0.35">
      <c r="A9" t="s">
        <v>20</v>
      </c>
      <c r="B9" s="71" t="str">
        <f>'All Species Scores'!T10</f>
        <v>High</v>
      </c>
    </row>
    <row r="10" spans="1:20" ht="16.2" thickBot="1" x14ac:dyDescent="0.35">
      <c r="A10" t="s">
        <v>21</v>
      </c>
      <c r="B10" s="71" t="str">
        <f>'All Species Scores'!T11</f>
        <v>Low</v>
      </c>
    </row>
    <row r="11" spans="1:20" ht="16.2" thickBot="1" x14ac:dyDescent="0.35">
      <c r="A11" t="s">
        <v>22</v>
      </c>
      <c r="B11" s="71" t="str">
        <f>'All Species Scores'!T12</f>
        <v>Medium</v>
      </c>
    </row>
    <row r="12" spans="1:20" ht="16.2" thickBot="1" x14ac:dyDescent="0.35">
      <c r="A12" t="s">
        <v>23</v>
      </c>
      <c r="B12" s="71" t="str">
        <f>'All Species Scores'!T13</f>
        <v>High</v>
      </c>
    </row>
    <row r="13" spans="1:20" ht="16.2" thickBot="1" x14ac:dyDescent="0.35">
      <c r="A13" t="s">
        <v>24</v>
      </c>
      <c r="B13" s="71" t="str">
        <f>'All Species Scores'!T14</f>
        <v>High</v>
      </c>
    </row>
    <row r="14" spans="1:20" ht="16.2" thickBot="1" x14ac:dyDescent="0.35">
      <c r="A14" t="s">
        <v>25</v>
      </c>
      <c r="B14" s="71" t="str">
        <f>'All Species Scores'!T15</f>
        <v>High</v>
      </c>
    </row>
    <row r="15" spans="1:20" ht="16.2" thickBot="1" x14ac:dyDescent="0.35">
      <c r="A15" t="s">
        <v>26</v>
      </c>
      <c r="B15" s="71" t="str">
        <f>'All Species Scores'!T16</f>
        <v>High</v>
      </c>
    </row>
    <row r="16" spans="1:20" ht="16.2" thickBot="1" x14ac:dyDescent="0.35">
      <c r="A16" t="s">
        <v>27</v>
      </c>
      <c r="B16" s="71" t="str">
        <f>'All Species Scores'!T17</f>
        <v>Medium</v>
      </c>
    </row>
    <row r="17" spans="1:2" ht="16.2" thickBot="1" x14ac:dyDescent="0.35">
      <c r="A17" t="s">
        <v>28</v>
      </c>
      <c r="B17" s="71" t="str">
        <f>'All Species Scores'!T18</f>
        <v>High</v>
      </c>
    </row>
    <row r="18" spans="1:2" ht="16.2" thickBot="1" x14ac:dyDescent="0.35">
      <c r="A18" t="s">
        <v>29</v>
      </c>
      <c r="B18" s="71" t="str">
        <f>'All Species Scores'!T19</f>
        <v>Low</v>
      </c>
    </row>
    <row r="19" spans="1:2" ht="16.2" thickBot="1" x14ac:dyDescent="0.35">
      <c r="A19" t="s">
        <v>30</v>
      </c>
      <c r="B19" s="71" t="str">
        <f>'All Species Scores'!T20</f>
        <v>High</v>
      </c>
    </row>
    <row r="20" spans="1:2" ht="16.2" thickBot="1" x14ac:dyDescent="0.35">
      <c r="A20" t="s">
        <v>31</v>
      </c>
      <c r="B20" s="71" t="str">
        <f>'All Species Scores'!T21</f>
        <v>Medium</v>
      </c>
    </row>
    <row r="21" spans="1:2" ht="16.2" thickBot="1" x14ac:dyDescent="0.35">
      <c r="A21" t="s">
        <v>32</v>
      </c>
      <c r="B21" s="71" t="str">
        <f>'All Species Scores'!T22</f>
        <v>High</v>
      </c>
    </row>
    <row r="22" spans="1:2" ht="16.2" thickBot="1" x14ac:dyDescent="0.35">
      <c r="A22" t="s">
        <v>33</v>
      </c>
      <c r="B22" s="71" t="str">
        <f>'All Species Scores'!T23</f>
        <v>High</v>
      </c>
    </row>
    <row r="23" spans="1:2" ht="16.2" thickBot="1" x14ac:dyDescent="0.35">
      <c r="A23" t="s">
        <v>34</v>
      </c>
      <c r="B23" s="71" t="str">
        <f>'All Species Scores'!T24</f>
        <v>Medium</v>
      </c>
    </row>
    <row r="24" spans="1:2" ht="16.2" thickBot="1" x14ac:dyDescent="0.35">
      <c r="A24" t="s">
        <v>35</v>
      </c>
      <c r="B24" s="71" t="str">
        <f>'All Species Scores'!T25</f>
        <v>High</v>
      </c>
    </row>
    <row r="25" spans="1:2" ht="16.2" thickBot="1" x14ac:dyDescent="0.35">
      <c r="A25" t="s">
        <v>36</v>
      </c>
      <c r="B25" s="71" t="str">
        <f>'All Species Scores'!T26</f>
        <v>Medium</v>
      </c>
    </row>
    <row r="26" spans="1:2" ht="16.2" thickBot="1" x14ac:dyDescent="0.35">
      <c r="A26" t="s">
        <v>37</v>
      </c>
      <c r="B26" s="71" t="str">
        <f>'All Species Scores'!T27</f>
        <v>Low</v>
      </c>
    </row>
    <row r="27" spans="1:2" ht="16.2" thickBot="1" x14ac:dyDescent="0.35">
      <c r="A27" t="s">
        <v>38</v>
      </c>
      <c r="B27" s="71" t="str">
        <f>'All Species Scores'!T28</f>
        <v>High</v>
      </c>
    </row>
    <row r="28" spans="1:2" ht="16.2" thickBot="1" x14ac:dyDescent="0.35">
      <c r="A28" t="s">
        <v>39</v>
      </c>
      <c r="B28" s="71" t="str">
        <f>'All Species Scores'!T29</f>
        <v>High</v>
      </c>
    </row>
    <row r="29" spans="1:2" ht="16.2" thickBot="1" x14ac:dyDescent="0.35">
      <c r="A29" t="s">
        <v>40</v>
      </c>
      <c r="B29" s="71" t="str">
        <f>'All Species Scores'!T30</f>
        <v>Medium</v>
      </c>
    </row>
    <row r="30" spans="1:2" ht="16.2" thickBot="1" x14ac:dyDescent="0.35">
      <c r="A30" t="s">
        <v>41</v>
      </c>
      <c r="B30" s="71" t="str">
        <f>'All Species Scores'!T31</f>
        <v>Medium</v>
      </c>
    </row>
    <row r="31" spans="1:2" ht="16.2" thickBot="1" x14ac:dyDescent="0.35">
      <c r="A31" t="s">
        <v>42</v>
      </c>
      <c r="B31" s="71" t="str">
        <f>'All Species Scores'!T32</f>
        <v>Medium</v>
      </c>
    </row>
    <row r="32" spans="1:2" ht="16.2" thickBot="1" x14ac:dyDescent="0.35">
      <c r="A32" t="s">
        <v>43</v>
      </c>
      <c r="B32" s="71" t="str">
        <f>'All Species Scores'!T33</f>
        <v>Medium</v>
      </c>
    </row>
    <row r="33" spans="1:2" ht="16.2" thickBot="1" x14ac:dyDescent="0.35">
      <c r="A33" t="s">
        <v>44</v>
      </c>
      <c r="B33" s="71" t="str">
        <f>'All Species Scores'!T34</f>
        <v>High</v>
      </c>
    </row>
    <row r="34" spans="1:2" ht="16.2" thickBot="1" x14ac:dyDescent="0.35">
      <c r="A34" t="s">
        <v>45</v>
      </c>
      <c r="B34" s="71" t="str">
        <f>'All Species Scores'!T35</f>
        <v>Low</v>
      </c>
    </row>
    <row r="35" spans="1:2" ht="16.2" thickBot="1" x14ac:dyDescent="0.35">
      <c r="A35" t="s">
        <v>46</v>
      </c>
      <c r="B35" s="71" t="str">
        <f>'All Species Scores'!T36</f>
        <v>Low</v>
      </c>
    </row>
    <row r="36" spans="1:2" ht="16.2" thickBot="1" x14ac:dyDescent="0.35">
      <c r="A36" t="s">
        <v>47</v>
      </c>
      <c r="B36" s="71" t="str">
        <f>'All Species Scores'!T37</f>
        <v>Medium</v>
      </c>
    </row>
    <row r="37" spans="1:2" ht="16.2" thickBot="1" x14ac:dyDescent="0.35">
      <c r="A37" t="s">
        <v>48</v>
      </c>
      <c r="B37" s="71" t="str">
        <f>'All Species Scores'!T38</f>
        <v>Low</v>
      </c>
    </row>
    <row r="38" spans="1:2" ht="16.2" thickBot="1" x14ac:dyDescent="0.35">
      <c r="A38" t="s">
        <v>49</v>
      </c>
      <c r="B38" s="71" t="str">
        <f>'All Species Scores'!T39</f>
        <v>Low</v>
      </c>
    </row>
    <row r="39" spans="1:2" ht="16.2" thickBot="1" x14ac:dyDescent="0.35">
      <c r="A39" t="s">
        <v>50</v>
      </c>
      <c r="B39" s="71" t="str">
        <f>'All Species Scores'!T40</f>
        <v>Low</v>
      </c>
    </row>
    <row r="40" spans="1:2" ht="16.2" thickBot="1" x14ac:dyDescent="0.35">
      <c r="A40" t="s">
        <v>51</v>
      </c>
      <c r="B40" s="71" t="str">
        <f>'All Species Scores'!T41</f>
        <v>Low</v>
      </c>
    </row>
    <row r="41" spans="1:2" ht="16.2" thickBot="1" x14ac:dyDescent="0.35">
      <c r="A41" t="s">
        <v>52</v>
      </c>
      <c r="B41" s="71" t="str">
        <f>'All Species Scores'!T42</f>
        <v>Low</v>
      </c>
    </row>
    <row r="42" spans="1:2" ht="16.2" thickBot="1" x14ac:dyDescent="0.35">
      <c r="A42" t="s">
        <v>53</v>
      </c>
      <c r="B42" s="71" t="str">
        <f>'All Species Scores'!T43</f>
        <v>Low</v>
      </c>
    </row>
    <row r="43" spans="1:2" ht="16.2" thickBot="1" x14ac:dyDescent="0.35">
      <c r="A43" t="s">
        <v>54</v>
      </c>
      <c r="B43" s="71" t="str">
        <f>'All Species Scores'!T44</f>
        <v>Low</v>
      </c>
    </row>
    <row r="44" spans="1:2" ht="16.2" thickBot="1" x14ac:dyDescent="0.35">
      <c r="A44" t="s">
        <v>55</v>
      </c>
      <c r="B44" s="71" t="str">
        <f>'All Species Scores'!T45</f>
        <v>Medium</v>
      </c>
    </row>
    <row r="45" spans="1:2" ht="16.2" thickBot="1" x14ac:dyDescent="0.35">
      <c r="A45" t="s">
        <v>56</v>
      </c>
      <c r="B45" s="71" t="str">
        <f>'All Species Scores'!T46</f>
        <v>Medium</v>
      </c>
    </row>
    <row r="46" spans="1:2" ht="16.2" thickBot="1" x14ac:dyDescent="0.35">
      <c r="A46" t="s">
        <v>57</v>
      </c>
      <c r="B46" s="71" t="str">
        <f>'All Species Scores'!T47</f>
        <v>Medium</v>
      </c>
    </row>
    <row r="47" spans="1:2" ht="16.2" thickBot="1" x14ac:dyDescent="0.35">
      <c r="A47" t="s">
        <v>58</v>
      </c>
      <c r="B47" s="71" t="str">
        <f>'All Species Scores'!T48</f>
        <v>Medium</v>
      </c>
    </row>
    <row r="48" spans="1:2" ht="16.2" thickBot="1" x14ac:dyDescent="0.35">
      <c r="A48" t="s">
        <v>59</v>
      </c>
      <c r="B48" s="71" t="str">
        <f>'All Species Scores'!T49</f>
        <v>Low</v>
      </c>
    </row>
    <row r="49" spans="1:2" ht="16.2" thickBot="1" x14ac:dyDescent="0.35">
      <c r="A49" t="s">
        <v>60</v>
      </c>
      <c r="B49" s="71" t="str">
        <f>'All Species Scores'!T50</f>
        <v>Low</v>
      </c>
    </row>
    <row r="50" spans="1:2" ht="16.2" thickBot="1" x14ac:dyDescent="0.35">
      <c r="A50" t="s">
        <v>61</v>
      </c>
      <c r="B50" s="71" t="str">
        <f>'All Species Scores'!T51</f>
        <v>Medium</v>
      </c>
    </row>
    <row r="51" spans="1:2" ht="16.2" thickBot="1" x14ac:dyDescent="0.35">
      <c r="A51" t="s">
        <v>62</v>
      </c>
      <c r="B51" s="102" t="str">
        <f>'All Species Scores'!T52</f>
        <v>Medium</v>
      </c>
    </row>
  </sheetData>
  <autoFilter ref="B2:B51" xr:uid="{2C024706-8D2D-407E-8692-40F7F3B73BD7}"/>
  <mergeCells count="2">
    <mergeCell ref="A1:A2"/>
    <mergeCell ref="D1:F1"/>
  </mergeCells>
  <conditionalFormatting sqref="B3:B51">
    <cfRule type="containsText" dxfId="2" priority="28" stopIfTrue="1" operator="containsText" text="High">
      <formula>NOT(ISERROR(SEARCH("High",B3)))</formula>
    </cfRule>
    <cfRule type="containsText" dxfId="1" priority="29" stopIfTrue="1" operator="containsText" text="Medium">
      <formula>NOT(ISERROR(SEARCH("Medium",B3)))</formula>
    </cfRule>
    <cfRule type="containsText" dxfId="0" priority="30" stopIfTrue="1" operator="containsText" text="Low">
      <formula>NOT(ISERROR(SEARCH("Low",B3)))</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C844E-0B55-4163-B90D-90B6D8814740}">
  <dimension ref="A1:O26"/>
  <sheetViews>
    <sheetView topLeftCell="A3" zoomScale="120" zoomScaleNormal="120" workbookViewId="0">
      <selection activeCell="B16" sqref="B16:B20"/>
    </sheetView>
  </sheetViews>
  <sheetFormatPr defaultRowHeight="14.4" x14ac:dyDescent="0.3"/>
  <cols>
    <col min="1" max="1" width="11.88671875" customWidth="1"/>
    <col min="2" max="2" width="16.6640625" customWidth="1"/>
    <col min="3" max="3" width="20" customWidth="1"/>
    <col min="4" max="4" width="12.5546875" style="184" customWidth="1"/>
    <col min="5" max="5" width="14.33203125" customWidth="1"/>
    <col min="6" max="6" width="18.44140625" customWidth="1"/>
    <col min="7" max="7" width="12.6640625" style="186" customWidth="1"/>
    <col min="8" max="8" width="14.21875" customWidth="1"/>
    <col min="9" max="9" width="18.21875" customWidth="1"/>
    <col min="10" max="10" width="11.88671875" style="180" customWidth="1"/>
  </cols>
  <sheetData>
    <row r="1" spans="1:15" s="142" customFormat="1" x14ac:dyDescent="0.3">
      <c r="A1" s="142" t="s">
        <v>28</v>
      </c>
      <c r="B1" s="142" t="s">
        <v>177</v>
      </c>
      <c r="C1" s="142" t="s">
        <v>178</v>
      </c>
      <c r="D1" s="183" t="s">
        <v>172</v>
      </c>
      <c r="E1" s="142" t="s">
        <v>175</v>
      </c>
      <c r="F1" s="142" t="s">
        <v>176</v>
      </c>
      <c r="G1" s="185" t="s">
        <v>173</v>
      </c>
      <c r="H1" s="142" t="s">
        <v>179</v>
      </c>
      <c r="I1" s="142" t="s">
        <v>180</v>
      </c>
      <c r="J1" s="182" t="s">
        <v>174</v>
      </c>
      <c r="L1" s="142" t="s">
        <v>181</v>
      </c>
    </row>
    <row r="2" spans="1:15" x14ac:dyDescent="0.3">
      <c r="A2">
        <v>2018</v>
      </c>
      <c r="B2" s="179">
        <v>124815</v>
      </c>
      <c r="C2" s="179">
        <v>128153</v>
      </c>
      <c r="D2" s="184">
        <f>C2/B2</f>
        <v>1.0267435804991387</v>
      </c>
      <c r="E2" s="179">
        <v>29656</v>
      </c>
      <c r="F2" s="179">
        <v>38467</v>
      </c>
      <c r="G2" s="186">
        <f>F2/E2</f>
        <v>1.297106824925816</v>
      </c>
      <c r="H2" s="179">
        <v>42510</v>
      </c>
      <c r="I2" s="179">
        <f>SUM(C2/$L$2,F2)</f>
        <v>51665.043254376928</v>
      </c>
      <c r="J2" s="181">
        <f>I2/H2</f>
        <v>1.2153621090185116</v>
      </c>
      <c r="L2">
        <v>9.7100000000000009</v>
      </c>
    </row>
    <row r="3" spans="1:15" x14ac:dyDescent="0.3">
      <c r="A3">
        <v>2019</v>
      </c>
      <c r="B3" s="179">
        <v>124815</v>
      </c>
      <c r="C3" s="179">
        <v>126010</v>
      </c>
      <c r="D3" s="184">
        <f t="shared" ref="D3:D6" si="0">C3/B3</f>
        <v>1.0095741697712615</v>
      </c>
      <c r="E3" s="179">
        <v>29656</v>
      </c>
      <c r="F3" s="179">
        <v>49674</v>
      </c>
      <c r="G3" s="186">
        <f t="shared" ref="G3:G6" si="1">F3/E3</f>
        <v>1.675006743997842</v>
      </c>
      <c r="H3" s="179">
        <v>42510</v>
      </c>
      <c r="I3" s="179">
        <f>SUM(C3/$L$2,F3)</f>
        <v>62651.342945417098</v>
      </c>
      <c r="J3" s="181">
        <f t="shared" ref="J3:J6" si="2">I3/H3</f>
        <v>1.4738024687230558</v>
      </c>
      <c r="M3">
        <v>427.35</v>
      </c>
      <c r="N3">
        <v>32.83</v>
      </c>
      <c r="O3">
        <f>M3/SUM(M3:N3)</f>
        <v>0.92865835108001216</v>
      </c>
    </row>
    <row r="4" spans="1:15" x14ac:dyDescent="0.3">
      <c r="A4">
        <v>2020</v>
      </c>
      <c r="B4" s="179">
        <v>124815</v>
      </c>
      <c r="C4" s="179">
        <v>134465</v>
      </c>
      <c r="D4" s="184">
        <f t="shared" si="0"/>
        <v>1.0773144253495173</v>
      </c>
      <c r="E4" s="179">
        <v>29656</v>
      </c>
      <c r="F4" s="179">
        <v>42772</v>
      </c>
      <c r="G4" s="186">
        <f t="shared" si="1"/>
        <v>1.4422713784731589</v>
      </c>
      <c r="H4" s="179">
        <v>42510</v>
      </c>
      <c r="I4" s="179">
        <f>SUM(C4/$L$2,F4)</f>
        <v>56620.094747682801</v>
      </c>
      <c r="J4" s="181">
        <f t="shared" si="2"/>
        <v>1.3319241295620512</v>
      </c>
      <c r="M4">
        <v>833.37</v>
      </c>
      <c r="N4">
        <v>46.15</v>
      </c>
      <c r="O4">
        <f t="shared" ref="O4:O5" si="3">M4/SUM(M4:N4)</f>
        <v>0.94752819719847192</v>
      </c>
    </row>
    <row r="5" spans="1:15" x14ac:dyDescent="0.3">
      <c r="A5">
        <v>2021</v>
      </c>
      <c r="B5" s="179">
        <v>124815</v>
      </c>
      <c r="C5" s="179">
        <v>127479</v>
      </c>
      <c r="D5" s="184">
        <f t="shared" si="0"/>
        <v>1.0213435885109963</v>
      </c>
      <c r="E5" s="179">
        <v>29656</v>
      </c>
      <c r="F5" s="179">
        <v>39069</v>
      </c>
      <c r="G5" s="186">
        <f t="shared" si="1"/>
        <v>1.3174062584299973</v>
      </c>
      <c r="H5" s="179">
        <v>42510</v>
      </c>
      <c r="I5" s="179">
        <f>SUM(C5/$L$2,F5)</f>
        <v>52197.630278063851</v>
      </c>
      <c r="J5" s="181">
        <f t="shared" si="2"/>
        <v>1.2278906205143225</v>
      </c>
      <c r="M5">
        <v>524.02</v>
      </c>
      <c r="N5">
        <v>48.07</v>
      </c>
      <c r="O5">
        <f t="shared" si="3"/>
        <v>0.91597475921620719</v>
      </c>
    </row>
    <row r="6" spans="1:15" x14ac:dyDescent="0.3">
      <c r="A6">
        <v>2022</v>
      </c>
      <c r="B6" s="179">
        <v>124815</v>
      </c>
      <c r="C6" s="179">
        <v>123629</v>
      </c>
      <c r="D6" s="184">
        <f t="shared" si="0"/>
        <v>0.99049793694668109</v>
      </c>
      <c r="E6" s="179">
        <v>29656</v>
      </c>
      <c r="F6" s="179">
        <v>19475</v>
      </c>
      <c r="G6" s="186">
        <f t="shared" si="1"/>
        <v>0.65669678985702729</v>
      </c>
      <c r="H6" s="179">
        <v>42510</v>
      </c>
      <c r="I6" s="179">
        <f>SUM(C6/$L$2,F6)</f>
        <v>32207.131822863026</v>
      </c>
      <c r="J6" s="181">
        <f t="shared" si="2"/>
        <v>0.75763659898525115</v>
      </c>
    </row>
    <row r="8" spans="1:15" s="142" customFormat="1" x14ac:dyDescent="0.3">
      <c r="A8" s="142" t="s">
        <v>20</v>
      </c>
      <c r="B8" s="142" t="s">
        <v>186</v>
      </c>
      <c r="C8" s="142" t="s">
        <v>188</v>
      </c>
      <c r="D8" s="183" t="s">
        <v>172</v>
      </c>
      <c r="E8" s="142" t="s">
        <v>175</v>
      </c>
      <c r="F8" s="142" t="s">
        <v>176</v>
      </c>
      <c r="G8" s="185" t="s">
        <v>173</v>
      </c>
      <c r="H8" s="142" t="s">
        <v>187</v>
      </c>
      <c r="I8" s="142" t="s">
        <v>189</v>
      </c>
      <c r="J8" s="182" t="s">
        <v>174</v>
      </c>
      <c r="L8" s="142" t="s">
        <v>185</v>
      </c>
    </row>
    <row r="9" spans="1:15" x14ac:dyDescent="0.3">
      <c r="A9">
        <v>2018</v>
      </c>
      <c r="B9" s="179">
        <f>78328+234982</f>
        <v>313310</v>
      </c>
      <c r="C9" s="179">
        <f>74445+227554</f>
        <v>301999</v>
      </c>
      <c r="D9" s="184">
        <f>C9/B9</f>
        <v>0.96389837541093482</v>
      </c>
      <c r="E9" s="179">
        <v>2187</v>
      </c>
      <c r="F9" s="179">
        <v>3112</v>
      </c>
      <c r="G9" s="186">
        <f>F9/E9</f>
        <v>1.4229538180155463</v>
      </c>
      <c r="H9" s="179">
        <v>323000</v>
      </c>
      <c r="I9" s="179">
        <f>SUM(F9*L9,C9)</f>
        <v>315785.15999999997</v>
      </c>
      <c r="J9" s="181">
        <f>I9/H9</f>
        <v>0.97766303405572752</v>
      </c>
      <c r="L9">
        <v>4.43</v>
      </c>
    </row>
    <row r="10" spans="1:15" x14ac:dyDescent="0.3">
      <c r="A10">
        <v>2019</v>
      </c>
      <c r="B10" s="179">
        <f>82935+248805</f>
        <v>331740</v>
      </c>
      <c r="C10" s="179">
        <f>85141+282676</f>
        <v>367817</v>
      </c>
      <c r="D10" s="184">
        <f t="shared" ref="D10:D13" si="4">C10/B10</f>
        <v>1.1087508289624404</v>
      </c>
      <c r="E10" s="179">
        <v>2316</v>
      </c>
      <c r="F10" s="179">
        <v>15638</v>
      </c>
      <c r="G10" s="186">
        <f t="shared" ref="G10:G13" si="5">F10/E10</f>
        <v>6.752158894645941</v>
      </c>
      <c r="H10" s="179">
        <v>342000</v>
      </c>
      <c r="I10" s="179">
        <f>SUM(F10*L10,C10)</f>
        <v>367817</v>
      </c>
      <c r="J10" s="181">
        <f t="shared" ref="J10:J13" si="6">I10/H10</f>
        <v>1.0754883040935672</v>
      </c>
    </row>
    <row r="11" spans="1:15" x14ac:dyDescent="0.3">
      <c r="A11">
        <v>2020</v>
      </c>
      <c r="B11" s="179">
        <f>82935+248805</f>
        <v>331740</v>
      </c>
      <c r="C11" s="179">
        <f>87616+256639</f>
        <v>344255</v>
      </c>
      <c r="D11" s="184">
        <f t="shared" si="4"/>
        <v>1.0377253270633628</v>
      </c>
      <c r="E11" s="179">
        <v>2316</v>
      </c>
      <c r="F11" s="179">
        <v>2894</v>
      </c>
      <c r="G11" s="186">
        <f t="shared" si="5"/>
        <v>1.2495682210708117</v>
      </c>
      <c r="H11" s="179">
        <v>342000</v>
      </c>
      <c r="I11" s="179">
        <f>SUM(F11*L11,C11)</f>
        <v>344255</v>
      </c>
      <c r="J11" s="181">
        <f t="shared" si="6"/>
        <v>1.0065935672514621</v>
      </c>
    </row>
    <row r="12" spans="1:15" x14ac:dyDescent="0.3">
      <c r="A12">
        <v>2021</v>
      </c>
      <c r="B12" s="179">
        <f>82935+248805</f>
        <v>331740</v>
      </c>
      <c r="C12" s="179">
        <f>82279+242051</f>
        <v>324330</v>
      </c>
      <c r="D12" s="184">
        <f t="shared" si="4"/>
        <v>0.9776632302405498</v>
      </c>
      <c r="E12" s="179">
        <v>2316</v>
      </c>
      <c r="F12" s="179">
        <v>3073</v>
      </c>
      <c r="G12" s="186">
        <f t="shared" si="5"/>
        <v>1.3268566493955094</v>
      </c>
      <c r="H12" s="179">
        <v>342000</v>
      </c>
      <c r="I12" s="179">
        <f>SUM(F12*L12,C12)</f>
        <v>324330</v>
      </c>
      <c r="J12" s="181">
        <f t="shared" si="6"/>
        <v>0.94833333333333336</v>
      </c>
    </row>
    <row r="13" spans="1:15" x14ac:dyDescent="0.3">
      <c r="A13">
        <v>2022</v>
      </c>
      <c r="B13" s="179">
        <f>82935+248805</f>
        <v>331740</v>
      </c>
      <c r="C13" s="179">
        <f>89339+254197</f>
        <v>343536</v>
      </c>
      <c r="D13" s="184">
        <f t="shared" si="4"/>
        <v>1.0355579670826551</v>
      </c>
      <c r="E13" s="179">
        <v>2316</v>
      </c>
      <c r="F13" s="179">
        <v>2357</v>
      </c>
      <c r="G13" s="186">
        <f t="shared" si="5"/>
        <v>1.0177029360967185</v>
      </c>
      <c r="H13" s="179">
        <v>342000</v>
      </c>
      <c r="I13" s="179">
        <f>SUM(F13*L13,C13)</f>
        <v>343536</v>
      </c>
      <c r="J13" s="181">
        <f t="shared" si="6"/>
        <v>1.0044912280701754</v>
      </c>
    </row>
    <row r="15" spans="1:15" s="142" customFormat="1" x14ac:dyDescent="0.3">
      <c r="A15" s="142" t="s">
        <v>18</v>
      </c>
      <c r="B15" s="142" t="s">
        <v>177</v>
      </c>
      <c r="C15" s="142" t="s">
        <v>178</v>
      </c>
      <c r="D15" s="183" t="s">
        <v>172</v>
      </c>
      <c r="E15" s="142" t="s">
        <v>183</v>
      </c>
      <c r="F15" s="142" t="s">
        <v>184</v>
      </c>
      <c r="G15" s="185" t="s">
        <v>173</v>
      </c>
      <c r="H15" s="142" t="s">
        <v>191</v>
      </c>
      <c r="I15" s="142" t="s">
        <v>192</v>
      </c>
      <c r="J15" s="182" t="s">
        <v>174</v>
      </c>
      <c r="L15" s="142" t="s">
        <v>181</v>
      </c>
    </row>
    <row r="16" spans="1:15" x14ac:dyDescent="0.3">
      <c r="A16">
        <v>2018</v>
      </c>
      <c r="B16" s="179">
        <v>87521</v>
      </c>
      <c r="C16" s="179">
        <v>93051</v>
      </c>
      <c r="D16" s="184">
        <f>C16/B16</f>
        <v>1.0631848356394464</v>
      </c>
      <c r="E16" s="179">
        <v>87277</v>
      </c>
      <c r="F16" s="179">
        <v>116597</v>
      </c>
      <c r="G16" s="186">
        <f>F16/E16</f>
        <v>1.3359418861784891</v>
      </c>
      <c r="H16" s="179">
        <f>SUM(B16,E16)</f>
        <v>174798</v>
      </c>
      <c r="I16" s="179">
        <f>SUM(C16,F16)</f>
        <v>209648</v>
      </c>
      <c r="J16" s="181">
        <f>I16/H16</f>
        <v>1.1993729905376491</v>
      </c>
      <c r="L16">
        <v>9.7100000000000009</v>
      </c>
    </row>
    <row r="17" spans="1:15" x14ac:dyDescent="0.3">
      <c r="A17">
        <v>2019</v>
      </c>
      <c r="B17" s="179">
        <v>87521</v>
      </c>
      <c r="C17" s="179">
        <v>95904</v>
      </c>
      <c r="D17" s="184">
        <f t="shared" ref="D17:D20" si="7">C17/B17</f>
        <v>1.0957827264313706</v>
      </c>
      <c r="E17" s="179">
        <v>87277</v>
      </c>
      <c r="F17" s="179">
        <v>110113</v>
      </c>
      <c r="G17" s="186">
        <f t="shared" ref="G17:G20" si="8">F17/E17</f>
        <v>1.2616496900672571</v>
      </c>
      <c r="H17" s="179">
        <f t="shared" ref="H17:H20" si="9">SUM(B17,E17)</f>
        <v>174798</v>
      </c>
      <c r="I17" s="179">
        <f t="shared" ref="I17:I20" si="10">SUM(C17,F17)</f>
        <v>206017</v>
      </c>
      <c r="J17" s="181">
        <f t="shared" ref="J17:J20" si="11">I17/H17</f>
        <v>1.1786004416526505</v>
      </c>
      <c r="M17">
        <v>427.35</v>
      </c>
      <c r="N17">
        <v>32.83</v>
      </c>
      <c r="O17">
        <f>M17/SUM(M17:N17)</f>
        <v>0.92865835108001216</v>
      </c>
    </row>
    <row r="18" spans="1:15" x14ac:dyDescent="0.3">
      <c r="A18">
        <v>2020</v>
      </c>
      <c r="B18" s="179">
        <v>117148</v>
      </c>
      <c r="C18" s="179">
        <v>116563</v>
      </c>
      <c r="D18" s="184">
        <f t="shared" si="7"/>
        <v>0.99500631679584794</v>
      </c>
      <c r="E18" s="179">
        <v>116820</v>
      </c>
      <c r="F18" s="179">
        <v>392253</v>
      </c>
      <c r="G18" s="186">
        <f t="shared" si="8"/>
        <v>3.3577555213148433</v>
      </c>
      <c r="H18" s="179">
        <f t="shared" si="9"/>
        <v>233968</v>
      </c>
      <c r="I18" s="179">
        <f t="shared" si="10"/>
        <v>508816</v>
      </c>
      <c r="J18" s="181">
        <f t="shared" si="11"/>
        <v>2.1747247486835808</v>
      </c>
      <c r="M18">
        <v>833.37</v>
      </c>
      <c r="N18">
        <v>46.15</v>
      </c>
      <c r="O18">
        <f t="shared" ref="O18:O19" si="12">M18/SUM(M18:N18)</f>
        <v>0.94752819719847192</v>
      </c>
    </row>
    <row r="19" spans="1:15" x14ac:dyDescent="0.3">
      <c r="A19">
        <v>2021</v>
      </c>
      <c r="B19" s="179">
        <v>117148</v>
      </c>
      <c r="C19" s="179">
        <v>119781</v>
      </c>
      <c r="D19" s="184">
        <f t="shared" si="7"/>
        <v>1.0224758425239868</v>
      </c>
      <c r="E19" s="179">
        <v>116820</v>
      </c>
      <c r="F19" s="179">
        <v>167166</v>
      </c>
      <c r="G19" s="186">
        <f t="shared" si="8"/>
        <v>1.4309707241910632</v>
      </c>
      <c r="H19" s="179">
        <f t="shared" si="9"/>
        <v>233968</v>
      </c>
      <c r="I19" s="179">
        <f t="shared" si="10"/>
        <v>286947</v>
      </c>
      <c r="J19" s="181">
        <f t="shared" si="11"/>
        <v>1.2264369486425495</v>
      </c>
      <c r="M19">
        <v>524.02</v>
      </c>
      <c r="N19">
        <v>48.07</v>
      </c>
      <c r="O19">
        <f t="shared" si="12"/>
        <v>0.91597475921620719</v>
      </c>
    </row>
    <row r="20" spans="1:15" x14ac:dyDescent="0.3">
      <c r="A20">
        <v>2022</v>
      </c>
      <c r="B20" s="179">
        <v>117148</v>
      </c>
      <c r="C20" s="179">
        <v>120440</v>
      </c>
      <c r="D20" s="184">
        <f t="shared" si="7"/>
        <v>1.0281012053129375</v>
      </c>
      <c r="E20" s="179">
        <v>116820</v>
      </c>
      <c r="F20" s="179">
        <v>29624</v>
      </c>
      <c r="G20" s="186">
        <f t="shared" si="8"/>
        <v>0.25358671460366378</v>
      </c>
      <c r="H20" s="179">
        <f t="shared" si="9"/>
        <v>233968</v>
      </c>
      <c r="I20" s="179">
        <f t="shared" si="10"/>
        <v>150064</v>
      </c>
      <c r="J20" s="181">
        <f t="shared" si="11"/>
        <v>0.64138685632223214</v>
      </c>
    </row>
    <row r="22" spans="1:15" x14ac:dyDescent="0.3">
      <c r="N22" s="179"/>
    </row>
    <row r="23" spans="1:15" x14ac:dyDescent="0.3">
      <c r="N23" s="179"/>
    </row>
    <row r="24" spans="1:15" x14ac:dyDescent="0.3">
      <c r="N24" s="179"/>
    </row>
    <row r="25" spans="1:15" x14ac:dyDescent="0.3">
      <c r="N25" s="179"/>
    </row>
    <row r="26" spans="1:15" x14ac:dyDescent="0.3">
      <c r="N26" s="17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8E36-B48A-426E-9F83-F72FF4EB3575}">
  <dimension ref="A1:H13"/>
  <sheetViews>
    <sheetView workbookViewId="0">
      <selection activeCell="G9" sqref="G9"/>
    </sheetView>
  </sheetViews>
  <sheetFormatPr defaultRowHeight="14.4" x14ac:dyDescent="0.3"/>
  <cols>
    <col min="1" max="1" width="15.5546875" customWidth="1"/>
    <col min="2" max="2" width="17.44140625" customWidth="1"/>
    <col min="3" max="3" width="23.33203125" customWidth="1"/>
    <col min="4" max="5" width="22.88671875" customWidth="1"/>
  </cols>
  <sheetData>
    <row r="1" spans="1:8" x14ac:dyDescent="0.3">
      <c r="A1" t="s">
        <v>25</v>
      </c>
      <c r="B1" t="s">
        <v>205</v>
      </c>
      <c r="C1" t="s">
        <v>207</v>
      </c>
      <c r="D1" t="s">
        <v>206</v>
      </c>
      <c r="E1" t="s">
        <v>208</v>
      </c>
    </row>
    <row r="2" spans="1:8" x14ac:dyDescent="0.3">
      <c r="A2">
        <v>2019</v>
      </c>
      <c r="B2">
        <f>20.874+41.203</f>
        <v>62.076999999999998</v>
      </c>
      <c r="C2">
        <v>6.3390000000000004</v>
      </c>
      <c r="D2">
        <f>91.786+82.368</f>
        <v>174.154</v>
      </c>
      <c r="E2">
        <f>428.668+181.646</f>
        <v>610.31399999999996</v>
      </c>
    </row>
    <row r="3" spans="1:8" x14ac:dyDescent="0.3">
      <c r="A3">
        <v>2020</v>
      </c>
      <c r="B3">
        <f>22.62+41.78</f>
        <v>64.400000000000006</v>
      </c>
      <c r="C3">
        <v>6.194</v>
      </c>
      <c r="D3">
        <f>46.482+118.326</f>
        <v>164.80799999999999</v>
      </c>
      <c r="E3">
        <f>405.938+353.144</f>
        <v>759.08199999999999</v>
      </c>
    </row>
    <row r="4" spans="1:8" x14ac:dyDescent="0.3">
      <c r="A4">
        <v>2021</v>
      </c>
      <c r="B4">
        <f>21.982+34.567</f>
        <v>56.548999999999999</v>
      </c>
      <c r="C4">
        <v>5.8490000000000002</v>
      </c>
      <c r="D4">
        <f>119.319+91.379</f>
        <v>210.69800000000001</v>
      </c>
      <c r="E4">
        <f>662.443+271.643</f>
        <v>934.08600000000001</v>
      </c>
    </row>
    <row r="5" spans="1:8" x14ac:dyDescent="0.3">
      <c r="A5">
        <v>2022</v>
      </c>
      <c r="B5">
        <f>25.442+33.645</f>
        <v>59.087000000000003</v>
      </c>
      <c r="C5">
        <v>4.4720000000000004</v>
      </c>
      <c r="D5">
        <f>125.592+54.787</f>
        <v>180.37899999999999</v>
      </c>
      <c r="E5">
        <f>783.521+465.466</f>
        <v>1248.9870000000001</v>
      </c>
    </row>
    <row r="6" spans="1:8" x14ac:dyDescent="0.3">
      <c r="A6">
        <v>2023</v>
      </c>
      <c r="B6">
        <f>38.213+34.367</f>
        <v>72.58</v>
      </c>
      <c r="C6">
        <v>5.5049999999999999</v>
      </c>
      <c r="D6">
        <f>114.385+56.118</f>
        <v>170.50300000000001</v>
      </c>
      <c r="E6">
        <f>690.322+726.69</f>
        <v>1417.0120000000002</v>
      </c>
    </row>
    <row r="8" spans="1:8" x14ac:dyDescent="0.3">
      <c r="A8" t="s">
        <v>33</v>
      </c>
      <c r="G8" t="s">
        <v>209</v>
      </c>
      <c r="H8" t="s">
        <v>210</v>
      </c>
    </row>
    <row r="9" spans="1:8" x14ac:dyDescent="0.3">
      <c r="A9">
        <v>2013</v>
      </c>
      <c r="B9">
        <v>934.91899999999998</v>
      </c>
      <c r="G9">
        <v>112.94199999999999</v>
      </c>
      <c r="H9">
        <v>1723.6310000000001</v>
      </c>
    </row>
    <row r="10" spans="1:8" x14ac:dyDescent="0.3">
      <c r="A10">
        <v>2014</v>
      </c>
      <c r="B10">
        <v>926.80700000000002</v>
      </c>
      <c r="G10">
        <v>163.99</v>
      </c>
      <c r="H10">
        <v>1906.7249999999999</v>
      </c>
    </row>
    <row r="11" spans="1:8" x14ac:dyDescent="0.3">
      <c r="A11">
        <v>2015</v>
      </c>
      <c r="B11">
        <v>996.97500000000002</v>
      </c>
      <c r="G11">
        <v>173.61699999999999</v>
      </c>
      <c r="H11">
        <v>1322.04</v>
      </c>
    </row>
    <row r="12" spans="1:8" x14ac:dyDescent="0.3">
      <c r="A12">
        <v>2016</v>
      </c>
      <c r="B12">
        <v>1050.0229999999999</v>
      </c>
      <c r="G12">
        <v>184.57599999999999</v>
      </c>
      <c r="H12">
        <v>1524.5920000000001</v>
      </c>
    </row>
    <row r="13" spans="1:8" x14ac:dyDescent="0.3">
      <c r="A13">
        <v>2017</v>
      </c>
      <c r="B13">
        <v>1279.3240000000001</v>
      </c>
      <c r="G13">
        <v>110.68</v>
      </c>
      <c r="H13">
        <v>1550.296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Me</vt:lpstr>
      <vt:lpstr>All Species Scores</vt:lpstr>
      <vt:lpstr>WorkingSheet</vt:lpstr>
      <vt:lpstr>All Risk Ratings</vt:lpstr>
      <vt:lpstr>ACL Landings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Karr;kkarredf@gmail.com</dc:creator>
  <cp:lastModifiedBy>Mike Schmidtke</cp:lastModifiedBy>
  <cp:lastPrinted>2011-03-23T23:42:11Z</cp:lastPrinted>
  <dcterms:created xsi:type="dcterms:W3CDTF">2011-02-07T22:31:57Z</dcterms:created>
  <dcterms:modified xsi:type="dcterms:W3CDTF">2024-10-21T20:02:12Z</dcterms:modified>
</cp:coreProperties>
</file>