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ml.chartshapes+xml"/>
  <Override PartName="/xl/charts/chart23.xml" ContentType="application/vnd.openxmlformats-officedocument.drawingml.chart+xml"/>
  <Override PartName="/xl/drawings/drawing14.xml" ContentType="application/vnd.openxmlformats-officedocument.drawingml.chartshapes+xml"/>
  <Override PartName="/xl/charts/chart24.xml" ContentType="application/vnd.openxmlformats-officedocument.drawingml.chart+xml"/>
  <Override PartName="/xl/drawings/drawing15.xml" ContentType="application/vnd.openxmlformats-officedocument.drawingml.chartshapes+xml"/>
  <Override PartName="/xl/charts/chart25.xml" ContentType="application/vnd.openxmlformats-officedocument.drawingml.chart+xml"/>
  <Override PartName="/xl/drawings/drawing16.xml" ContentType="application/vnd.openxmlformats-officedocument.drawingml.chartshapes+xml"/>
  <Override PartName="/xl/charts/chart26.xml" ContentType="application/vnd.openxmlformats-officedocument.drawingml.chart+xml"/>
  <Override PartName="/xl/drawings/drawing17.xml" ContentType="application/vnd.openxmlformats-officedocument.drawingml.chartshapes+xml"/>
  <Override PartName="/xl/charts/chart27.xml" ContentType="application/vnd.openxmlformats-officedocument.drawingml.chart+xml"/>
  <Override PartName="/xl/drawings/drawing18.xml" ContentType="application/vnd.openxmlformats-officedocument.drawingml.chartshapes+xml"/>
  <Override PartName="/xl/charts/chart28.xml" ContentType="application/vnd.openxmlformats-officedocument.drawingml.chart+xml"/>
  <Override PartName="/xl/drawings/drawing19.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20.xml" ContentType="application/vnd.openxmlformats-officedocument.drawingml.chartshapes+xml"/>
  <Override PartName="/xl/charts/chart34.xml" ContentType="application/vnd.openxmlformats-officedocument.drawingml.chart+xml"/>
  <Override PartName="/xl/drawings/drawing21.xml" ContentType="application/vnd.openxmlformats-officedocument.drawingml.chartshapes+xml"/>
  <Override PartName="/xl/charts/chart35.xml" ContentType="application/vnd.openxmlformats-officedocument.drawingml.chart+xml"/>
  <Override PartName="/xl/drawings/drawing22.xml" ContentType="application/vnd.openxmlformats-officedocument.drawingml.chartshapes+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ml.chartshapes+xml"/>
  <Override PartName="/xl/charts/chart43.xml" ContentType="application/vnd.openxmlformats-officedocument.drawingml.chart+xml"/>
  <Override PartName="/xl/drawings/drawing25.xml" ContentType="application/vnd.openxmlformats-officedocument.drawingml.chartshapes+xml"/>
  <Override PartName="/xl/charts/chart44.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28.xml" ContentType="application/vnd.openxmlformats-officedocument.drawingml.chartshapes+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9.xml" ContentType="application/vnd.openxmlformats-officedocument.drawingml.chartshapes+xml"/>
  <Override PartName="/xl/charts/chart52.xml" ContentType="application/vnd.openxmlformats-officedocument.drawingml.chart+xml"/>
  <Override PartName="/xl/charts/chart53.xml" ContentType="application/vnd.openxmlformats-officedocument.drawingml.chart+xml"/>
  <Override PartName="/xl/drawings/drawing30.xml" ContentType="application/vnd.openxmlformats-officedocument.drawingml.chartshapes+xml"/>
  <Override PartName="/xl/charts/chart54.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33.xml" ContentType="application/vnd.openxmlformats-officedocument.drawingml.chartshapes+xml"/>
  <Override PartName="/xl/charts/chart64.xml" ContentType="application/vnd.openxmlformats-officedocument.drawingml.chart+xml"/>
  <Override PartName="/xl/drawings/drawing34.xml" ContentType="application/vnd.openxmlformats-officedocument.drawingml.chartshapes+xml"/>
  <Override PartName="/xl/charts/chart65.xml" ContentType="application/vnd.openxmlformats-officedocument.drawingml.chart+xml"/>
  <Override PartName="/xl/drawings/drawing35.xml" ContentType="application/vnd.openxmlformats-officedocument.drawingml.chartshapes+xml"/>
  <Override PartName="/xl/charts/chart66.xml" ContentType="application/vnd.openxmlformats-officedocument.drawingml.chart+xml"/>
  <Override PartName="/xl/drawings/drawing36.xml" ContentType="application/vnd.openxmlformats-officedocument.drawingml.chartshapes+xml"/>
  <Override PartName="/xl/charts/chart67.xml" ContentType="application/vnd.openxmlformats-officedocument.drawingml.chart+xml"/>
  <Override PartName="/xl/drawings/drawing37.xml" ContentType="application/vnd.openxmlformats-officedocument.drawingml.chartshapes+xml"/>
  <Override PartName="/xl/charts/chart68.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40.xml" ContentType="application/vnd.openxmlformats-officedocument.drawingml.chartshapes+xml"/>
  <Override PartName="/xl/charts/chart77.xml" ContentType="application/vnd.openxmlformats-officedocument.drawingml.chart+xml"/>
  <Override PartName="/xl/drawings/drawing41.xml" ContentType="application/vnd.openxmlformats-officedocument.drawingml.chartshapes+xml"/>
  <Override PartName="/xl/charts/chart78.xml" ContentType="application/vnd.openxmlformats-officedocument.drawingml.chart+xml"/>
  <Override PartName="/xl/drawings/drawing42.xml" ContentType="application/vnd.openxmlformats-officedocument.drawingml.chartshapes+xml"/>
  <Override PartName="/xl/charts/chart79.xml" ContentType="application/vnd.openxmlformats-officedocument.drawingml.chart+xml"/>
  <Override PartName="/xl/drawings/drawing43.xml" ContentType="application/vnd.openxmlformats-officedocument.drawingml.chartshapes+xml"/>
  <Override PartName="/xl/charts/chart80.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81.xml" ContentType="application/vnd.openxmlformats-officedocument.drawingml.chart+xml"/>
  <Override PartName="/xl/drawings/drawing46.xml" ContentType="application/vnd.openxmlformats-officedocument.drawingml.chartshapes+xml"/>
  <Override PartName="/xl/charts/chart82.xml" ContentType="application/vnd.openxmlformats-officedocument.drawingml.chart+xml"/>
  <Override PartName="/xl/charts/chart83.xml" ContentType="application/vnd.openxmlformats-officedocument.drawingml.chart+xml"/>
  <Override PartName="/xl/drawings/drawing47.xml" ContentType="application/vnd.openxmlformats-officedocument.drawingml.chartshapes+xml"/>
  <Override PartName="/xl/charts/chart84.xml" ContentType="application/vnd.openxmlformats-officedocument.drawingml.chart+xml"/>
  <Override PartName="/xl/drawings/drawing48.xml" ContentType="application/vnd.openxmlformats-officedocument.drawingml.chartshapes+xml"/>
  <Override PartName="/xl/charts/chart8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9.xml" ContentType="application/vnd.openxmlformats-officedocument.drawing+xml"/>
  <Override PartName="/xl/charts/chart86.xml" ContentType="application/vnd.openxmlformats-officedocument.drawingml.chart+xml"/>
  <Override PartName="/xl/drawings/drawing50.xml" ContentType="application/vnd.openxmlformats-officedocument.drawingml.chartshapes+xml"/>
  <Override PartName="/xl/charts/chart87.xml" ContentType="application/vnd.openxmlformats-officedocument.drawingml.chart+xml"/>
  <Override PartName="/xl/charts/chart88.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ikee\SAFMC\SSC\Apr 2020\BB\"/>
    </mc:Choice>
  </mc:AlternateContent>
  <xr:revisionPtr revIDLastSave="0" documentId="13_ncr:1_{CC0BBE71-21D0-439F-BFC2-22F8CBC54D08}" xr6:coauthVersionLast="44" xr6:coauthVersionMax="44" xr10:uidLastSave="{00000000-0000-0000-0000-000000000000}"/>
  <bookViews>
    <workbookView xWindow="-120" yWindow="-120" windowWidth="25440" windowHeight="15990" activeTab="1" xr2:uid="{00000000-000D-0000-FFFF-FFFF00000000}"/>
  </bookViews>
  <sheets>
    <sheet name="Info" sheetId="109" r:id="rId1"/>
    <sheet name="A Spadefish" sheetId="2" r:id="rId2"/>
    <sheet name="Bar Jack" sheetId="69" r:id="rId3"/>
    <sheet name="Black Grouper" sheetId="91" r:id="rId4"/>
    <sheet name="Gray Triggerfish" sheetId="9" r:id="rId5"/>
    <sheet name="GA-NC Hogfish" sheetId="79" r:id="rId6"/>
    <sheet name="Scamp" sheetId="17" r:id="rId7"/>
    <sheet name="Deepwater Complex" sheetId="51" r:id="rId8"/>
    <sheet name="Jacks Complex" sheetId="52" r:id="rId9"/>
    <sheet name="Snappers Complex" sheetId="53" r:id="rId10"/>
    <sheet name="Grunts Complex" sheetId="54" r:id="rId11"/>
    <sheet name="Shallow-Water Complex" sheetId="55" r:id="rId12"/>
    <sheet name="Porgy Complex" sheetId="56" r:id="rId13"/>
    <sheet name="Dolphin" sheetId="81" r:id="rId14"/>
    <sheet name="Wahoo" sheetId="82" r:id="rId15"/>
    <sheet name="ORCS Categories" sheetId="90" r:id="rId16"/>
    <sheet name="Rec Closures" sheetId="111" r:id="rId17"/>
    <sheet name="Comm Closures" sheetId="112" r:id="rId1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82" l="1"/>
  <c r="H42" i="81" l="1"/>
  <c r="G42" i="81"/>
  <c r="D43" i="82"/>
  <c r="C43" i="82"/>
  <c r="G44" i="82"/>
  <c r="G43" i="82"/>
  <c r="G42" i="82"/>
  <c r="H44" i="81" l="1"/>
  <c r="G44" i="81"/>
  <c r="H45" i="81"/>
  <c r="H47" i="81" s="1"/>
  <c r="K46" i="81" s="1"/>
  <c r="G45" i="81"/>
  <c r="G47" i="81" s="1"/>
  <c r="K45" i="81" s="1"/>
  <c r="A26" i="81"/>
  <c r="B26" i="81"/>
  <c r="A27" i="81"/>
  <c r="B27" i="81"/>
  <c r="A28" i="81"/>
  <c r="B28" i="81"/>
  <c r="A29" i="81"/>
  <c r="B29" i="81"/>
  <c r="A30" i="81"/>
  <c r="B30" i="81"/>
  <c r="A31" i="81"/>
  <c r="B31" i="81"/>
  <c r="A32" i="81"/>
  <c r="B32" i="81"/>
  <c r="A33" i="81"/>
  <c r="B33" i="81"/>
  <c r="A34" i="81"/>
  <c r="B34" i="81"/>
  <c r="B25" i="81"/>
  <c r="A25" i="81"/>
  <c r="K44" i="81" s="1"/>
  <c r="K43" i="81"/>
  <c r="I29" i="81"/>
  <c r="K42" i="81"/>
  <c r="D35" i="81"/>
  <c r="K41" i="81"/>
  <c r="C74" i="81" l="1"/>
  <c r="C73" i="81"/>
  <c r="C72" i="81"/>
  <c r="C71" i="81"/>
  <c r="C70" i="81"/>
  <c r="C69" i="81"/>
  <c r="C68" i="81"/>
  <c r="C67" i="81"/>
  <c r="C66" i="81"/>
  <c r="C65" i="81"/>
  <c r="C64" i="81"/>
  <c r="C63" i="81"/>
  <c r="C62" i="81"/>
  <c r="C61" i="81"/>
  <c r="C60" i="81"/>
  <c r="C59" i="81"/>
  <c r="C58" i="81"/>
  <c r="C57" i="81"/>
  <c r="C56" i="81"/>
  <c r="C55" i="81"/>
  <c r="C54" i="81"/>
  <c r="C53" i="81"/>
  <c r="C52" i="81"/>
  <c r="C51" i="81"/>
  <c r="C50" i="81"/>
  <c r="C49" i="81"/>
  <c r="C48" i="81"/>
  <c r="C47" i="81"/>
  <c r="C46" i="81"/>
  <c r="C45" i="81"/>
  <c r="C44" i="81"/>
  <c r="C43" i="81"/>
  <c r="C42" i="81"/>
  <c r="C41" i="81"/>
  <c r="G35" i="81"/>
  <c r="J30" i="81"/>
  <c r="J31" i="81"/>
  <c r="J32" i="81"/>
  <c r="J33" i="81"/>
  <c r="J34" i="81"/>
  <c r="J29" i="81"/>
  <c r="I30" i="81"/>
  <c r="I31" i="81"/>
  <c r="I32" i="81"/>
  <c r="I33" i="81"/>
  <c r="I34" i="81"/>
  <c r="A12" i="81"/>
  <c r="B12" i="81"/>
  <c r="A13" i="81"/>
  <c r="B13" i="81"/>
  <c r="A14" i="81"/>
  <c r="B14" i="81"/>
  <c r="B17" i="81"/>
  <c r="B18" i="81"/>
  <c r="B19" i="81"/>
  <c r="B20" i="81"/>
  <c r="B21" i="81"/>
  <c r="B22" i="81"/>
  <c r="B23" i="81"/>
  <c r="B24" i="81"/>
  <c r="B16" i="81"/>
  <c r="B11" i="81"/>
  <c r="A11" i="81"/>
  <c r="A17" i="81"/>
  <c r="A18" i="81"/>
  <c r="A19" i="81"/>
  <c r="A20" i="81"/>
  <c r="A21" i="81"/>
  <c r="A22" i="81"/>
  <c r="A23" i="81"/>
  <c r="A24" i="81"/>
  <c r="A16" i="81"/>
  <c r="G36" i="81"/>
  <c r="D36" i="81"/>
  <c r="G37" i="91" l="1"/>
  <c r="D37" i="91"/>
  <c r="L40" i="56"/>
  <c r="C40" i="56"/>
  <c r="O40" i="56"/>
  <c r="N40" i="56"/>
  <c r="M40" i="56"/>
  <c r="K40" i="56"/>
  <c r="B43" i="56"/>
  <c r="B40" i="56" s="1"/>
  <c r="D40" i="56"/>
  <c r="E40" i="56"/>
  <c r="F40" i="56"/>
  <c r="Q39" i="55"/>
  <c r="P39" i="55"/>
  <c r="O39" i="55"/>
  <c r="N39" i="55"/>
  <c r="M39" i="55"/>
  <c r="L39" i="55"/>
  <c r="B39" i="55"/>
  <c r="F39" i="55"/>
  <c r="G39" i="55"/>
  <c r="E39" i="55"/>
  <c r="D39" i="55"/>
  <c r="C39" i="55"/>
  <c r="M39" i="54"/>
  <c r="E39" i="54"/>
  <c r="B39" i="54"/>
  <c r="L39" i="54"/>
  <c r="K39" i="54"/>
  <c r="J39" i="54"/>
  <c r="D39" i="54"/>
  <c r="C39" i="54"/>
  <c r="I39" i="53"/>
  <c r="K39" i="53"/>
  <c r="J39" i="53"/>
  <c r="C39" i="53"/>
  <c r="D39" i="53"/>
  <c r="B39" i="53"/>
  <c r="K39" i="52"/>
  <c r="J39" i="52"/>
  <c r="I39" i="52"/>
  <c r="C39" i="52"/>
  <c r="D39" i="52"/>
  <c r="B39" i="52"/>
  <c r="G37" i="51"/>
  <c r="B37" i="51"/>
  <c r="H44" i="17"/>
  <c r="D44" i="17"/>
  <c r="H43" i="17"/>
  <c r="D43" i="17"/>
  <c r="A18" i="17"/>
  <c r="B18" i="17"/>
  <c r="A19" i="17"/>
  <c r="B19" i="17"/>
  <c r="A20" i="17"/>
  <c r="B20" i="17"/>
  <c r="A21" i="17"/>
  <c r="B21" i="17"/>
  <c r="A22" i="17"/>
  <c r="B22" i="17"/>
  <c r="A23" i="17"/>
  <c r="B23" i="17"/>
  <c r="A24" i="17"/>
  <c r="B24" i="17"/>
  <c r="A25" i="17"/>
  <c r="B25" i="17"/>
  <c r="B17" i="17"/>
  <c r="A17" i="17"/>
  <c r="G42" i="79"/>
  <c r="D42" i="79"/>
  <c r="G43" i="9"/>
  <c r="D43" i="9"/>
  <c r="G43" i="69"/>
  <c r="D43" i="69"/>
  <c r="G43" i="2"/>
  <c r="D43" i="2"/>
  <c r="H42" i="17" l="1"/>
  <c r="D42" i="17"/>
  <c r="I36" i="56"/>
  <c r="F48" i="52"/>
  <c r="F44" i="52"/>
  <c r="AI61" i="82" l="1"/>
  <c r="AI60" i="82"/>
  <c r="AI59" i="82"/>
  <c r="AI58" i="82"/>
  <c r="AI57" i="82"/>
  <c r="AI56" i="82"/>
  <c r="AI55" i="82"/>
  <c r="AI54" i="82"/>
  <c r="AI53" i="82"/>
  <c r="AI52" i="82"/>
  <c r="AI51" i="82"/>
  <c r="AI50" i="82"/>
  <c r="AI49" i="82"/>
  <c r="AI48" i="82"/>
  <c r="AI47" i="82"/>
  <c r="AI46" i="82"/>
  <c r="AI45" i="82"/>
  <c r="AI44" i="82"/>
  <c r="AI43" i="82"/>
  <c r="AI42" i="82"/>
  <c r="AI41" i="82"/>
  <c r="AI40" i="82"/>
  <c r="AI39" i="82"/>
  <c r="AI38" i="82"/>
  <c r="AI37" i="82"/>
  <c r="AI35" i="82"/>
  <c r="AI34" i="82"/>
  <c r="AI33" i="82"/>
  <c r="AI31" i="82"/>
  <c r="AI30" i="82"/>
  <c r="AJ61" i="81"/>
  <c r="AJ60" i="81"/>
  <c r="AJ59" i="81"/>
  <c r="AJ58" i="81"/>
  <c r="AJ57" i="81"/>
  <c r="AJ56" i="81"/>
  <c r="AJ55" i="81"/>
  <c r="AJ54" i="81"/>
  <c r="AJ53" i="81"/>
  <c r="AJ52" i="81"/>
  <c r="AJ51" i="81"/>
  <c r="AJ50" i="81"/>
  <c r="AJ49" i="81"/>
  <c r="AJ48" i="81"/>
  <c r="AJ47" i="81"/>
  <c r="AJ46" i="81"/>
  <c r="AJ45" i="81"/>
  <c r="AJ44" i="81"/>
  <c r="AJ43" i="81"/>
  <c r="AJ42" i="81"/>
  <c r="AJ41" i="81"/>
  <c r="AJ40" i="81"/>
  <c r="AJ39" i="81"/>
  <c r="AJ38" i="81"/>
  <c r="AJ37" i="81"/>
  <c r="AJ35" i="81"/>
  <c r="AJ34" i="81"/>
  <c r="AJ33" i="81"/>
  <c r="AJ31" i="81"/>
  <c r="AJ30" i="81"/>
  <c r="J39" i="17" l="1"/>
  <c r="F39" i="17"/>
  <c r="D32" i="17"/>
  <c r="J36" i="17"/>
  <c r="F36" i="17"/>
  <c r="N38" i="79"/>
  <c r="I35" i="69"/>
  <c r="I34" i="69"/>
  <c r="I33" i="69"/>
  <c r="I32" i="69"/>
  <c r="I31" i="69"/>
  <c r="I30" i="69"/>
  <c r="I34" i="2"/>
  <c r="I35" i="2"/>
  <c r="I33" i="2"/>
  <c r="I31" i="2"/>
  <c r="I32" i="2"/>
  <c r="I30" i="2"/>
  <c r="J30" i="2"/>
  <c r="O38" i="2"/>
  <c r="B17" i="2"/>
  <c r="N48" i="52" l="1"/>
  <c r="N44" i="52"/>
  <c r="CE4" i="52" l="1"/>
  <c r="CE6" i="52"/>
  <c r="CE7" i="52"/>
  <c r="CE8" i="52"/>
  <c r="CE9" i="52"/>
  <c r="CE10" i="52"/>
  <c r="CE12" i="52"/>
  <c r="CE16" i="52"/>
  <c r="CE17" i="52"/>
  <c r="CE19" i="52"/>
  <c r="CE20" i="52"/>
  <c r="CE21" i="52"/>
  <c r="CE22" i="52"/>
  <c r="CE24" i="52"/>
  <c r="CE25" i="52"/>
  <c r="CE26" i="52"/>
  <c r="CE27" i="52"/>
  <c r="CE28" i="52"/>
  <c r="CE29" i="52"/>
  <c r="CE30" i="52"/>
  <c r="CE2" i="52"/>
  <c r="R36" i="56"/>
  <c r="G454" i="112" l="1"/>
  <c r="G453" i="112"/>
  <c r="G452" i="112"/>
  <c r="G442" i="112"/>
  <c r="G441" i="112"/>
  <c r="E430" i="112"/>
  <c r="E429" i="112"/>
  <c r="E428" i="112"/>
  <c r="E427" i="112"/>
  <c r="E426" i="112"/>
  <c r="E425" i="112"/>
  <c r="E424" i="112"/>
  <c r="E423" i="112"/>
  <c r="E422" i="112"/>
  <c r="E421" i="112"/>
  <c r="E420" i="112"/>
  <c r="E419" i="112"/>
  <c r="E418" i="112"/>
  <c r="E417" i="112"/>
  <c r="E416" i="112"/>
  <c r="E415" i="112"/>
  <c r="E414" i="112"/>
  <c r="E413" i="112"/>
  <c r="F412" i="112"/>
  <c r="H411" i="112"/>
  <c r="J411" i="112" s="1"/>
  <c r="F411" i="112"/>
  <c r="F410" i="112"/>
  <c r="J409" i="112"/>
  <c r="I409" i="112"/>
  <c r="H409" i="112"/>
  <c r="F409" i="112"/>
  <c r="G377" i="112"/>
  <c r="G376" i="112"/>
  <c r="G375" i="112"/>
  <c r="G374" i="112"/>
  <c r="G373" i="112"/>
  <c r="G372" i="112"/>
  <c r="G371" i="112"/>
  <c r="G370" i="112"/>
  <c r="G369" i="112"/>
  <c r="G351" i="112"/>
  <c r="G350" i="112"/>
  <c r="G339" i="112"/>
  <c r="G338" i="112"/>
  <c r="G327" i="112"/>
  <c r="G326" i="112"/>
  <c r="G315" i="112"/>
  <c r="G314" i="112"/>
  <c r="G300" i="112"/>
  <c r="G299" i="112"/>
  <c r="G281" i="112"/>
  <c r="G280" i="112"/>
  <c r="G270" i="112"/>
  <c r="G269" i="112"/>
  <c r="G259" i="112"/>
  <c r="G258" i="112"/>
  <c r="G247" i="112"/>
  <c r="G246" i="112"/>
  <c r="I225" i="112"/>
  <c r="H225" i="112"/>
  <c r="J225" i="112" s="1"/>
  <c r="J223" i="112"/>
  <c r="I223" i="112"/>
  <c r="H223" i="112"/>
  <c r="G222" i="112"/>
  <c r="G221" i="112"/>
  <c r="I220" i="112"/>
  <c r="H220" i="112"/>
  <c r="J220" i="112" s="1"/>
  <c r="G220" i="112"/>
  <c r="G219" i="112"/>
  <c r="G218" i="112"/>
  <c r="I217" i="112"/>
  <c r="H217" i="112"/>
  <c r="J217" i="112" s="1"/>
  <c r="G217" i="112"/>
  <c r="G216" i="112"/>
  <c r="G215" i="112"/>
  <c r="I214" i="112"/>
  <c r="H214" i="112"/>
  <c r="J214" i="112" s="1"/>
  <c r="G214" i="112"/>
  <c r="G204" i="112"/>
  <c r="G203" i="112"/>
  <c r="G189" i="112"/>
  <c r="G188" i="112"/>
  <c r="G183" i="112"/>
  <c r="G182" i="112"/>
  <c r="G172" i="112"/>
  <c r="G171" i="112"/>
  <c r="G156" i="112"/>
  <c r="G155" i="112"/>
  <c r="G154" i="112"/>
  <c r="F139" i="112"/>
  <c r="I138" i="112"/>
  <c r="H138" i="112"/>
  <c r="J138" i="112" s="1"/>
  <c r="F138" i="112"/>
  <c r="F137" i="112"/>
  <c r="I136" i="112"/>
  <c r="J136" i="112" s="1"/>
  <c r="H136" i="112"/>
  <c r="F136" i="112"/>
  <c r="G114" i="112"/>
  <c r="G113" i="112"/>
  <c r="G112" i="112"/>
  <c r="G111" i="112"/>
  <c r="G94" i="112"/>
  <c r="G93" i="112"/>
  <c r="G83" i="112"/>
  <c r="G82" i="112"/>
  <c r="G70" i="112"/>
  <c r="G69" i="112"/>
  <c r="G59" i="112"/>
  <c r="G58" i="112"/>
  <c r="G43" i="112"/>
  <c r="G42" i="112"/>
  <c r="G32" i="112"/>
  <c r="G31" i="112"/>
  <c r="G21" i="112"/>
  <c r="G20" i="112"/>
  <c r="G10" i="112"/>
  <c r="G9" i="112"/>
  <c r="J31" i="69" l="1"/>
  <c r="J32" i="69"/>
  <c r="J30" i="69"/>
  <c r="B18" i="69"/>
  <c r="B19" i="69"/>
  <c r="B20" i="69"/>
  <c r="B21" i="69"/>
  <c r="B22" i="69"/>
  <c r="B23" i="69"/>
  <c r="B24" i="69"/>
  <c r="B25" i="69"/>
  <c r="B17" i="69"/>
  <c r="G36" i="69"/>
  <c r="O39" i="2"/>
  <c r="J31" i="2"/>
  <c r="J32" i="2"/>
  <c r="B18" i="2"/>
  <c r="B19" i="2"/>
  <c r="B20" i="2"/>
  <c r="B21" i="2"/>
  <c r="B22" i="2"/>
  <c r="B23" i="2"/>
  <c r="B24" i="2"/>
  <c r="B25" i="2"/>
  <c r="G36" i="2"/>
  <c r="O40" i="79" l="1"/>
  <c r="O36" i="79"/>
  <c r="G71" i="91" l="1"/>
  <c r="H71" i="91" s="1"/>
  <c r="G70" i="91"/>
  <c r="H70" i="91" s="1"/>
  <c r="I70" i="91" s="1"/>
  <c r="G69" i="91"/>
  <c r="H69" i="91" s="1"/>
  <c r="G68" i="91"/>
  <c r="H68" i="91" s="1"/>
  <c r="G67" i="91"/>
  <c r="H67" i="91" s="1"/>
  <c r="G66" i="91"/>
  <c r="H66" i="91" s="1"/>
  <c r="I66" i="91" s="1"/>
  <c r="G65" i="91"/>
  <c r="H65" i="91" s="1"/>
  <c r="G64" i="91"/>
  <c r="H64" i="91" s="1"/>
  <c r="I64" i="91" s="1"/>
  <c r="G63" i="91"/>
  <c r="H63" i="91" s="1"/>
  <c r="G62" i="91"/>
  <c r="H62" i="91" s="1"/>
  <c r="I62" i="91" s="1"/>
  <c r="G61" i="91"/>
  <c r="H61" i="91" s="1"/>
  <c r="G60" i="91"/>
  <c r="H60" i="91" s="1"/>
  <c r="G59" i="91"/>
  <c r="H59" i="91" s="1"/>
  <c r="G58" i="91"/>
  <c r="H58" i="91" s="1"/>
  <c r="I58" i="91" s="1"/>
  <c r="G57" i="91"/>
  <c r="H57" i="91" s="1"/>
  <c r="G56" i="91"/>
  <c r="H56" i="91" s="1"/>
  <c r="G55" i="91"/>
  <c r="H55" i="91" s="1"/>
  <c r="G54" i="91"/>
  <c r="H54" i="91" s="1"/>
  <c r="I54" i="91" s="1"/>
  <c r="G53" i="91"/>
  <c r="H53" i="91" s="1"/>
  <c r="G52" i="91"/>
  <c r="H52" i="91" s="1"/>
  <c r="I52" i="91" s="1"/>
  <c r="G51" i="91"/>
  <c r="H51" i="91" s="1"/>
  <c r="G50" i="91"/>
  <c r="H50" i="91" s="1"/>
  <c r="I50" i="91" s="1"/>
  <c r="G49" i="91"/>
  <c r="H49" i="91" s="1"/>
  <c r="G48" i="91"/>
  <c r="H48" i="91" s="1"/>
  <c r="G47" i="91"/>
  <c r="H47" i="91" s="1"/>
  <c r="I46" i="91"/>
  <c r="G45" i="91"/>
  <c r="H45" i="91" s="1"/>
  <c r="G44" i="91"/>
  <c r="H44" i="91" s="1"/>
  <c r="I44" i="91" s="1"/>
  <c r="G43" i="91"/>
  <c r="H43" i="91" s="1"/>
  <c r="I42" i="91"/>
  <c r="G41" i="91"/>
  <c r="H41" i="91" s="1"/>
  <c r="G40" i="91"/>
  <c r="H40" i="91" s="1"/>
  <c r="I40" i="91" s="1"/>
  <c r="G72" i="91" l="1"/>
  <c r="I71" i="91"/>
  <c r="I45" i="91"/>
  <c r="I61" i="91"/>
  <c r="I67" i="91"/>
  <c r="I41" i="91"/>
  <c r="I57" i="91"/>
  <c r="I49" i="91"/>
  <c r="I65" i="91"/>
  <c r="I63" i="91"/>
  <c r="I51" i="91"/>
  <c r="I53" i="91"/>
  <c r="I69" i="91"/>
  <c r="I55" i="91"/>
  <c r="I47" i="91"/>
  <c r="I43" i="91"/>
  <c r="I59" i="91"/>
  <c r="I48" i="91"/>
  <c r="I56" i="91"/>
  <c r="I60" i="91"/>
  <c r="I68" i="91"/>
  <c r="J41" i="91" l="1"/>
  <c r="J49" i="91"/>
  <c r="J57" i="91"/>
  <c r="J65" i="91"/>
  <c r="J66" i="91"/>
  <c r="J43" i="91"/>
  <c r="J51" i="91"/>
  <c r="J59" i="91"/>
  <c r="J67" i="91"/>
  <c r="J44" i="91"/>
  <c r="J52" i="91"/>
  <c r="J60" i="91"/>
  <c r="J68" i="91"/>
  <c r="J45" i="91"/>
  <c r="J53" i="91"/>
  <c r="J61" i="91"/>
  <c r="J46" i="91"/>
  <c r="J62" i="91"/>
  <c r="J55" i="91"/>
  <c r="J63" i="91"/>
  <c r="J42" i="91"/>
  <c r="J50" i="91"/>
  <c r="J58" i="91"/>
  <c r="J48" i="91"/>
  <c r="J56" i="91"/>
  <c r="J64" i="91"/>
  <c r="J40" i="91"/>
  <c r="J69" i="91"/>
  <c r="J54" i="91"/>
  <c r="J70" i="91"/>
  <c r="J47" i="91"/>
  <c r="J71" i="91"/>
  <c r="G34" i="91" l="1"/>
  <c r="D34" i="91"/>
  <c r="G33" i="91"/>
  <c r="D33" i="91"/>
  <c r="G32" i="91"/>
  <c r="G36" i="91" s="1"/>
  <c r="D32" i="91"/>
  <c r="G31" i="91"/>
  <c r="D31" i="91"/>
  <c r="G30" i="91"/>
  <c r="D30" i="91"/>
  <c r="G29" i="91"/>
  <c r="D29" i="91"/>
  <c r="G28" i="91"/>
  <c r="D28" i="91"/>
  <c r="G27" i="91"/>
  <c r="D27" i="91"/>
  <c r="G26" i="91"/>
  <c r="D26" i="91"/>
  <c r="G25" i="91"/>
  <c r="D25" i="91"/>
  <c r="G24" i="91"/>
  <c r="D24" i="91"/>
  <c r="G23" i="91"/>
  <c r="D23" i="91"/>
  <c r="G22" i="91"/>
  <c r="D22" i="91"/>
  <c r="G21" i="91"/>
  <c r="D21" i="91"/>
  <c r="G20" i="91"/>
  <c r="D20" i="91"/>
  <c r="G19" i="91"/>
  <c r="D19" i="91"/>
  <c r="G18" i="91"/>
  <c r="D18" i="91"/>
  <c r="G17" i="91"/>
  <c r="D17" i="91"/>
  <c r="G16" i="91"/>
  <c r="D16" i="91"/>
  <c r="G15" i="91"/>
  <c r="D15" i="91"/>
  <c r="G14" i="91"/>
  <c r="D14" i="91"/>
  <c r="G13" i="91"/>
  <c r="D13" i="91"/>
  <c r="G12" i="91"/>
  <c r="D12" i="91"/>
  <c r="G11" i="91"/>
  <c r="D11" i="91"/>
  <c r="G10" i="91"/>
  <c r="D10" i="91"/>
  <c r="G9" i="91"/>
  <c r="D9" i="91"/>
  <c r="G8" i="91"/>
  <c r="D8" i="91"/>
  <c r="G7" i="91"/>
  <c r="D7" i="91"/>
  <c r="G6" i="91"/>
  <c r="D6" i="91"/>
  <c r="G5" i="91"/>
  <c r="D5" i="91"/>
  <c r="G4" i="91"/>
  <c r="D4" i="91"/>
  <c r="G3" i="91"/>
  <c r="D3" i="91"/>
  <c r="A23" i="91" l="1"/>
  <c r="A19" i="91"/>
  <c r="D36" i="91"/>
  <c r="B19" i="91"/>
  <c r="B23" i="91"/>
  <c r="A16" i="91"/>
  <c r="D35" i="91"/>
  <c r="A20" i="91"/>
  <c r="A24" i="91"/>
  <c r="G35" i="91"/>
  <c r="B16" i="91"/>
  <c r="B20" i="91"/>
  <c r="B24" i="91"/>
  <c r="A17" i="91"/>
  <c r="A21" i="91"/>
  <c r="B17" i="91"/>
  <c r="B21" i="91"/>
  <c r="A18" i="91"/>
  <c r="A22" i="91"/>
  <c r="B18" i="91"/>
  <c r="B22" i="91"/>
  <c r="P148" i="51"/>
  <c r="Q148" i="51" s="1"/>
  <c r="R148" i="51" s="1"/>
  <c r="P149" i="51"/>
  <c r="Q149" i="51" s="1"/>
  <c r="R149" i="51" s="1"/>
  <c r="P150" i="51"/>
  <c r="Q150" i="51" s="1"/>
  <c r="R150" i="51" s="1"/>
  <c r="P151" i="51"/>
  <c r="Q151" i="51" s="1"/>
  <c r="R151" i="51" s="1"/>
  <c r="P152" i="51"/>
  <c r="Q152" i="51" s="1"/>
  <c r="R152" i="51" s="1"/>
  <c r="AA148" i="51"/>
  <c r="AB148" i="51" s="1"/>
  <c r="AC148" i="51" s="1"/>
  <c r="AC149" i="51"/>
  <c r="AA150" i="51"/>
  <c r="AB150" i="51" s="1"/>
  <c r="AC150" i="51" s="1"/>
  <c r="AA151" i="51"/>
  <c r="AB151" i="51" s="1"/>
  <c r="AC151" i="51" s="1"/>
  <c r="AA152" i="51"/>
  <c r="AB152" i="51" s="1"/>
  <c r="AC152" i="51" s="1"/>
  <c r="AL148" i="51"/>
  <c r="AM148" i="51" s="1"/>
  <c r="AL149" i="51"/>
  <c r="AM149" i="51" s="1"/>
  <c r="AL150" i="51"/>
  <c r="AM150" i="51" s="1"/>
  <c r="AL151" i="51"/>
  <c r="AM151" i="51" s="1"/>
  <c r="AL152" i="51"/>
  <c r="AM152" i="51" s="1"/>
  <c r="AL111" i="51"/>
  <c r="AM111" i="51" s="1"/>
  <c r="AL112" i="51"/>
  <c r="AM112" i="51" s="1"/>
  <c r="AN112" i="51" s="1"/>
  <c r="AL113" i="51"/>
  <c r="AM113" i="51" s="1"/>
  <c r="AL114" i="51"/>
  <c r="AM114" i="51" s="1"/>
  <c r="AN114" i="51" s="1"/>
  <c r="AL115" i="51"/>
  <c r="AM115" i="51" s="1"/>
  <c r="AA111" i="51"/>
  <c r="AB111" i="51" s="1"/>
  <c r="AC111" i="51" s="1"/>
  <c r="AC112" i="51"/>
  <c r="AA113" i="51"/>
  <c r="AB113" i="51" s="1"/>
  <c r="AC113" i="51" s="1"/>
  <c r="AA114" i="51"/>
  <c r="AB114" i="51" s="1"/>
  <c r="AC114" i="51" s="1"/>
  <c r="AA115" i="51"/>
  <c r="AB115" i="51" s="1"/>
  <c r="AC115" i="51" s="1"/>
  <c r="P111" i="51"/>
  <c r="Q111" i="51" s="1"/>
  <c r="R112" i="51"/>
  <c r="P113" i="51"/>
  <c r="Q113" i="51" s="1"/>
  <c r="P114" i="51"/>
  <c r="Q114" i="51" s="1"/>
  <c r="R114" i="51" s="1"/>
  <c r="AL178" i="51"/>
  <c r="AM178" i="51" s="1"/>
  <c r="AA178" i="51"/>
  <c r="AB178" i="51" s="1"/>
  <c r="P178" i="51"/>
  <c r="Q178" i="51" s="1"/>
  <c r="AL177" i="51"/>
  <c r="AM177" i="51" s="1"/>
  <c r="AA177" i="51"/>
  <c r="AB177" i="51" s="1"/>
  <c r="P177" i="51"/>
  <c r="Q177" i="51" s="1"/>
  <c r="R177" i="51" s="1"/>
  <c r="AL176" i="51"/>
  <c r="AM176" i="51" s="1"/>
  <c r="AA176" i="51"/>
  <c r="AB176" i="51" s="1"/>
  <c r="P176" i="51"/>
  <c r="Q176" i="51" s="1"/>
  <c r="AL175" i="51"/>
  <c r="AM175" i="51" s="1"/>
  <c r="AA175" i="51"/>
  <c r="AB175" i="51" s="1"/>
  <c r="AC175" i="51" s="1"/>
  <c r="P175" i="51"/>
  <c r="Q175" i="51" s="1"/>
  <c r="AL174" i="51"/>
  <c r="AM174" i="51" s="1"/>
  <c r="AA174" i="51"/>
  <c r="AB174" i="51" s="1"/>
  <c r="P174" i="51"/>
  <c r="Q174" i="51" s="1"/>
  <c r="R174" i="51" s="1"/>
  <c r="AL173" i="51"/>
  <c r="AM173" i="51" s="1"/>
  <c r="AN173" i="51" s="1"/>
  <c r="AA173" i="51"/>
  <c r="AB173" i="51" s="1"/>
  <c r="P173" i="51"/>
  <c r="Q173" i="51" s="1"/>
  <c r="AL172" i="51"/>
  <c r="AM172" i="51" s="1"/>
  <c r="AA172" i="51"/>
  <c r="AB172" i="51" s="1"/>
  <c r="AC172" i="51" s="1"/>
  <c r="P172" i="51"/>
  <c r="Q172" i="51" s="1"/>
  <c r="AL171" i="51"/>
  <c r="AM171" i="51" s="1"/>
  <c r="AA171" i="51"/>
  <c r="AB171" i="51" s="1"/>
  <c r="AC171" i="51" s="1"/>
  <c r="P171" i="51"/>
  <c r="Q171" i="51" s="1"/>
  <c r="R171" i="51" s="1"/>
  <c r="AL170" i="51"/>
  <c r="AM170" i="51" s="1"/>
  <c r="AN170" i="51" s="1"/>
  <c r="AA170" i="51"/>
  <c r="AB170" i="51" s="1"/>
  <c r="P170" i="51"/>
  <c r="Q170" i="51" s="1"/>
  <c r="AL169" i="51"/>
  <c r="AM169" i="51" s="1"/>
  <c r="AN169" i="51" s="1"/>
  <c r="AA169" i="51"/>
  <c r="AB169" i="51" s="1"/>
  <c r="P169" i="51"/>
  <c r="Q169" i="51" s="1"/>
  <c r="R169" i="51" s="1"/>
  <c r="AL168" i="51"/>
  <c r="AM168" i="51" s="1"/>
  <c r="AA168" i="51"/>
  <c r="AB168" i="51" s="1"/>
  <c r="P168" i="51"/>
  <c r="Q168" i="51" s="1"/>
  <c r="AL167" i="51"/>
  <c r="AM167" i="51" s="1"/>
  <c r="AA167" i="51"/>
  <c r="AB167" i="51" s="1"/>
  <c r="AC167" i="51" s="1"/>
  <c r="P167" i="51"/>
  <c r="Q167" i="51" s="1"/>
  <c r="AL166" i="51"/>
  <c r="AM166" i="51" s="1"/>
  <c r="AA166" i="51"/>
  <c r="AB166" i="51" s="1"/>
  <c r="P166" i="51"/>
  <c r="Q166" i="51" s="1"/>
  <c r="R166" i="51" s="1"/>
  <c r="AL165" i="51"/>
  <c r="AM165" i="51" s="1"/>
  <c r="AA165" i="51"/>
  <c r="AB165" i="51" s="1"/>
  <c r="P165" i="51"/>
  <c r="Q165" i="51" s="1"/>
  <c r="AL164" i="51"/>
  <c r="AM164" i="51" s="1"/>
  <c r="AA164" i="51"/>
  <c r="AB164" i="51" s="1"/>
  <c r="AC164" i="51" s="1"/>
  <c r="P164" i="51"/>
  <c r="Q164" i="51" s="1"/>
  <c r="AA163" i="51"/>
  <c r="AB163" i="51" s="1"/>
  <c r="P163" i="51"/>
  <c r="Q163" i="51" s="1"/>
  <c r="AL162" i="51"/>
  <c r="AM162" i="51" s="1"/>
  <c r="AA162" i="51"/>
  <c r="AB162" i="51" s="1"/>
  <c r="AL161" i="51"/>
  <c r="AM161" i="51" s="1"/>
  <c r="AA161" i="51"/>
  <c r="AB161" i="51" s="1"/>
  <c r="P161" i="51"/>
  <c r="Q161" i="51" s="1"/>
  <c r="R161" i="51" s="1"/>
  <c r="AL160" i="51"/>
  <c r="AM160" i="51" s="1"/>
  <c r="AA160" i="51"/>
  <c r="AB160" i="51" s="1"/>
  <c r="P160" i="51"/>
  <c r="Q160" i="51" s="1"/>
  <c r="AL159" i="51"/>
  <c r="AM159" i="51" s="1"/>
  <c r="AA159" i="51"/>
  <c r="AB159" i="51" s="1"/>
  <c r="AC159" i="51" s="1"/>
  <c r="P159" i="51"/>
  <c r="Q159" i="51" s="1"/>
  <c r="AL158" i="51"/>
  <c r="AM158" i="51" s="1"/>
  <c r="AA158" i="51"/>
  <c r="AB158" i="51" s="1"/>
  <c r="P158" i="51"/>
  <c r="Q158" i="51" s="1"/>
  <c r="R158" i="51" s="1"/>
  <c r="AL157" i="51"/>
  <c r="AM157" i="51" s="1"/>
  <c r="AN157" i="51" s="1"/>
  <c r="AA157" i="51"/>
  <c r="AB157" i="51" s="1"/>
  <c r="P157" i="51"/>
  <c r="Q157" i="51" s="1"/>
  <c r="AL156" i="51"/>
  <c r="AM156" i="51" s="1"/>
  <c r="AA156" i="51"/>
  <c r="AB156" i="51" s="1"/>
  <c r="AC156" i="51" s="1"/>
  <c r="P156" i="51"/>
  <c r="Q156" i="51" s="1"/>
  <c r="AL155" i="51"/>
  <c r="AM155" i="51" s="1"/>
  <c r="AA155" i="51"/>
  <c r="AB155" i="51" s="1"/>
  <c r="AC155" i="51" s="1"/>
  <c r="P155" i="51"/>
  <c r="Q155" i="51" s="1"/>
  <c r="AL154" i="51"/>
  <c r="AM154" i="51" s="1"/>
  <c r="AA154" i="51"/>
  <c r="AB154" i="51" s="1"/>
  <c r="P154" i="51"/>
  <c r="Q154" i="51" s="1"/>
  <c r="AL153" i="51"/>
  <c r="AM153" i="51" s="1"/>
  <c r="AN153" i="51" s="1"/>
  <c r="AA153" i="51"/>
  <c r="AB153" i="51" s="1"/>
  <c r="P153" i="51"/>
  <c r="Q153" i="51" s="1"/>
  <c r="AL147" i="51"/>
  <c r="AM147" i="51" s="1"/>
  <c r="AA147" i="51"/>
  <c r="AB147" i="51" s="1"/>
  <c r="P147" i="51"/>
  <c r="AL141" i="51"/>
  <c r="AM141" i="51" s="1"/>
  <c r="AL140" i="51"/>
  <c r="AM140" i="51" s="1"/>
  <c r="AL139" i="51"/>
  <c r="AM139" i="51" s="1"/>
  <c r="AL138" i="51"/>
  <c r="AM138" i="51" s="1"/>
  <c r="AL137" i="51"/>
  <c r="AM137" i="51" s="1"/>
  <c r="AL136" i="51"/>
  <c r="AM136" i="51" s="1"/>
  <c r="AL135" i="51"/>
  <c r="AM135" i="51" s="1"/>
  <c r="AL134" i="51"/>
  <c r="AM134" i="51" s="1"/>
  <c r="AL133" i="51"/>
  <c r="AM133" i="51" s="1"/>
  <c r="AL132" i="51"/>
  <c r="AM132" i="51" s="1"/>
  <c r="AL131" i="51"/>
  <c r="AM131" i="51" s="1"/>
  <c r="AL130" i="51"/>
  <c r="AM130" i="51" s="1"/>
  <c r="AL129" i="51"/>
  <c r="AM129" i="51" s="1"/>
  <c r="AL128" i="51"/>
  <c r="AM128" i="51" s="1"/>
  <c r="AL127" i="51"/>
  <c r="AM127" i="51" s="1"/>
  <c r="AL126" i="51"/>
  <c r="AM126" i="51" s="1"/>
  <c r="AL125" i="51"/>
  <c r="AM125" i="51" s="1"/>
  <c r="AL124" i="51"/>
  <c r="AM124" i="51" s="1"/>
  <c r="AL123" i="51"/>
  <c r="AM123" i="51" s="1"/>
  <c r="AL122" i="51"/>
  <c r="AM122" i="51" s="1"/>
  <c r="AL121" i="51"/>
  <c r="AM121" i="51" s="1"/>
  <c r="AL120" i="51"/>
  <c r="AM120" i="51" s="1"/>
  <c r="AL119" i="51"/>
  <c r="AM119" i="51" s="1"/>
  <c r="AL118" i="51"/>
  <c r="AM118" i="51" s="1"/>
  <c r="AL117" i="51"/>
  <c r="AM117" i="51" s="1"/>
  <c r="AL116" i="51"/>
  <c r="AM116" i="51" s="1"/>
  <c r="AL110" i="51"/>
  <c r="AM110" i="51" s="1"/>
  <c r="AA141" i="51"/>
  <c r="AB141" i="51" s="1"/>
  <c r="AA140" i="51"/>
  <c r="AB140" i="51" s="1"/>
  <c r="AA139" i="51"/>
  <c r="AB139" i="51" s="1"/>
  <c r="AA138" i="51"/>
  <c r="AB138" i="51" s="1"/>
  <c r="AC138" i="51" s="1"/>
  <c r="AA137" i="51"/>
  <c r="AB137" i="51" s="1"/>
  <c r="AA136" i="51"/>
  <c r="AB136" i="51" s="1"/>
  <c r="AA135" i="51"/>
  <c r="AB135" i="51" s="1"/>
  <c r="AA134" i="51"/>
  <c r="AB134" i="51" s="1"/>
  <c r="AA133" i="51"/>
  <c r="AB133" i="51" s="1"/>
  <c r="AA132" i="51"/>
  <c r="AB132" i="51" s="1"/>
  <c r="AA131" i="51"/>
  <c r="AB131" i="51" s="1"/>
  <c r="AB130" i="51"/>
  <c r="AC130" i="51" s="1"/>
  <c r="AA130" i="51"/>
  <c r="AA129" i="51"/>
  <c r="AB129" i="51" s="1"/>
  <c r="AA128" i="51"/>
  <c r="AB128" i="51" s="1"/>
  <c r="AA127" i="51"/>
  <c r="AB127" i="51" s="1"/>
  <c r="AA126" i="51"/>
  <c r="AB126" i="51" s="1"/>
  <c r="AC126" i="51" s="1"/>
  <c r="AA125" i="51"/>
  <c r="AB125" i="51" s="1"/>
  <c r="AA124" i="51"/>
  <c r="AB124" i="51" s="1"/>
  <c r="AA123" i="51"/>
  <c r="AB123" i="51" s="1"/>
  <c r="AA122" i="51"/>
  <c r="AB122" i="51" s="1"/>
  <c r="AC122" i="51" s="1"/>
  <c r="AA121" i="51"/>
  <c r="AB121" i="51" s="1"/>
  <c r="AA120" i="51"/>
  <c r="AB120" i="51" s="1"/>
  <c r="AA119" i="51"/>
  <c r="AB119" i="51" s="1"/>
  <c r="AA118" i="51"/>
  <c r="AB118" i="51" s="1"/>
  <c r="AA117" i="51"/>
  <c r="AB117" i="51" s="1"/>
  <c r="AA116" i="51"/>
  <c r="AB116" i="51" s="1"/>
  <c r="AA110" i="51"/>
  <c r="P140" i="51"/>
  <c r="Q140" i="51" s="1"/>
  <c r="P139" i="51"/>
  <c r="Q139" i="51" s="1"/>
  <c r="P138" i="51"/>
  <c r="Q138" i="51" s="1"/>
  <c r="R138" i="51" s="1"/>
  <c r="P137" i="51"/>
  <c r="Q137" i="51" s="1"/>
  <c r="P136" i="51"/>
  <c r="Q136" i="51" s="1"/>
  <c r="P135" i="51"/>
  <c r="Q135" i="51" s="1"/>
  <c r="P134" i="51"/>
  <c r="Q134" i="51" s="1"/>
  <c r="R134" i="51" s="1"/>
  <c r="P133" i="51"/>
  <c r="Q133" i="51" s="1"/>
  <c r="P132" i="51"/>
  <c r="Q132" i="51" s="1"/>
  <c r="P131" i="51"/>
  <c r="Q131" i="51" s="1"/>
  <c r="P130" i="51"/>
  <c r="Q130" i="51" s="1"/>
  <c r="P129" i="51"/>
  <c r="Q129" i="51" s="1"/>
  <c r="P128" i="51"/>
  <c r="Q128" i="51" s="1"/>
  <c r="P127" i="51"/>
  <c r="Q127" i="51" s="1"/>
  <c r="P126" i="51"/>
  <c r="Q126" i="51" s="1"/>
  <c r="P125" i="51"/>
  <c r="Q125" i="51" s="1"/>
  <c r="P124" i="51"/>
  <c r="Q124" i="51" s="1"/>
  <c r="P123" i="51"/>
  <c r="Q123" i="51" s="1"/>
  <c r="P122" i="51"/>
  <c r="Q122" i="51" s="1"/>
  <c r="R122" i="51" s="1"/>
  <c r="P121" i="51"/>
  <c r="Q121" i="51" s="1"/>
  <c r="P120" i="51"/>
  <c r="Q120" i="51" s="1"/>
  <c r="P119" i="51"/>
  <c r="Q119" i="51" s="1"/>
  <c r="P118" i="51"/>
  <c r="Q118" i="51" s="1"/>
  <c r="R118" i="51" s="1"/>
  <c r="P117" i="51"/>
  <c r="Q117" i="51" s="1"/>
  <c r="P116" i="51"/>
  <c r="Q116" i="51" s="1"/>
  <c r="P110" i="51"/>
  <c r="J32" i="91" l="1"/>
  <c r="J29" i="91"/>
  <c r="J33" i="91"/>
  <c r="J30" i="91"/>
  <c r="J34" i="91"/>
  <c r="J28" i="91"/>
  <c r="J31" i="91"/>
  <c r="I32" i="91"/>
  <c r="I29" i="91"/>
  <c r="I33" i="91"/>
  <c r="I30" i="91"/>
  <c r="I34" i="91"/>
  <c r="I31" i="91"/>
  <c r="I28" i="91"/>
  <c r="AN152" i="51"/>
  <c r="AN151" i="51"/>
  <c r="AN150" i="51"/>
  <c r="AN149" i="51"/>
  <c r="AN148" i="51"/>
  <c r="AN111" i="51"/>
  <c r="AN115" i="51"/>
  <c r="AN113" i="51"/>
  <c r="R115" i="51"/>
  <c r="R113" i="51"/>
  <c r="R111" i="51"/>
  <c r="AC124" i="51"/>
  <c r="R154" i="51"/>
  <c r="R156" i="51"/>
  <c r="AC161" i="51"/>
  <c r="AC118" i="51"/>
  <c r="AC147" i="51"/>
  <c r="AC154" i="51"/>
  <c r="AN159" i="51"/>
  <c r="AN161" i="51"/>
  <c r="AN163" i="51"/>
  <c r="AN167" i="51"/>
  <c r="AN171" i="51"/>
  <c r="AC132" i="51"/>
  <c r="AN147" i="51"/>
  <c r="R160" i="51"/>
  <c r="R164" i="51"/>
  <c r="R168" i="51"/>
  <c r="R170" i="51"/>
  <c r="R172" i="51"/>
  <c r="AC177" i="51"/>
  <c r="AC120" i="51"/>
  <c r="AC140" i="51"/>
  <c r="AN156" i="51"/>
  <c r="AC158" i="51"/>
  <c r="AC168" i="51"/>
  <c r="AC170" i="51"/>
  <c r="AN175" i="51"/>
  <c r="AN177" i="51"/>
  <c r="R155" i="51"/>
  <c r="AC162" i="51"/>
  <c r="AC166" i="51"/>
  <c r="R176" i="51"/>
  <c r="AN168" i="51"/>
  <c r="AC128" i="51"/>
  <c r="AC153" i="51"/>
  <c r="AN160" i="51"/>
  <c r="AN164" i="51"/>
  <c r="AN166" i="51"/>
  <c r="AN172" i="51"/>
  <c r="AC174" i="51"/>
  <c r="AC134" i="51"/>
  <c r="AC136" i="51"/>
  <c r="AC157" i="51"/>
  <c r="R159" i="51"/>
  <c r="R165" i="51"/>
  <c r="R167" i="51"/>
  <c r="AC178" i="51"/>
  <c r="AC116" i="51"/>
  <c r="AN155" i="51"/>
  <c r="R163" i="51"/>
  <c r="AC165" i="51"/>
  <c r="AC169" i="51"/>
  <c r="AN176" i="51"/>
  <c r="AC163" i="51"/>
  <c r="AC173" i="51"/>
  <c r="R175" i="51"/>
  <c r="P142" i="51"/>
  <c r="S117" i="51" s="1"/>
  <c r="P179" i="51"/>
  <c r="S162" i="51" s="1"/>
  <c r="AA179" i="51"/>
  <c r="AD166" i="51" s="1"/>
  <c r="Q147" i="51"/>
  <c r="R157" i="51"/>
  <c r="AN158" i="51"/>
  <c r="AC160" i="51"/>
  <c r="R162" i="51"/>
  <c r="R173" i="51"/>
  <c r="AN174" i="51"/>
  <c r="AC176" i="51"/>
  <c r="R178" i="51"/>
  <c r="AL179" i="51"/>
  <c r="R153" i="51"/>
  <c r="AN154" i="51"/>
  <c r="AN165" i="51"/>
  <c r="AA142" i="51"/>
  <c r="AD122" i="51" s="1"/>
  <c r="AN162" i="51"/>
  <c r="AN178" i="51"/>
  <c r="AN124" i="51"/>
  <c r="AN140" i="51"/>
  <c r="AN125" i="51"/>
  <c r="AN133" i="51"/>
  <c r="AN118" i="51"/>
  <c r="AN126" i="51"/>
  <c r="AN134" i="51"/>
  <c r="AN119" i="51"/>
  <c r="AN127" i="51"/>
  <c r="AN135" i="51"/>
  <c r="AN137" i="51"/>
  <c r="AN128" i="51"/>
  <c r="AN122" i="51"/>
  <c r="AN138" i="51"/>
  <c r="AN116" i="51"/>
  <c r="AN120" i="51"/>
  <c r="AN136" i="51"/>
  <c r="AN121" i="51"/>
  <c r="AN129" i="51"/>
  <c r="AN130" i="51"/>
  <c r="AN110" i="51"/>
  <c r="AN123" i="51"/>
  <c r="AN131" i="51"/>
  <c r="AN139" i="51"/>
  <c r="AN132" i="51"/>
  <c r="AN117" i="51"/>
  <c r="AN141" i="51"/>
  <c r="AL142" i="51"/>
  <c r="AO159" i="51" s="1"/>
  <c r="AC119" i="51"/>
  <c r="AC123" i="51"/>
  <c r="AC127" i="51"/>
  <c r="AC135" i="51"/>
  <c r="AC139" i="51"/>
  <c r="AC131" i="51"/>
  <c r="AC117" i="51"/>
  <c r="AC121" i="51"/>
  <c r="AC125" i="51"/>
  <c r="AC129" i="51"/>
  <c r="AC133" i="51"/>
  <c r="AC137" i="51"/>
  <c r="AC141" i="51"/>
  <c r="AB110" i="51"/>
  <c r="R136" i="51"/>
  <c r="R128" i="51"/>
  <c r="R132" i="51"/>
  <c r="R130" i="51"/>
  <c r="R126" i="51"/>
  <c r="R140" i="51"/>
  <c r="R124" i="51"/>
  <c r="R120" i="51"/>
  <c r="R125" i="51"/>
  <c r="R141" i="51"/>
  <c r="R121" i="51"/>
  <c r="R129" i="51"/>
  <c r="R137" i="51"/>
  <c r="R119" i="51"/>
  <c r="R127" i="51"/>
  <c r="R131" i="51"/>
  <c r="R135" i="51"/>
  <c r="R139" i="51"/>
  <c r="R117" i="51"/>
  <c r="R133" i="51"/>
  <c r="R123" i="51"/>
  <c r="R116" i="51"/>
  <c r="Q110" i="51"/>
  <c r="S175" i="51" l="1"/>
  <c r="S154" i="51"/>
  <c r="S174" i="51"/>
  <c r="S151" i="51"/>
  <c r="S158" i="51"/>
  <c r="S148" i="51"/>
  <c r="S161" i="51"/>
  <c r="S149" i="51"/>
  <c r="AO151" i="51"/>
  <c r="AO148" i="51"/>
  <c r="AO152" i="51"/>
  <c r="AO149" i="51"/>
  <c r="AO150" i="51"/>
  <c r="AD115" i="51"/>
  <c r="S110" i="51"/>
  <c r="S123" i="51"/>
  <c r="S177" i="51"/>
  <c r="S169" i="51"/>
  <c r="S150" i="51"/>
  <c r="S152" i="51"/>
  <c r="AD148" i="51"/>
  <c r="AD150" i="51"/>
  <c r="AD177" i="51"/>
  <c r="AD152" i="51"/>
  <c r="AD164" i="51"/>
  <c r="AD149" i="51"/>
  <c r="AD167" i="51"/>
  <c r="AD151" i="51"/>
  <c r="S135" i="51"/>
  <c r="S166" i="51"/>
  <c r="AD173" i="51"/>
  <c r="S159" i="51"/>
  <c r="S176" i="51"/>
  <c r="S164" i="51"/>
  <c r="S122" i="51"/>
  <c r="AD168" i="51"/>
  <c r="S160" i="51"/>
  <c r="AD112" i="51"/>
  <c r="S133" i="51"/>
  <c r="AO173" i="51"/>
  <c r="AD178" i="51"/>
  <c r="AD162" i="51"/>
  <c r="S172" i="51"/>
  <c r="AD124" i="51"/>
  <c r="AO112" i="51"/>
  <c r="AD169" i="51"/>
  <c r="S171" i="51"/>
  <c r="AD134" i="51"/>
  <c r="AO119" i="51"/>
  <c r="AD138" i="51"/>
  <c r="S155" i="51"/>
  <c r="AD140" i="51"/>
  <c r="AD118" i="51"/>
  <c r="AD117" i="51"/>
  <c r="S178" i="51"/>
  <c r="S168" i="51"/>
  <c r="AO157" i="51"/>
  <c r="AO134" i="51"/>
  <c r="AO172" i="51"/>
  <c r="AO139" i="51"/>
  <c r="AO167" i="51"/>
  <c r="AO114" i="51"/>
  <c r="AO154" i="51"/>
  <c r="AO123" i="51"/>
  <c r="AO113" i="51"/>
  <c r="AO178" i="51"/>
  <c r="AO176" i="51"/>
  <c r="AO166" i="51"/>
  <c r="AO162" i="51"/>
  <c r="AO147" i="51"/>
  <c r="AO115" i="51"/>
  <c r="AO164" i="51"/>
  <c r="AO130" i="51"/>
  <c r="AO111" i="51"/>
  <c r="AO160" i="51"/>
  <c r="AO175" i="51"/>
  <c r="AO171" i="51"/>
  <c r="AO135" i="51"/>
  <c r="AO126" i="51"/>
  <c r="AD126" i="51"/>
  <c r="AD114" i="51"/>
  <c r="AD137" i="51"/>
  <c r="AD121" i="51"/>
  <c r="AD141" i="51"/>
  <c r="AD136" i="51"/>
  <c r="AD133" i="51"/>
  <c r="AD111" i="51"/>
  <c r="AD128" i="51"/>
  <c r="AD113" i="51"/>
  <c r="S112" i="51"/>
  <c r="S138" i="51"/>
  <c r="S140" i="51"/>
  <c r="S128" i="51"/>
  <c r="S139" i="51"/>
  <c r="S116" i="51"/>
  <c r="S129" i="51"/>
  <c r="S114" i="51"/>
  <c r="S111" i="51"/>
  <c r="S134" i="51"/>
  <c r="S126" i="51"/>
  <c r="S136" i="51"/>
  <c r="S125" i="51"/>
  <c r="S127" i="51"/>
  <c r="S118" i="51"/>
  <c r="S113" i="51"/>
  <c r="S120" i="51"/>
  <c r="S130" i="51"/>
  <c r="S119" i="51"/>
  <c r="S115" i="51"/>
  <c r="S124" i="51"/>
  <c r="S132" i="51"/>
  <c r="S131" i="51"/>
  <c r="S147" i="51"/>
  <c r="R147" i="51"/>
  <c r="AD165" i="51"/>
  <c r="S165" i="51"/>
  <c r="AO131" i="51"/>
  <c r="S153" i="51"/>
  <c r="AD158" i="51"/>
  <c r="AO161" i="51"/>
  <c r="AO127" i="51"/>
  <c r="S156" i="51"/>
  <c r="AD119" i="51"/>
  <c r="AD139" i="51"/>
  <c r="AD123" i="51"/>
  <c r="AD131" i="51"/>
  <c r="AD127" i="51"/>
  <c r="AD129" i="51"/>
  <c r="AD135" i="51"/>
  <c r="AD130" i="51"/>
  <c r="S163" i="51"/>
  <c r="AD176" i="51"/>
  <c r="AD174" i="51"/>
  <c r="AO110" i="51"/>
  <c r="AO122" i="51"/>
  <c r="AO156" i="51"/>
  <c r="AD125" i="51"/>
  <c r="AD170" i="51"/>
  <c r="AO141" i="51"/>
  <c r="AO133" i="51"/>
  <c r="AO125" i="51"/>
  <c r="AO117" i="51"/>
  <c r="AO132" i="51"/>
  <c r="AO137" i="51"/>
  <c r="AO153" i="51"/>
  <c r="AO136" i="51"/>
  <c r="AO116" i="51"/>
  <c r="AO121" i="51"/>
  <c r="AO128" i="51"/>
  <c r="AO140" i="51"/>
  <c r="AO129" i="51"/>
  <c r="AO169" i="51"/>
  <c r="AO120" i="51"/>
  <c r="AO124" i="51"/>
  <c r="S121" i="51"/>
  <c r="AD175" i="51"/>
  <c r="AO170" i="51"/>
  <c r="AD172" i="51"/>
  <c r="S137" i="51"/>
  <c r="AO174" i="51"/>
  <c r="S173" i="51"/>
  <c r="AO155" i="51"/>
  <c r="AD157" i="51"/>
  <c r="S157" i="51"/>
  <c r="AO138" i="51"/>
  <c r="S170" i="51"/>
  <c r="AO165" i="51"/>
  <c r="AD154" i="51"/>
  <c r="AO118" i="51"/>
  <c r="AD110" i="51"/>
  <c r="S141" i="51"/>
  <c r="AD159" i="51"/>
  <c r="AD156" i="51"/>
  <c r="AD171" i="51"/>
  <c r="AO158" i="51"/>
  <c r="AD116" i="51"/>
  <c r="S167" i="51"/>
  <c r="AD153" i="51"/>
  <c r="AO168" i="51"/>
  <c r="AO177" i="51"/>
  <c r="AD120" i="51"/>
  <c r="AD132" i="51"/>
  <c r="AO163" i="51"/>
  <c r="AD147" i="51"/>
  <c r="AD161" i="51"/>
  <c r="AD155" i="51"/>
  <c r="AD163" i="51"/>
  <c r="AD160" i="51"/>
  <c r="AC110" i="51"/>
  <c r="R110" i="51"/>
  <c r="AS94" i="52" l="1"/>
  <c r="AT94" i="52" s="1"/>
  <c r="AS93" i="52"/>
  <c r="AT93" i="52" s="1"/>
  <c r="AS92" i="52"/>
  <c r="AT92" i="52" s="1"/>
  <c r="AS91" i="52"/>
  <c r="AT91" i="52" s="1"/>
  <c r="AS90" i="52"/>
  <c r="AT90" i="52" s="1"/>
  <c r="AS89" i="52"/>
  <c r="AT89" i="52" s="1"/>
  <c r="AS88" i="52"/>
  <c r="AT88" i="52" s="1"/>
  <c r="AS87" i="52"/>
  <c r="AT87" i="52" s="1"/>
  <c r="AS86" i="52"/>
  <c r="AT86" i="52" s="1"/>
  <c r="AS85" i="52"/>
  <c r="AT85" i="52" s="1"/>
  <c r="AS84" i="52"/>
  <c r="AT84" i="52" s="1"/>
  <c r="AS83" i="52"/>
  <c r="AT83" i="52" s="1"/>
  <c r="AS82" i="52"/>
  <c r="AT82" i="52" s="1"/>
  <c r="AS81" i="52"/>
  <c r="AT81" i="52" s="1"/>
  <c r="AS80" i="52"/>
  <c r="AT80" i="52" s="1"/>
  <c r="AS79" i="52"/>
  <c r="AT79" i="52" s="1"/>
  <c r="AS78" i="52"/>
  <c r="AT78" i="52" s="1"/>
  <c r="AS77" i="52"/>
  <c r="AT77" i="52" s="1"/>
  <c r="AS76" i="52"/>
  <c r="AT76" i="52" s="1"/>
  <c r="AS75" i="52"/>
  <c r="AT75" i="52" s="1"/>
  <c r="AS74" i="52"/>
  <c r="AT74" i="52" s="1"/>
  <c r="AS73" i="52"/>
  <c r="AT73" i="52" s="1"/>
  <c r="AS72" i="52"/>
  <c r="AT72" i="52" s="1"/>
  <c r="AS71" i="52"/>
  <c r="AT71" i="52" s="1"/>
  <c r="AS70" i="52"/>
  <c r="AT70" i="52" s="1"/>
  <c r="AS69" i="52"/>
  <c r="AT69" i="52" s="1"/>
  <c r="AS68" i="52"/>
  <c r="AT68" i="52" s="1"/>
  <c r="AU69" i="52" l="1"/>
  <c r="AU93" i="52"/>
  <c r="AU86" i="52"/>
  <c r="AU71" i="52"/>
  <c r="AU79" i="52"/>
  <c r="AU87" i="52"/>
  <c r="AU72" i="52"/>
  <c r="AU80" i="52"/>
  <c r="AU88" i="52"/>
  <c r="AU77" i="52"/>
  <c r="AU70" i="52"/>
  <c r="AU73" i="52"/>
  <c r="AU89" i="52"/>
  <c r="AU82" i="52"/>
  <c r="AU90" i="52"/>
  <c r="AU75" i="52"/>
  <c r="AU83" i="52"/>
  <c r="AU91" i="52"/>
  <c r="AU85" i="52"/>
  <c r="AU78" i="52"/>
  <c r="AU94" i="52"/>
  <c r="AU81" i="52"/>
  <c r="AU74" i="52"/>
  <c r="AU68" i="52"/>
  <c r="AU76" i="52"/>
  <c r="AU84" i="52"/>
  <c r="AU92" i="52"/>
  <c r="AS95" i="52"/>
  <c r="AV92" i="52" l="1"/>
  <c r="AV84" i="52"/>
  <c r="AV76" i="52"/>
  <c r="AV68" i="52"/>
  <c r="AV94" i="52"/>
  <c r="AV86" i="52"/>
  <c r="AV70" i="52"/>
  <c r="AV78" i="52"/>
  <c r="AV87" i="52"/>
  <c r="AV89" i="52"/>
  <c r="AV90" i="52"/>
  <c r="AV91" i="52"/>
  <c r="AV81" i="52"/>
  <c r="AV69" i="52"/>
  <c r="AV83" i="52"/>
  <c r="AV73" i="52"/>
  <c r="AV75" i="52"/>
  <c r="AV88" i="52"/>
  <c r="AV93" i="52"/>
  <c r="AV82" i="52"/>
  <c r="AV85" i="52"/>
  <c r="AV74" i="52"/>
  <c r="AV71" i="52"/>
  <c r="AV72" i="52"/>
  <c r="AV77" i="52"/>
  <c r="AV79" i="52"/>
  <c r="AV80" i="52"/>
  <c r="AE38" i="79"/>
  <c r="AF38" i="79" s="1"/>
  <c r="AG38" i="79" s="1"/>
  <c r="AE34" i="79"/>
  <c r="AF34" i="79" s="1"/>
  <c r="AE63" i="79"/>
  <c r="AF63" i="79" s="1"/>
  <c r="AE62" i="79"/>
  <c r="AF62" i="79" s="1"/>
  <c r="AE61" i="79"/>
  <c r="AF61" i="79" s="1"/>
  <c r="AE60" i="79"/>
  <c r="AF60" i="79" s="1"/>
  <c r="AE59" i="79"/>
  <c r="AF59" i="79" s="1"/>
  <c r="AE58" i="79"/>
  <c r="AF58" i="79" s="1"/>
  <c r="AE57" i="79"/>
  <c r="AF57" i="79" s="1"/>
  <c r="AE56" i="79"/>
  <c r="AF56" i="79" s="1"/>
  <c r="AE55" i="79"/>
  <c r="AF55" i="79" s="1"/>
  <c r="AE54" i="79"/>
  <c r="AF54" i="79" s="1"/>
  <c r="AE53" i="79"/>
  <c r="AF53" i="79" s="1"/>
  <c r="AE52" i="79"/>
  <c r="AF52" i="79" s="1"/>
  <c r="AE51" i="79"/>
  <c r="AF51" i="79" s="1"/>
  <c r="AE50" i="79"/>
  <c r="AF50" i="79" s="1"/>
  <c r="AE49" i="79"/>
  <c r="AF49" i="79" s="1"/>
  <c r="AE48" i="79"/>
  <c r="AF48" i="79" s="1"/>
  <c r="AE47" i="79"/>
  <c r="AF47" i="79" s="1"/>
  <c r="AE46" i="79"/>
  <c r="AF46" i="79" s="1"/>
  <c r="AE45" i="79"/>
  <c r="AF45" i="79" s="1"/>
  <c r="AE44" i="79"/>
  <c r="AF44" i="79" s="1"/>
  <c r="AE43" i="79"/>
  <c r="AF43" i="79" s="1"/>
  <c r="AE42" i="79"/>
  <c r="AF42" i="79" s="1"/>
  <c r="AE41" i="79"/>
  <c r="AF41" i="79" s="1"/>
  <c r="AE40" i="79"/>
  <c r="AF40" i="79" s="1"/>
  <c r="AE39" i="79"/>
  <c r="AF39" i="79" s="1"/>
  <c r="AE37" i="79"/>
  <c r="AF37" i="79" s="1"/>
  <c r="AE36" i="79"/>
  <c r="AF36" i="79" s="1"/>
  <c r="AG36" i="79" s="1"/>
  <c r="AE35" i="79"/>
  <c r="AF35" i="79" s="1"/>
  <c r="AE33" i="79"/>
  <c r="AF33" i="79" s="1"/>
  <c r="AE32" i="79"/>
  <c r="AJ61" i="82"/>
  <c r="AJ60" i="82"/>
  <c r="AJ59" i="82"/>
  <c r="AJ58" i="82"/>
  <c r="AJ57" i="82"/>
  <c r="AJ56" i="82"/>
  <c r="AJ55" i="82"/>
  <c r="AJ54" i="82"/>
  <c r="AJ53" i="82"/>
  <c r="AJ52" i="82"/>
  <c r="AJ51" i="82"/>
  <c r="AJ50" i="82"/>
  <c r="AJ49" i="82"/>
  <c r="AJ48" i="82"/>
  <c r="AJ47" i="82"/>
  <c r="AJ46" i="82"/>
  <c r="AJ45" i="82"/>
  <c r="AJ44" i="82"/>
  <c r="AJ43" i="82"/>
  <c r="AJ42" i="82"/>
  <c r="AJ41" i="82"/>
  <c r="AJ40" i="82"/>
  <c r="AJ39" i="82"/>
  <c r="AJ38" i="82"/>
  <c r="AJ37" i="82"/>
  <c r="AJ35" i="82"/>
  <c r="AJ34" i="82"/>
  <c r="AJ33" i="82"/>
  <c r="AJ31" i="82"/>
  <c r="AJ30" i="82"/>
  <c r="AF32" i="79" l="1"/>
  <c r="AG32" i="79" s="1"/>
  <c r="AE64" i="79"/>
  <c r="AG34" i="79"/>
  <c r="AG54" i="79"/>
  <c r="AG62" i="79"/>
  <c r="AG35" i="79"/>
  <c r="AG39" i="79"/>
  <c r="AG47" i="79"/>
  <c r="AG55" i="79"/>
  <c r="AG63" i="79"/>
  <c r="AG40" i="79"/>
  <c r="AG48" i="79"/>
  <c r="AG56" i="79"/>
  <c r="AG41" i="79"/>
  <c r="AG49" i="79"/>
  <c r="AG57" i="79"/>
  <c r="AG46" i="79"/>
  <c r="AG58" i="79"/>
  <c r="AG43" i="79"/>
  <c r="AG44" i="79"/>
  <c r="AG60" i="79"/>
  <c r="AG42" i="79"/>
  <c r="AG50" i="79"/>
  <c r="AG51" i="79"/>
  <c r="AG59" i="79"/>
  <c r="AG33" i="79"/>
  <c r="AG37" i="79"/>
  <c r="AG52" i="79"/>
  <c r="AG45" i="79"/>
  <c r="AG53" i="79"/>
  <c r="AG61" i="79"/>
  <c r="AK61" i="82"/>
  <c r="AK60" i="82"/>
  <c r="AK59" i="82"/>
  <c r="AI62" i="82"/>
  <c r="AL32" i="82" s="1"/>
  <c r="AK61" i="81"/>
  <c r="AK60" i="81"/>
  <c r="AK59" i="81"/>
  <c r="AK58" i="81"/>
  <c r="AK57" i="81"/>
  <c r="AK56" i="81"/>
  <c r="AK55" i="81"/>
  <c r="AK54" i="81"/>
  <c r="AK53" i="81"/>
  <c r="AK52" i="81"/>
  <c r="AK51" i="81"/>
  <c r="AK50" i="81"/>
  <c r="AK49" i="81"/>
  <c r="AK48" i="81"/>
  <c r="AK47" i="81"/>
  <c r="AK46" i="81"/>
  <c r="AK45" i="81"/>
  <c r="AK44" i="81"/>
  <c r="AK43" i="81"/>
  <c r="AK42" i="81"/>
  <c r="AK41" i="81"/>
  <c r="AK40" i="81"/>
  <c r="AK39" i="81"/>
  <c r="AK38" i="81"/>
  <c r="AK37" i="81"/>
  <c r="AK35" i="81"/>
  <c r="AK34" i="81"/>
  <c r="AK33" i="81"/>
  <c r="AK31" i="81"/>
  <c r="AK30" i="81"/>
  <c r="AH32" i="79" l="1"/>
  <c r="AH33" i="79"/>
  <c r="AH57" i="79"/>
  <c r="AH49" i="79"/>
  <c r="AH41" i="79"/>
  <c r="AH50" i="79"/>
  <c r="AH56" i="79"/>
  <c r="AH48" i="79"/>
  <c r="AH40" i="79"/>
  <c r="AH58" i="79"/>
  <c r="AH63" i="79"/>
  <c r="AH55" i="79"/>
  <c r="AH47" i="79"/>
  <c r="AH39" i="79"/>
  <c r="AH62" i="79"/>
  <c r="AH54" i="79"/>
  <c r="AH46" i="79"/>
  <c r="AH38" i="79"/>
  <c r="AH61" i="79"/>
  <c r="AH53" i="79"/>
  <c r="AH45" i="79"/>
  <c r="AH37" i="79"/>
  <c r="AH60" i="79"/>
  <c r="AH52" i="79"/>
  <c r="AH44" i="79"/>
  <c r="AH36" i="79"/>
  <c r="AH59" i="79"/>
  <c r="AH51" i="79"/>
  <c r="AH43" i="79"/>
  <c r="AH35" i="79"/>
  <c r="AH42" i="79"/>
  <c r="AH34" i="79"/>
  <c r="AL61" i="82"/>
  <c r="AL53" i="82"/>
  <c r="AL45" i="82"/>
  <c r="AL37" i="82"/>
  <c r="AL60" i="82"/>
  <c r="AL52" i="82"/>
  <c r="AL44" i="82"/>
  <c r="AL36" i="82"/>
  <c r="AL59" i="82"/>
  <c r="AL51" i="82"/>
  <c r="AL43" i="82"/>
  <c r="AL35" i="82"/>
  <c r="AL58" i="82"/>
  <c r="AL50" i="82"/>
  <c r="AL42" i="82"/>
  <c r="AL34" i="82"/>
  <c r="AL57" i="82"/>
  <c r="AL49" i="82"/>
  <c r="AL41" i="82"/>
  <c r="AL33" i="82"/>
  <c r="AL56" i="82"/>
  <c r="AL48" i="82"/>
  <c r="AL40" i="82"/>
  <c r="AL55" i="82"/>
  <c r="AL47" i="82"/>
  <c r="AL39" i="82"/>
  <c r="AL31" i="82"/>
  <c r="AL30" i="82"/>
  <c r="AL54" i="82"/>
  <c r="AL46" i="82"/>
  <c r="AL38" i="82"/>
  <c r="AL60" i="81"/>
  <c r="AL45" i="81"/>
  <c r="AL38" i="81"/>
  <c r="AL46" i="81"/>
  <c r="AL54" i="81"/>
  <c r="AL31" i="81"/>
  <c r="AL39" i="81"/>
  <c r="AL47" i="81"/>
  <c r="AL55" i="81"/>
  <c r="AL44" i="81"/>
  <c r="AL37" i="81"/>
  <c r="AL61" i="81"/>
  <c r="AL40" i="81"/>
  <c r="AL56" i="81"/>
  <c r="AL41" i="81"/>
  <c r="AL49" i="81"/>
  <c r="AL57" i="81"/>
  <c r="AL34" i="81"/>
  <c r="AL42" i="81"/>
  <c r="AL50" i="81"/>
  <c r="AL58" i="81"/>
  <c r="AL36" i="81"/>
  <c r="AL52" i="81"/>
  <c r="AL53" i="81"/>
  <c r="AL30" i="81"/>
  <c r="AL32" i="81"/>
  <c r="AL48" i="81"/>
  <c r="AL33" i="81"/>
  <c r="AL35" i="81"/>
  <c r="AL43" i="81"/>
  <c r="AL51" i="81"/>
  <c r="AL59" i="81"/>
  <c r="AJ62" i="81"/>
  <c r="AM55" i="81" s="1"/>
  <c r="AM40" i="81" l="1"/>
  <c r="AM33" i="81"/>
  <c r="AM61" i="81"/>
  <c r="AM59" i="81"/>
  <c r="AM42" i="81"/>
  <c r="AM54" i="81"/>
  <c r="AM34" i="81"/>
  <c r="AM41" i="81"/>
  <c r="AM52" i="81"/>
  <c r="AM48" i="81"/>
  <c r="AM44" i="81"/>
  <c r="AM30" i="81"/>
  <c r="AM53" i="81"/>
  <c r="AM51" i="81"/>
  <c r="AM38" i="81"/>
  <c r="AM32" i="81"/>
  <c r="AM45" i="81"/>
  <c r="AM43" i="81"/>
  <c r="AM58" i="81"/>
  <c r="AM47" i="81"/>
  <c r="AM37" i="81"/>
  <c r="AM35" i="81"/>
  <c r="AM57" i="81"/>
  <c r="AM31" i="81"/>
  <c r="AM60" i="81"/>
  <c r="AM50" i="81"/>
  <c r="AM49" i="81"/>
  <c r="AM46" i="81"/>
  <c r="AM36" i="81"/>
  <c r="AM39" i="81"/>
  <c r="AM56" i="81"/>
  <c r="AD174" i="56" l="1"/>
  <c r="AE174" i="56" s="1"/>
  <c r="S174" i="56"/>
  <c r="T174" i="56" s="1"/>
  <c r="AD173" i="56"/>
  <c r="AE173" i="56" s="1"/>
  <c r="S173" i="56"/>
  <c r="T173" i="56" s="1"/>
  <c r="AD172" i="56"/>
  <c r="AE172" i="56" s="1"/>
  <c r="S172" i="56"/>
  <c r="T172" i="56" s="1"/>
  <c r="AD171" i="56"/>
  <c r="AE171" i="56" s="1"/>
  <c r="T171" i="56"/>
  <c r="S171" i="56"/>
  <c r="AD170" i="56"/>
  <c r="AE170" i="56" s="1"/>
  <c r="S170" i="56"/>
  <c r="T170" i="56" s="1"/>
  <c r="AD169" i="56"/>
  <c r="AE169" i="56" s="1"/>
  <c r="S169" i="56"/>
  <c r="T169" i="56" s="1"/>
  <c r="AD168" i="56"/>
  <c r="AE168" i="56" s="1"/>
  <c r="S168" i="56"/>
  <c r="T168" i="56" s="1"/>
  <c r="AD167" i="56"/>
  <c r="AE167" i="56" s="1"/>
  <c r="S167" i="56"/>
  <c r="T167" i="56" s="1"/>
  <c r="AD166" i="56"/>
  <c r="AE166" i="56" s="1"/>
  <c r="S166" i="56"/>
  <c r="T166" i="56" s="1"/>
  <c r="AD165" i="56"/>
  <c r="AE165" i="56" s="1"/>
  <c r="S165" i="56"/>
  <c r="T165" i="56" s="1"/>
  <c r="AD164" i="56"/>
  <c r="AE164" i="56" s="1"/>
  <c r="S164" i="56"/>
  <c r="T164" i="56" s="1"/>
  <c r="AD163" i="56"/>
  <c r="AE163" i="56" s="1"/>
  <c r="S163" i="56"/>
  <c r="T163" i="56" s="1"/>
  <c r="AD162" i="56"/>
  <c r="AE162" i="56" s="1"/>
  <c r="S162" i="56"/>
  <c r="T162" i="56" s="1"/>
  <c r="AD161" i="56"/>
  <c r="AE161" i="56" s="1"/>
  <c r="S161" i="56"/>
  <c r="T161" i="56" s="1"/>
  <c r="AD160" i="56"/>
  <c r="AE160" i="56" s="1"/>
  <c r="AD159" i="56"/>
  <c r="AE159" i="56" s="1"/>
  <c r="S159" i="56"/>
  <c r="T159" i="56" s="1"/>
  <c r="AD158" i="56"/>
  <c r="AE158" i="56" s="1"/>
  <c r="S158" i="56"/>
  <c r="T158" i="56" s="1"/>
  <c r="AD157" i="56"/>
  <c r="AE157" i="56" s="1"/>
  <c r="S157" i="56"/>
  <c r="T157" i="56" s="1"/>
  <c r="AD156" i="56"/>
  <c r="AE156" i="56" s="1"/>
  <c r="S156" i="56"/>
  <c r="T156" i="56" s="1"/>
  <c r="AD155" i="56"/>
  <c r="AE155" i="56" s="1"/>
  <c r="S155" i="56"/>
  <c r="T155" i="56" s="1"/>
  <c r="AD154" i="56"/>
  <c r="AE154" i="56" s="1"/>
  <c r="S154" i="56"/>
  <c r="T154" i="56" s="1"/>
  <c r="AD153" i="56"/>
  <c r="AE153" i="56" s="1"/>
  <c r="S153" i="56"/>
  <c r="T153" i="56" s="1"/>
  <c r="AD152" i="56"/>
  <c r="AE152" i="56" s="1"/>
  <c r="S152" i="56"/>
  <c r="T152" i="56" s="1"/>
  <c r="AD151" i="56"/>
  <c r="AE151" i="56" s="1"/>
  <c r="S151" i="56"/>
  <c r="T151" i="56" s="1"/>
  <c r="AD150" i="56"/>
  <c r="AE150" i="56" s="1"/>
  <c r="S150" i="56"/>
  <c r="T150" i="56" s="1"/>
  <c r="AD149" i="56"/>
  <c r="AE149" i="56" s="1"/>
  <c r="S149" i="56"/>
  <c r="T149" i="56" s="1"/>
  <c r="AD148" i="56"/>
  <c r="AE148" i="56" s="1"/>
  <c r="S148" i="56"/>
  <c r="T148" i="56" s="1"/>
  <c r="AD147" i="56"/>
  <c r="AE147" i="56" s="1"/>
  <c r="S147" i="56"/>
  <c r="T147" i="56" s="1"/>
  <c r="AD146" i="56"/>
  <c r="AE146" i="56" s="1"/>
  <c r="S146" i="56"/>
  <c r="T146" i="56" s="1"/>
  <c r="AD144" i="56"/>
  <c r="AE144" i="56" s="1"/>
  <c r="S144" i="56"/>
  <c r="T144" i="56" s="1"/>
  <c r="AD143" i="56"/>
  <c r="AE143" i="56" s="1"/>
  <c r="S143" i="56"/>
  <c r="T143" i="56" s="1"/>
  <c r="AO111" i="56"/>
  <c r="AP111" i="56" s="1"/>
  <c r="AO110" i="56"/>
  <c r="AP110" i="56" s="1"/>
  <c r="AO109" i="56"/>
  <c r="AP109" i="56" s="1"/>
  <c r="AO108" i="56"/>
  <c r="AP108" i="56" s="1"/>
  <c r="AO107" i="56"/>
  <c r="AP107" i="56" s="1"/>
  <c r="AO106" i="56"/>
  <c r="AP106" i="56" s="1"/>
  <c r="AO105" i="56"/>
  <c r="AP105" i="56" s="1"/>
  <c r="AO104" i="56"/>
  <c r="AP104" i="56" s="1"/>
  <c r="AO103" i="56"/>
  <c r="AP103" i="56" s="1"/>
  <c r="AO102" i="56"/>
  <c r="AP102" i="56" s="1"/>
  <c r="AO101" i="56"/>
  <c r="AP101" i="56" s="1"/>
  <c r="AO100" i="56"/>
  <c r="AP100" i="56" s="1"/>
  <c r="AO99" i="56"/>
  <c r="AP99" i="56" s="1"/>
  <c r="AO98" i="56"/>
  <c r="AP98" i="56" s="1"/>
  <c r="AO97" i="56"/>
  <c r="AP97" i="56" s="1"/>
  <c r="AO96" i="56"/>
  <c r="AP96" i="56" s="1"/>
  <c r="AO95" i="56"/>
  <c r="AP95" i="56" s="1"/>
  <c r="AO94" i="56"/>
  <c r="AP94" i="56" s="1"/>
  <c r="AO93" i="56"/>
  <c r="AP93" i="56" s="1"/>
  <c r="AO92" i="56"/>
  <c r="AP92" i="56" s="1"/>
  <c r="AO91" i="56"/>
  <c r="AP91" i="56" s="1"/>
  <c r="AO90" i="56"/>
  <c r="AP90" i="56" s="1"/>
  <c r="AO89" i="56"/>
  <c r="AP89" i="56" s="1"/>
  <c r="AO88" i="56"/>
  <c r="AP88" i="56" s="1"/>
  <c r="AO87" i="56"/>
  <c r="AP87" i="56" s="1"/>
  <c r="AO86" i="56"/>
  <c r="AP86" i="56" s="1"/>
  <c r="AO85" i="56"/>
  <c r="AP85" i="56" s="1"/>
  <c r="AO84" i="56"/>
  <c r="AP84" i="56" s="1"/>
  <c r="AO83" i="56"/>
  <c r="AP83" i="56" s="1"/>
  <c r="AO82" i="56"/>
  <c r="AP82" i="56" s="1"/>
  <c r="AO81" i="56"/>
  <c r="AP81" i="56" s="1"/>
  <c r="AO80" i="56"/>
  <c r="AP80" i="56" s="1"/>
  <c r="AD138" i="56"/>
  <c r="AE138" i="56" s="1"/>
  <c r="AD137" i="56"/>
  <c r="AE137" i="56" s="1"/>
  <c r="AD136" i="56"/>
  <c r="AE136" i="56" s="1"/>
  <c r="AD135" i="56"/>
  <c r="AE135" i="56" s="1"/>
  <c r="AD134" i="56"/>
  <c r="AE134" i="56" s="1"/>
  <c r="AD133" i="56"/>
  <c r="AE133" i="56" s="1"/>
  <c r="AD132" i="56"/>
  <c r="AE132" i="56" s="1"/>
  <c r="AD131" i="56"/>
  <c r="AE131" i="56" s="1"/>
  <c r="AD130" i="56"/>
  <c r="AE130" i="56" s="1"/>
  <c r="AD129" i="56"/>
  <c r="AE129" i="56" s="1"/>
  <c r="AD128" i="56"/>
  <c r="AE128" i="56" s="1"/>
  <c r="AD127" i="56"/>
  <c r="AE127" i="56" s="1"/>
  <c r="AD126" i="56"/>
  <c r="AE126" i="56" s="1"/>
  <c r="AD125" i="56"/>
  <c r="AE125" i="56" s="1"/>
  <c r="AD124" i="56"/>
  <c r="AE124" i="56" s="1"/>
  <c r="AD123" i="56"/>
  <c r="AE123" i="56" s="1"/>
  <c r="AD122" i="56"/>
  <c r="AE122" i="56" s="1"/>
  <c r="AD121" i="56"/>
  <c r="AE121" i="56" s="1"/>
  <c r="AD120" i="56"/>
  <c r="AE120" i="56" s="1"/>
  <c r="AD119" i="56"/>
  <c r="AE119" i="56" s="1"/>
  <c r="AD118" i="56"/>
  <c r="AE118" i="56" s="1"/>
  <c r="AD117" i="56"/>
  <c r="AE117" i="56" s="1"/>
  <c r="AD116" i="56"/>
  <c r="AE116" i="56" s="1"/>
  <c r="AD115" i="56"/>
  <c r="AE115" i="56" s="1"/>
  <c r="AD114" i="56"/>
  <c r="AE114" i="56" s="1"/>
  <c r="AD113" i="56"/>
  <c r="AE113" i="56" s="1"/>
  <c r="AD112" i="56"/>
  <c r="AE112" i="56" s="1"/>
  <c r="AD111" i="56"/>
  <c r="AE111" i="56" s="1"/>
  <c r="AD110" i="56"/>
  <c r="AE110" i="56" s="1"/>
  <c r="AD108" i="56"/>
  <c r="AE108" i="56" s="1"/>
  <c r="AD107" i="56"/>
  <c r="AE107" i="56" s="1"/>
  <c r="S138" i="56"/>
  <c r="T138" i="56" s="1"/>
  <c r="S137" i="56"/>
  <c r="T137" i="56" s="1"/>
  <c r="S136" i="56"/>
  <c r="T136" i="56" s="1"/>
  <c r="S135" i="56"/>
  <c r="T135" i="56" s="1"/>
  <c r="S134" i="56"/>
  <c r="T134" i="56" s="1"/>
  <c r="S133" i="56"/>
  <c r="T133" i="56" s="1"/>
  <c r="S132" i="56"/>
  <c r="T132" i="56" s="1"/>
  <c r="S131" i="56"/>
  <c r="T131" i="56" s="1"/>
  <c r="S130" i="56"/>
  <c r="T130" i="56" s="1"/>
  <c r="S129" i="56"/>
  <c r="T129" i="56" s="1"/>
  <c r="S128" i="56"/>
  <c r="T128" i="56" s="1"/>
  <c r="S127" i="56"/>
  <c r="T127" i="56" s="1"/>
  <c r="S126" i="56"/>
  <c r="T126" i="56" s="1"/>
  <c r="S125" i="56"/>
  <c r="T125" i="56" s="1"/>
  <c r="S124" i="56"/>
  <c r="T124" i="56" s="1"/>
  <c r="S123" i="56"/>
  <c r="T123" i="56" s="1"/>
  <c r="S122" i="56"/>
  <c r="T122" i="56" s="1"/>
  <c r="S121" i="56"/>
  <c r="T121" i="56" s="1"/>
  <c r="S120" i="56"/>
  <c r="T120" i="56" s="1"/>
  <c r="S119" i="56"/>
  <c r="T119" i="56" s="1"/>
  <c r="S118" i="56"/>
  <c r="T118" i="56" s="1"/>
  <c r="S117" i="56"/>
  <c r="T117" i="56" s="1"/>
  <c r="S116" i="56"/>
  <c r="T116" i="56" s="1"/>
  <c r="S115" i="56"/>
  <c r="T115" i="56" s="1"/>
  <c r="S114" i="56"/>
  <c r="T114" i="56" s="1"/>
  <c r="S113" i="56"/>
  <c r="T113" i="56" s="1"/>
  <c r="S112" i="56"/>
  <c r="T112" i="56" s="1"/>
  <c r="S111" i="56"/>
  <c r="T111" i="56" s="1"/>
  <c r="S110" i="56"/>
  <c r="T110" i="56" s="1"/>
  <c r="S108" i="56"/>
  <c r="T108" i="56" s="1"/>
  <c r="S107" i="56"/>
  <c r="T107" i="56" s="1"/>
  <c r="S175" i="56" l="1"/>
  <c r="V163" i="56" s="1"/>
  <c r="AF152" i="56"/>
  <c r="AF168" i="56"/>
  <c r="AF163" i="56"/>
  <c r="AF150" i="56"/>
  <c r="AF166" i="56"/>
  <c r="AF174" i="56"/>
  <c r="AF153" i="56"/>
  <c r="AF161" i="56"/>
  <c r="AF148" i="56"/>
  <c r="AF156" i="56"/>
  <c r="AF164" i="56"/>
  <c r="AF172" i="56"/>
  <c r="AF160" i="56"/>
  <c r="AF147" i="56"/>
  <c r="AF155" i="56"/>
  <c r="AF171" i="56"/>
  <c r="AF158" i="56"/>
  <c r="AF145" i="56"/>
  <c r="AF169" i="56"/>
  <c r="AF143" i="56"/>
  <c r="AF151" i="56"/>
  <c r="AF159" i="56"/>
  <c r="AF167" i="56"/>
  <c r="AF144" i="56"/>
  <c r="AF146" i="56"/>
  <c r="AF154" i="56"/>
  <c r="AF162" i="56"/>
  <c r="AF170" i="56"/>
  <c r="AF149" i="56"/>
  <c r="AF157" i="56"/>
  <c r="AF165" i="56"/>
  <c r="AF173" i="56"/>
  <c r="AD175" i="56"/>
  <c r="AG151" i="56" s="1"/>
  <c r="U143" i="56"/>
  <c r="U144" i="56"/>
  <c r="U145" i="56"/>
  <c r="U146" i="56"/>
  <c r="U147" i="56"/>
  <c r="U148" i="56"/>
  <c r="U149" i="56"/>
  <c r="U150" i="56"/>
  <c r="U151" i="56"/>
  <c r="U152" i="56"/>
  <c r="U153" i="56"/>
  <c r="U154" i="56"/>
  <c r="U155" i="56"/>
  <c r="U156" i="56"/>
  <c r="U157" i="56"/>
  <c r="U158" i="56"/>
  <c r="U159" i="56"/>
  <c r="U160" i="56"/>
  <c r="U161" i="56"/>
  <c r="U162" i="56"/>
  <c r="U163" i="56"/>
  <c r="U164" i="56"/>
  <c r="U165" i="56"/>
  <c r="U166" i="56"/>
  <c r="U167" i="56"/>
  <c r="U168" i="56"/>
  <c r="U169" i="56"/>
  <c r="U170" i="56"/>
  <c r="U171" i="56"/>
  <c r="U172" i="56"/>
  <c r="U173" i="56"/>
  <c r="U174" i="56"/>
  <c r="AQ110" i="56"/>
  <c r="AQ87" i="56"/>
  <c r="AQ95" i="56"/>
  <c r="AQ103" i="56"/>
  <c r="AQ111" i="56"/>
  <c r="AQ80" i="56"/>
  <c r="AQ88" i="56"/>
  <c r="AQ96" i="56"/>
  <c r="AQ104" i="56"/>
  <c r="AQ81" i="56"/>
  <c r="AQ89" i="56"/>
  <c r="AQ97" i="56"/>
  <c r="AQ105" i="56"/>
  <c r="AQ86" i="56"/>
  <c r="AQ91" i="56"/>
  <c r="AQ99" i="56"/>
  <c r="AQ107" i="56"/>
  <c r="AQ102" i="56"/>
  <c r="AQ98" i="56"/>
  <c r="AQ84" i="56"/>
  <c r="AQ100" i="56"/>
  <c r="AQ108" i="56"/>
  <c r="AQ94" i="56"/>
  <c r="AQ82" i="56"/>
  <c r="AQ90" i="56"/>
  <c r="AQ106" i="56"/>
  <c r="AQ83" i="56"/>
  <c r="AQ92" i="56"/>
  <c r="AQ85" i="56"/>
  <c r="AQ93" i="56"/>
  <c r="AQ101" i="56"/>
  <c r="AQ109" i="56"/>
  <c r="AO112" i="56"/>
  <c r="AR81" i="56" s="1"/>
  <c r="AF137" i="56"/>
  <c r="AF114" i="56"/>
  <c r="AF122" i="56"/>
  <c r="AF130" i="56"/>
  <c r="AF138" i="56"/>
  <c r="AF107" i="56"/>
  <c r="AF115" i="56"/>
  <c r="AF123" i="56"/>
  <c r="AF131" i="56"/>
  <c r="AF108" i="56"/>
  <c r="AF116" i="56"/>
  <c r="AF124" i="56"/>
  <c r="AF132" i="56"/>
  <c r="AF113" i="56"/>
  <c r="AF109" i="56"/>
  <c r="AF125" i="56"/>
  <c r="AF118" i="56"/>
  <c r="AF127" i="56"/>
  <c r="AF135" i="56"/>
  <c r="AF129" i="56"/>
  <c r="AF117" i="56"/>
  <c r="AF133" i="56"/>
  <c r="AF110" i="56"/>
  <c r="AF126" i="56"/>
  <c r="AF134" i="56"/>
  <c r="AF111" i="56"/>
  <c r="AF119" i="56"/>
  <c r="AF112" i="56"/>
  <c r="AF120" i="56"/>
  <c r="AF128" i="56"/>
  <c r="AF136" i="56"/>
  <c r="AF121" i="56"/>
  <c r="AD139" i="56"/>
  <c r="AG108" i="56" s="1"/>
  <c r="U117" i="56"/>
  <c r="U113" i="56"/>
  <c r="U129" i="56"/>
  <c r="U131" i="56"/>
  <c r="U111" i="56"/>
  <c r="U127" i="56"/>
  <c r="U133" i="56"/>
  <c r="U107" i="56"/>
  <c r="U123" i="56"/>
  <c r="U119" i="56"/>
  <c r="U135" i="56"/>
  <c r="U115" i="56"/>
  <c r="U121" i="56"/>
  <c r="U109" i="56"/>
  <c r="U125" i="56"/>
  <c r="U137" i="56"/>
  <c r="S139" i="56"/>
  <c r="V112" i="56" s="1"/>
  <c r="U112" i="56"/>
  <c r="U108" i="56"/>
  <c r="U110" i="56"/>
  <c r="U114" i="56"/>
  <c r="U116" i="56"/>
  <c r="U118" i="56"/>
  <c r="U120" i="56"/>
  <c r="U122" i="56"/>
  <c r="U124" i="56"/>
  <c r="U126" i="56"/>
  <c r="U128" i="56"/>
  <c r="U130" i="56"/>
  <c r="U132" i="56"/>
  <c r="U134" i="56"/>
  <c r="U136" i="56"/>
  <c r="U138" i="56"/>
  <c r="AQ103" i="55"/>
  <c r="AQ104" i="55"/>
  <c r="AS105" i="55"/>
  <c r="AQ106" i="55"/>
  <c r="AQ107" i="55"/>
  <c r="AU107" i="55" s="1"/>
  <c r="AQ171" i="55"/>
  <c r="AR171" i="55" s="1"/>
  <c r="AF171" i="55"/>
  <c r="AG171" i="55" s="1"/>
  <c r="U171" i="55"/>
  <c r="V171" i="55" s="1"/>
  <c r="AQ170" i="55"/>
  <c r="AR170" i="55" s="1"/>
  <c r="AF170" i="55"/>
  <c r="AG170" i="55" s="1"/>
  <c r="U170" i="55"/>
  <c r="V170" i="55" s="1"/>
  <c r="AQ169" i="55"/>
  <c r="AR169" i="55" s="1"/>
  <c r="AF169" i="55"/>
  <c r="AG169" i="55" s="1"/>
  <c r="U169" i="55"/>
  <c r="V169" i="55" s="1"/>
  <c r="AQ168" i="55"/>
  <c r="AR168" i="55" s="1"/>
  <c r="AF168" i="55"/>
  <c r="AG168" i="55" s="1"/>
  <c r="U168" i="55"/>
  <c r="V168" i="55" s="1"/>
  <c r="AQ167" i="55"/>
  <c r="AR167" i="55" s="1"/>
  <c r="AF167" i="55"/>
  <c r="AG167" i="55" s="1"/>
  <c r="U167" i="55"/>
  <c r="V167" i="55" s="1"/>
  <c r="AQ166" i="55"/>
  <c r="AR166" i="55" s="1"/>
  <c r="AF166" i="55"/>
  <c r="AG166" i="55" s="1"/>
  <c r="U166" i="55"/>
  <c r="V166" i="55" s="1"/>
  <c r="AQ165" i="55"/>
  <c r="AR165" i="55" s="1"/>
  <c r="AF165" i="55"/>
  <c r="AG165" i="55" s="1"/>
  <c r="U165" i="55"/>
  <c r="V165" i="55" s="1"/>
  <c r="AQ164" i="55"/>
  <c r="AR164" i="55" s="1"/>
  <c r="AF164" i="55"/>
  <c r="AG164" i="55" s="1"/>
  <c r="U164" i="55"/>
  <c r="V164" i="55" s="1"/>
  <c r="AQ163" i="55"/>
  <c r="AR163" i="55" s="1"/>
  <c r="AF163" i="55"/>
  <c r="AG163" i="55" s="1"/>
  <c r="U163" i="55"/>
  <c r="V163" i="55" s="1"/>
  <c r="AQ162" i="55"/>
  <c r="AR162" i="55" s="1"/>
  <c r="AF162" i="55"/>
  <c r="AG162" i="55" s="1"/>
  <c r="U162" i="55"/>
  <c r="V162" i="55" s="1"/>
  <c r="AQ161" i="55"/>
  <c r="AR161" i="55" s="1"/>
  <c r="AF161" i="55"/>
  <c r="AG161" i="55" s="1"/>
  <c r="U161" i="55"/>
  <c r="V161" i="55" s="1"/>
  <c r="AQ160" i="55"/>
  <c r="AR160" i="55" s="1"/>
  <c r="AF160" i="55"/>
  <c r="AG160" i="55" s="1"/>
  <c r="U160" i="55"/>
  <c r="V160" i="55" s="1"/>
  <c r="AQ159" i="55"/>
  <c r="AR159" i="55" s="1"/>
  <c r="AF159" i="55"/>
  <c r="AG159" i="55" s="1"/>
  <c r="U159" i="55"/>
  <c r="V159" i="55" s="1"/>
  <c r="AQ158" i="55"/>
  <c r="AR158" i="55" s="1"/>
  <c r="AF158" i="55"/>
  <c r="AG158" i="55" s="1"/>
  <c r="U158" i="55"/>
  <c r="V158" i="55" s="1"/>
  <c r="AQ157" i="55"/>
  <c r="AR157" i="55" s="1"/>
  <c r="AF157" i="55"/>
  <c r="AG157" i="55" s="1"/>
  <c r="U157" i="55"/>
  <c r="V157" i="55" s="1"/>
  <c r="AQ156" i="55"/>
  <c r="AR156" i="55" s="1"/>
  <c r="AF156" i="55"/>
  <c r="AG156" i="55" s="1"/>
  <c r="U156" i="55"/>
  <c r="V156" i="55" s="1"/>
  <c r="AQ155" i="55"/>
  <c r="AR155" i="55" s="1"/>
  <c r="AF155" i="55"/>
  <c r="AG155" i="55" s="1"/>
  <c r="U155" i="55"/>
  <c r="V155" i="55" s="1"/>
  <c r="AQ154" i="55"/>
  <c r="AR154" i="55" s="1"/>
  <c r="AF154" i="55"/>
  <c r="AG154" i="55" s="1"/>
  <c r="U154" i="55"/>
  <c r="V154" i="55" s="1"/>
  <c r="AQ153" i="55"/>
  <c r="AR153" i="55" s="1"/>
  <c r="AF153" i="55"/>
  <c r="AG153" i="55" s="1"/>
  <c r="U153" i="55"/>
  <c r="V153" i="55" s="1"/>
  <c r="AQ152" i="55"/>
  <c r="AR152" i="55" s="1"/>
  <c r="AF152" i="55"/>
  <c r="AG152" i="55" s="1"/>
  <c r="U152" i="55"/>
  <c r="V152" i="55" s="1"/>
  <c r="AQ151" i="55"/>
  <c r="AR151" i="55" s="1"/>
  <c r="AF151" i="55"/>
  <c r="AG151" i="55" s="1"/>
  <c r="U151" i="55"/>
  <c r="V151" i="55" s="1"/>
  <c r="AQ150" i="55"/>
  <c r="AR150" i="55" s="1"/>
  <c r="AF150" i="55"/>
  <c r="AG150" i="55" s="1"/>
  <c r="U150" i="55"/>
  <c r="V150" i="55" s="1"/>
  <c r="AQ149" i="55"/>
  <c r="AR149" i="55" s="1"/>
  <c r="AF149" i="55"/>
  <c r="AG149" i="55" s="1"/>
  <c r="U149" i="55"/>
  <c r="V149" i="55" s="1"/>
  <c r="AQ148" i="55"/>
  <c r="AR148" i="55" s="1"/>
  <c r="AF148" i="55"/>
  <c r="AG148" i="55" s="1"/>
  <c r="U148" i="55"/>
  <c r="V148" i="55" s="1"/>
  <c r="AQ147" i="55"/>
  <c r="AR147" i="55" s="1"/>
  <c r="AF147" i="55"/>
  <c r="AG147" i="55" s="1"/>
  <c r="U147" i="55"/>
  <c r="V147" i="55" s="1"/>
  <c r="AQ146" i="55"/>
  <c r="AR146" i="55" s="1"/>
  <c r="AF146" i="55"/>
  <c r="AG146" i="55" s="1"/>
  <c r="U146" i="55"/>
  <c r="V146" i="55" s="1"/>
  <c r="AQ145" i="55"/>
  <c r="AR145" i="55" s="1"/>
  <c r="AF145" i="55"/>
  <c r="AG145" i="55" s="1"/>
  <c r="U145" i="55"/>
  <c r="V145" i="55" s="1"/>
  <c r="AQ144" i="55"/>
  <c r="AR144" i="55" s="1"/>
  <c r="AF144" i="55"/>
  <c r="AG144" i="55" s="1"/>
  <c r="U144" i="55"/>
  <c r="V144" i="55" s="1"/>
  <c r="AQ143" i="55"/>
  <c r="AR143" i="55" s="1"/>
  <c r="AF143" i="55"/>
  <c r="AG143" i="55" s="1"/>
  <c r="U143" i="55"/>
  <c r="V143" i="55" s="1"/>
  <c r="AQ142" i="55"/>
  <c r="AR142" i="55" s="1"/>
  <c r="AF142" i="55"/>
  <c r="AG142" i="55" s="1"/>
  <c r="AQ141" i="55"/>
  <c r="AR141" i="55" s="1"/>
  <c r="AF141" i="55"/>
  <c r="AG141" i="55" s="1"/>
  <c r="U141" i="55"/>
  <c r="V141" i="55" s="1"/>
  <c r="AQ140" i="55"/>
  <c r="AF140" i="55"/>
  <c r="U140" i="55"/>
  <c r="V140" i="55" s="1"/>
  <c r="AQ134" i="55"/>
  <c r="AQ133" i="55"/>
  <c r="AQ132" i="55"/>
  <c r="AQ131" i="55"/>
  <c r="AQ130" i="55"/>
  <c r="AQ129" i="55"/>
  <c r="AQ128" i="55"/>
  <c r="AQ127" i="55"/>
  <c r="AQ126" i="55"/>
  <c r="AQ125" i="55"/>
  <c r="AQ124" i="55"/>
  <c r="AQ123" i="55"/>
  <c r="AQ122" i="55"/>
  <c r="AQ121" i="55"/>
  <c r="AQ120" i="55"/>
  <c r="AQ119" i="55"/>
  <c r="AQ118" i="55"/>
  <c r="AQ115" i="55"/>
  <c r="AQ114" i="55"/>
  <c r="AQ113" i="55"/>
  <c r="AQ112" i="55"/>
  <c r="AQ111" i="55"/>
  <c r="AQ110" i="55"/>
  <c r="AQ109" i="55"/>
  <c r="AQ108" i="55"/>
  <c r="AF134" i="55"/>
  <c r="AG134" i="55" s="1"/>
  <c r="AF133" i="55"/>
  <c r="AG133" i="55" s="1"/>
  <c r="AF132" i="55"/>
  <c r="AG132" i="55" s="1"/>
  <c r="AF131" i="55"/>
  <c r="AG131" i="55" s="1"/>
  <c r="AF130" i="55"/>
  <c r="AG130" i="55" s="1"/>
  <c r="AF129" i="55"/>
  <c r="AG129" i="55" s="1"/>
  <c r="AF128" i="55"/>
  <c r="AG128" i="55" s="1"/>
  <c r="AF127" i="55"/>
  <c r="AG127" i="55" s="1"/>
  <c r="AF126" i="55"/>
  <c r="AG126" i="55" s="1"/>
  <c r="AF125" i="55"/>
  <c r="AG125" i="55" s="1"/>
  <c r="AF124" i="55"/>
  <c r="AG124" i="55" s="1"/>
  <c r="AF123" i="55"/>
  <c r="AG123" i="55" s="1"/>
  <c r="AF122" i="55"/>
  <c r="AG122" i="55" s="1"/>
  <c r="AF121" i="55"/>
  <c r="AG121" i="55" s="1"/>
  <c r="AF120" i="55"/>
  <c r="AG120" i="55" s="1"/>
  <c r="AF119" i="55"/>
  <c r="AG119" i="55" s="1"/>
  <c r="AF118" i="55"/>
  <c r="AG118" i="55" s="1"/>
  <c r="AF117" i="55"/>
  <c r="AG117" i="55" s="1"/>
  <c r="AF116" i="55"/>
  <c r="AG116" i="55" s="1"/>
  <c r="AF115" i="55"/>
  <c r="AG115" i="55" s="1"/>
  <c r="AF114" i="55"/>
  <c r="AG114" i="55" s="1"/>
  <c r="AF113" i="55"/>
  <c r="AG113" i="55" s="1"/>
  <c r="AF112" i="55"/>
  <c r="AG112" i="55" s="1"/>
  <c r="AF111" i="55"/>
  <c r="AG111" i="55" s="1"/>
  <c r="AF110" i="55"/>
  <c r="AG110" i="55" s="1"/>
  <c r="AF108" i="55"/>
  <c r="AG108" i="55" s="1"/>
  <c r="AF107" i="55"/>
  <c r="AG107" i="55" s="1"/>
  <c r="AF106" i="55"/>
  <c r="AG106" i="55" s="1"/>
  <c r="AF104" i="55"/>
  <c r="AG104" i="55" s="1"/>
  <c r="AF103" i="55"/>
  <c r="AG103" i="55" s="1"/>
  <c r="U104" i="55"/>
  <c r="V104" i="55" s="1"/>
  <c r="U106" i="55"/>
  <c r="V106" i="55" s="1"/>
  <c r="U107" i="55"/>
  <c r="V107" i="55" s="1"/>
  <c r="U108" i="55"/>
  <c r="V108" i="55" s="1"/>
  <c r="U109" i="55"/>
  <c r="V109" i="55" s="1"/>
  <c r="U110" i="55"/>
  <c r="V110" i="55" s="1"/>
  <c r="U111" i="55"/>
  <c r="V111" i="55" s="1"/>
  <c r="U112" i="55"/>
  <c r="V112" i="55" s="1"/>
  <c r="U113" i="55"/>
  <c r="V113" i="55" s="1"/>
  <c r="U114" i="55"/>
  <c r="V114" i="55" s="1"/>
  <c r="U115" i="55"/>
  <c r="V115" i="55" s="1"/>
  <c r="U116" i="55"/>
  <c r="V116" i="55" s="1"/>
  <c r="U117" i="55"/>
  <c r="V117" i="55" s="1"/>
  <c r="U118" i="55"/>
  <c r="V118" i="55" s="1"/>
  <c r="U119" i="55"/>
  <c r="V119" i="55" s="1"/>
  <c r="U120" i="55"/>
  <c r="V120" i="55" s="1"/>
  <c r="U121" i="55"/>
  <c r="V121" i="55" s="1"/>
  <c r="U122" i="55"/>
  <c r="V122" i="55" s="1"/>
  <c r="U123" i="55"/>
  <c r="V123" i="55" s="1"/>
  <c r="U124" i="55"/>
  <c r="V124" i="55" s="1"/>
  <c r="U125" i="55"/>
  <c r="V125" i="55" s="1"/>
  <c r="U126" i="55"/>
  <c r="V126" i="55" s="1"/>
  <c r="U127" i="55"/>
  <c r="V127" i="55" s="1"/>
  <c r="U128" i="55"/>
  <c r="V128" i="55" s="1"/>
  <c r="U129" i="55"/>
  <c r="V129" i="55" s="1"/>
  <c r="U130" i="55"/>
  <c r="V130" i="55" s="1"/>
  <c r="U131" i="55"/>
  <c r="V131" i="55" s="1"/>
  <c r="U132" i="55"/>
  <c r="V132" i="55" s="1"/>
  <c r="U133" i="55"/>
  <c r="V133" i="55" s="1"/>
  <c r="U134" i="55"/>
  <c r="V134" i="55" s="1"/>
  <c r="U103" i="55"/>
  <c r="V103" i="55" s="1"/>
  <c r="W103" i="55" s="1"/>
  <c r="AG164" i="56" l="1"/>
  <c r="AG160" i="56"/>
  <c r="AG173" i="56"/>
  <c r="AG166" i="56"/>
  <c r="AG172" i="56"/>
  <c r="AG156" i="56"/>
  <c r="AG165" i="56"/>
  <c r="AG171" i="56"/>
  <c r="AG158" i="56"/>
  <c r="AG167" i="56"/>
  <c r="AG144" i="56"/>
  <c r="AG147" i="56"/>
  <c r="AR103" i="56"/>
  <c r="AR106" i="56"/>
  <c r="AR95" i="56"/>
  <c r="AR97" i="56"/>
  <c r="AR110" i="56"/>
  <c r="AR89" i="56"/>
  <c r="AR101" i="56"/>
  <c r="AR93" i="56"/>
  <c r="AR108" i="56"/>
  <c r="AR99" i="56"/>
  <c r="AR104" i="56"/>
  <c r="AR91" i="56"/>
  <c r="AG131" i="56"/>
  <c r="AG137" i="56"/>
  <c r="AG135" i="56"/>
  <c r="AG133" i="56"/>
  <c r="AG168" i="56"/>
  <c r="AG163" i="56"/>
  <c r="AG174" i="56"/>
  <c r="AG159" i="56"/>
  <c r="AG169" i="56"/>
  <c r="AG148" i="56"/>
  <c r="AG153" i="56"/>
  <c r="AG155" i="56"/>
  <c r="AG145" i="56"/>
  <c r="AG157" i="56"/>
  <c r="AG152" i="56"/>
  <c r="AG143" i="56"/>
  <c r="AG150" i="56"/>
  <c r="AG149" i="56"/>
  <c r="AG161" i="56"/>
  <c r="AG146" i="56"/>
  <c r="AG162" i="56"/>
  <c r="AG154" i="56"/>
  <c r="AG170" i="56"/>
  <c r="V160" i="56"/>
  <c r="V158" i="56"/>
  <c r="V156" i="56"/>
  <c r="V145" i="56"/>
  <c r="V174" i="56"/>
  <c r="V148" i="56"/>
  <c r="V164" i="56"/>
  <c r="V166" i="56"/>
  <c r="V151" i="56"/>
  <c r="V150" i="56"/>
  <c r="V152" i="56"/>
  <c r="V144" i="56"/>
  <c r="V153" i="56"/>
  <c r="V173" i="56"/>
  <c r="V147" i="56"/>
  <c r="V165" i="56"/>
  <c r="V169" i="56"/>
  <c r="V161" i="56"/>
  <c r="V143" i="56"/>
  <c r="V155" i="56"/>
  <c r="V171" i="56"/>
  <c r="V168" i="56"/>
  <c r="V157" i="56"/>
  <c r="V162" i="56"/>
  <c r="V154" i="56"/>
  <c r="V170" i="56"/>
  <c r="V159" i="56"/>
  <c r="V146" i="56"/>
  <c r="V149" i="56"/>
  <c r="V172" i="56"/>
  <c r="V167" i="56"/>
  <c r="AR96" i="56"/>
  <c r="AR102" i="56"/>
  <c r="AR100" i="56"/>
  <c r="AR98" i="56"/>
  <c r="AR88" i="56"/>
  <c r="AR94" i="56"/>
  <c r="AR92" i="56"/>
  <c r="AR90" i="56"/>
  <c r="AR80" i="56"/>
  <c r="AR86" i="56"/>
  <c r="AR84" i="56"/>
  <c r="AR82" i="56"/>
  <c r="AR111" i="56"/>
  <c r="AR109" i="56"/>
  <c r="AR107" i="56"/>
  <c r="AR105" i="56"/>
  <c r="AR87" i="56"/>
  <c r="AR85" i="56"/>
  <c r="AR83" i="56"/>
  <c r="AG123" i="56"/>
  <c r="AG129" i="56"/>
  <c r="AG127" i="56"/>
  <c r="AG125" i="56"/>
  <c r="AG115" i="56"/>
  <c r="AG121" i="56"/>
  <c r="AG119" i="56"/>
  <c r="AG117" i="56"/>
  <c r="AG107" i="56"/>
  <c r="AG113" i="56"/>
  <c r="AG111" i="56"/>
  <c r="AG109" i="56"/>
  <c r="AG138" i="56"/>
  <c r="AG136" i="56"/>
  <c r="AG134" i="56"/>
  <c r="AG132" i="56"/>
  <c r="AG130" i="56"/>
  <c r="AG128" i="56"/>
  <c r="AG126" i="56"/>
  <c r="AG124" i="56"/>
  <c r="AG122" i="56"/>
  <c r="AG120" i="56"/>
  <c r="AG118" i="56"/>
  <c r="AG116" i="56"/>
  <c r="AG114" i="56"/>
  <c r="AG112" i="56"/>
  <c r="AG110" i="56"/>
  <c r="AR111" i="55"/>
  <c r="AS111" i="55" s="1"/>
  <c r="AU111" i="55"/>
  <c r="AR112" i="55"/>
  <c r="AS112" i="55" s="1"/>
  <c r="AU112" i="55"/>
  <c r="AR120" i="55"/>
  <c r="AS120" i="55" s="1"/>
  <c r="AU120" i="55"/>
  <c r="AR128" i="55"/>
  <c r="AU128" i="55"/>
  <c r="AR106" i="55"/>
  <c r="AS106" i="55" s="1"/>
  <c r="AU106" i="55"/>
  <c r="AR113" i="55"/>
  <c r="AS113" i="55" s="1"/>
  <c r="AU113" i="55"/>
  <c r="AR121" i="55"/>
  <c r="AU121" i="55"/>
  <c r="AR129" i="55"/>
  <c r="AU129" i="55"/>
  <c r="AR114" i="55"/>
  <c r="AS114" i="55" s="1"/>
  <c r="AU114" i="55"/>
  <c r="AR122" i="55"/>
  <c r="AS122" i="55" s="1"/>
  <c r="AU122" i="55"/>
  <c r="AR130" i="55"/>
  <c r="AS130" i="55" s="1"/>
  <c r="AU130" i="55"/>
  <c r="AR104" i="55"/>
  <c r="AS104" i="55" s="1"/>
  <c r="AU104" i="55"/>
  <c r="AR108" i="55"/>
  <c r="AS108" i="55" s="1"/>
  <c r="AU108" i="55"/>
  <c r="AR115" i="55"/>
  <c r="AS115" i="55" s="1"/>
  <c r="AU115" i="55"/>
  <c r="AR123" i="55"/>
  <c r="AS123" i="55" s="1"/>
  <c r="AU123" i="55"/>
  <c r="AR131" i="55"/>
  <c r="AS131" i="55" s="1"/>
  <c r="AU131" i="55"/>
  <c r="AR103" i="55"/>
  <c r="AS103" i="55" s="1"/>
  <c r="AU103" i="55"/>
  <c r="AR124" i="55"/>
  <c r="AS124" i="55" s="1"/>
  <c r="AU124" i="55"/>
  <c r="AR132" i="55"/>
  <c r="AS132" i="55" s="1"/>
  <c r="AU132" i="55"/>
  <c r="AR109" i="55"/>
  <c r="AS109" i="55" s="1"/>
  <c r="AU109" i="55"/>
  <c r="AR125" i="55"/>
  <c r="AS125" i="55" s="1"/>
  <c r="AU125" i="55"/>
  <c r="AR133" i="55"/>
  <c r="AS133" i="55" s="1"/>
  <c r="AU133" i="55"/>
  <c r="AR110" i="55"/>
  <c r="AS110" i="55" s="1"/>
  <c r="AU110" i="55"/>
  <c r="AR118" i="55"/>
  <c r="AU118" i="55"/>
  <c r="AR126" i="55"/>
  <c r="AU126" i="55"/>
  <c r="AR134" i="55"/>
  <c r="AS134" i="55" s="1"/>
  <c r="AU134" i="55"/>
  <c r="AR119" i="55"/>
  <c r="AS119" i="55" s="1"/>
  <c r="AU119" i="55"/>
  <c r="AR127" i="55"/>
  <c r="AS127" i="55" s="1"/>
  <c r="AU127" i="55"/>
  <c r="V118" i="56"/>
  <c r="V117" i="56"/>
  <c r="V120" i="56"/>
  <c r="V126" i="56"/>
  <c r="V108" i="56"/>
  <c r="V128" i="56"/>
  <c r="V133" i="56"/>
  <c r="V136" i="56"/>
  <c r="V116" i="56"/>
  <c r="V110" i="56"/>
  <c r="V113" i="56"/>
  <c r="V130" i="56"/>
  <c r="V132" i="56"/>
  <c r="V135" i="56"/>
  <c r="V137" i="56"/>
  <c r="V124" i="56"/>
  <c r="V134" i="56"/>
  <c r="V129" i="56"/>
  <c r="V109" i="56"/>
  <c r="V131" i="56"/>
  <c r="V127" i="56"/>
  <c r="V111" i="56"/>
  <c r="V138" i="56"/>
  <c r="V125" i="56"/>
  <c r="V114" i="56"/>
  <c r="V122" i="56"/>
  <c r="V115" i="56"/>
  <c r="V107" i="56"/>
  <c r="V121" i="56"/>
  <c r="V123" i="56"/>
  <c r="V119" i="56"/>
  <c r="AQ135" i="55"/>
  <c r="AT108" i="55" s="1"/>
  <c r="AF172" i="55"/>
  <c r="AI141" i="55" s="1"/>
  <c r="AQ172" i="55"/>
  <c r="AT141" i="55" s="1"/>
  <c r="AS129" i="55"/>
  <c r="AS117" i="55"/>
  <c r="AR107" i="55"/>
  <c r="AS144" i="55"/>
  <c r="AH147" i="55"/>
  <c r="AS152" i="55"/>
  <c r="AH155" i="55"/>
  <c r="W158" i="55"/>
  <c r="AS160" i="55"/>
  <c r="AH163" i="55"/>
  <c r="W166" i="55"/>
  <c r="AS168" i="55"/>
  <c r="AH171" i="55"/>
  <c r="AH142" i="55"/>
  <c r="W145" i="55"/>
  <c r="AS147" i="55"/>
  <c r="AH150" i="55"/>
  <c r="W153" i="55"/>
  <c r="AS155" i="55"/>
  <c r="AH158" i="55"/>
  <c r="W161" i="55"/>
  <c r="AS163" i="55"/>
  <c r="AH166" i="55"/>
  <c r="W169" i="55"/>
  <c r="AS171" i="55"/>
  <c r="W140" i="55"/>
  <c r="AS142" i="55"/>
  <c r="AH145" i="55"/>
  <c r="W148" i="55"/>
  <c r="AS150" i="55"/>
  <c r="AH153" i="55"/>
  <c r="W156" i="55"/>
  <c r="AS158" i="55"/>
  <c r="AH161" i="55"/>
  <c r="W164" i="55"/>
  <c r="AS166" i="55"/>
  <c r="AH169" i="55"/>
  <c r="AS145" i="55"/>
  <c r="AH148" i="55"/>
  <c r="W151" i="55"/>
  <c r="AH156" i="55"/>
  <c r="W159" i="55"/>
  <c r="AS161" i="55"/>
  <c r="AH164" i="55"/>
  <c r="W167" i="55"/>
  <c r="AS169" i="55"/>
  <c r="W146" i="55"/>
  <c r="AH151" i="55"/>
  <c r="AS156" i="55"/>
  <c r="AS164" i="55"/>
  <c r="W141" i="55"/>
  <c r="W149" i="55"/>
  <c r="AH154" i="55"/>
  <c r="AS159" i="55"/>
  <c r="AH162" i="55"/>
  <c r="AS167" i="55"/>
  <c r="AH170" i="55"/>
  <c r="W142" i="55"/>
  <c r="W150" i="55"/>
  <c r="W143" i="55"/>
  <c r="AS153" i="55"/>
  <c r="AH143" i="55"/>
  <c r="AS148" i="55"/>
  <c r="W154" i="55"/>
  <c r="AH159" i="55"/>
  <c r="W162" i="55"/>
  <c r="AH167" i="55"/>
  <c r="W170" i="55"/>
  <c r="AS143" i="55"/>
  <c r="AH146" i="55"/>
  <c r="AS151" i="55"/>
  <c r="W157" i="55"/>
  <c r="W165" i="55"/>
  <c r="AH141" i="55"/>
  <c r="W144" i="55"/>
  <c r="AS146" i="55"/>
  <c r="AH149" i="55"/>
  <c r="W152" i="55"/>
  <c r="AS154" i="55"/>
  <c r="AH157" i="55"/>
  <c r="W160" i="55"/>
  <c r="AS162" i="55"/>
  <c r="AH165" i="55"/>
  <c r="W168" i="55"/>
  <c r="AS170" i="55"/>
  <c r="AS141" i="55"/>
  <c r="AH144" i="55"/>
  <c r="W147" i="55"/>
  <c r="AS149" i="55"/>
  <c r="AH152" i="55"/>
  <c r="W155" i="55"/>
  <c r="AS157" i="55"/>
  <c r="AH160" i="55"/>
  <c r="W163" i="55"/>
  <c r="AS165" i="55"/>
  <c r="AH168" i="55"/>
  <c r="W171" i="55"/>
  <c r="AG140" i="55"/>
  <c r="U172" i="55"/>
  <c r="X163" i="55" s="1"/>
  <c r="AR140" i="55"/>
  <c r="AS116" i="55"/>
  <c r="AS118" i="55"/>
  <c r="AS126" i="55"/>
  <c r="AS128" i="55"/>
  <c r="AS121" i="55"/>
  <c r="AH108" i="55"/>
  <c r="AH124" i="55"/>
  <c r="AH109" i="55"/>
  <c r="AH133" i="55"/>
  <c r="AH118" i="55"/>
  <c r="AH134" i="55"/>
  <c r="AH103" i="55"/>
  <c r="AH127" i="55"/>
  <c r="AH104" i="55"/>
  <c r="AH112" i="55"/>
  <c r="AH120" i="55"/>
  <c r="AH128" i="55"/>
  <c r="AH132" i="55"/>
  <c r="AH117" i="55"/>
  <c r="AH125" i="55"/>
  <c r="AH110" i="55"/>
  <c r="AH126" i="55"/>
  <c r="AH111" i="55"/>
  <c r="AH119" i="55"/>
  <c r="AH105" i="55"/>
  <c r="AH113" i="55"/>
  <c r="AH121" i="55"/>
  <c r="AH129" i="55"/>
  <c r="AH114" i="55"/>
  <c r="AH106" i="55"/>
  <c r="AH122" i="55"/>
  <c r="AH130" i="55"/>
  <c r="AH107" i="55"/>
  <c r="AH115" i="55"/>
  <c r="AH123" i="55"/>
  <c r="AH131" i="55"/>
  <c r="AH116" i="55"/>
  <c r="AF135" i="55"/>
  <c r="AI134" i="55" s="1"/>
  <c r="W121" i="55"/>
  <c r="W113" i="55"/>
  <c r="W105" i="55"/>
  <c r="W128" i="55"/>
  <c r="W120" i="55"/>
  <c r="W112" i="55"/>
  <c r="W104" i="55"/>
  <c r="W127" i="55"/>
  <c r="W119" i="55"/>
  <c r="W111" i="55"/>
  <c r="W134" i="55"/>
  <c r="W126" i="55"/>
  <c r="W118" i="55"/>
  <c r="W110" i="55"/>
  <c r="W133" i="55"/>
  <c r="W107" i="55"/>
  <c r="W129" i="55"/>
  <c r="W125" i="55"/>
  <c r="W117" i="55"/>
  <c r="W109" i="55"/>
  <c r="W132" i="55"/>
  <c r="W124" i="55"/>
  <c r="W116" i="55"/>
  <c r="W108" i="55"/>
  <c r="W131" i="55"/>
  <c r="W123" i="55"/>
  <c r="W115" i="55"/>
  <c r="W130" i="55"/>
  <c r="W122" i="55"/>
  <c r="W114" i="55"/>
  <c r="W106" i="55"/>
  <c r="U135" i="55"/>
  <c r="X103" i="55" s="1"/>
  <c r="AM164" i="54"/>
  <c r="AN164" i="54" s="1"/>
  <c r="W164" i="54"/>
  <c r="X164" i="54" s="1"/>
  <c r="AM163" i="54"/>
  <c r="AN163" i="54" s="1"/>
  <c r="W163" i="54"/>
  <c r="X163" i="54" s="1"/>
  <c r="AM162" i="54"/>
  <c r="AN162" i="54" s="1"/>
  <c r="W162" i="54"/>
  <c r="X162" i="54" s="1"/>
  <c r="AM161" i="54"/>
  <c r="AN161" i="54" s="1"/>
  <c r="W161" i="54"/>
  <c r="X161" i="54" s="1"/>
  <c r="AM160" i="54"/>
  <c r="AN160" i="54" s="1"/>
  <c r="W160" i="54"/>
  <c r="X160" i="54" s="1"/>
  <c r="AM159" i="54"/>
  <c r="AN159" i="54" s="1"/>
  <c r="W159" i="54"/>
  <c r="X159" i="54" s="1"/>
  <c r="AM158" i="54"/>
  <c r="AN158" i="54" s="1"/>
  <c r="W158" i="54"/>
  <c r="X158" i="54" s="1"/>
  <c r="AM157" i="54"/>
  <c r="AN157" i="54" s="1"/>
  <c r="W157" i="54"/>
  <c r="X157" i="54" s="1"/>
  <c r="AM156" i="54"/>
  <c r="AN156" i="54" s="1"/>
  <c r="W156" i="54"/>
  <c r="X156" i="54" s="1"/>
  <c r="AM155" i="54"/>
  <c r="AN155" i="54" s="1"/>
  <c r="W155" i="54"/>
  <c r="X155" i="54" s="1"/>
  <c r="AM154" i="54"/>
  <c r="AN154" i="54" s="1"/>
  <c r="W154" i="54"/>
  <c r="X154" i="54" s="1"/>
  <c r="AM153" i="54"/>
  <c r="AN153" i="54" s="1"/>
  <c r="W153" i="54"/>
  <c r="X153" i="54" s="1"/>
  <c r="AM152" i="54"/>
  <c r="AN152" i="54" s="1"/>
  <c r="W152" i="54"/>
  <c r="X152" i="54" s="1"/>
  <c r="AM151" i="54"/>
  <c r="AN151" i="54" s="1"/>
  <c r="W151" i="54"/>
  <c r="X151" i="54" s="1"/>
  <c r="AM150" i="54"/>
  <c r="AN150" i="54" s="1"/>
  <c r="W150" i="54"/>
  <c r="X150" i="54" s="1"/>
  <c r="AM149" i="54"/>
  <c r="AN149" i="54" s="1"/>
  <c r="W149" i="54"/>
  <c r="X149" i="54" s="1"/>
  <c r="AM148" i="54"/>
  <c r="AN148" i="54" s="1"/>
  <c r="W148" i="54"/>
  <c r="X148" i="54" s="1"/>
  <c r="AM147" i="54"/>
  <c r="AN147" i="54" s="1"/>
  <c r="W147" i="54"/>
  <c r="X147" i="54" s="1"/>
  <c r="AM146" i="54"/>
  <c r="AN146" i="54" s="1"/>
  <c r="W146" i="54"/>
  <c r="X146" i="54" s="1"/>
  <c r="AM145" i="54"/>
  <c r="AN145" i="54" s="1"/>
  <c r="W145" i="54"/>
  <c r="X145" i="54" s="1"/>
  <c r="AM144" i="54"/>
  <c r="AN144" i="54" s="1"/>
  <c r="W144" i="54"/>
  <c r="X144" i="54" s="1"/>
  <c r="AM143" i="54"/>
  <c r="AN143" i="54" s="1"/>
  <c r="W143" i="54"/>
  <c r="X143" i="54" s="1"/>
  <c r="AM142" i="54"/>
  <c r="AN142" i="54" s="1"/>
  <c r="W142" i="54"/>
  <c r="X142" i="54" s="1"/>
  <c r="AM141" i="54"/>
  <c r="AN141" i="54" s="1"/>
  <c r="W141" i="54"/>
  <c r="X141" i="54" s="1"/>
  <c r="AM140" i="54"/>
  <c r="AN140" i="54" s="1"/>
  <c r="W139" i="54"/>
  <c r="X139" i="54" s="1"/>
  <c r="AM138" i="54"/>
  <c r="AN138" i="54" s="1"/>
  <c r="W138" i="54"/>
  <c r="X138" i="54" s="1"/>
  <c r="AM137" i="54"/>
  <c r="AN137" i="54" s="1"/>
  <c r="W137" i="54"/>
  <c r="X137" i="54" s="1"/>
  <c r="AM136" i="54"/>
  <c r="AN136" i="54" s="1"/>
  <c r="W136" i="54"/>
  <c r="X136" i="54" s="1"/>
  <c r="AM134" i="54"/>
  <c r="AN134" i="54" s="1"/>
  <c r="W134" i="54"/>
  <c r="X134" i="54" s="1"/>
  <c r="AM133" i="54"/>
  <c r="W133" i="54"/>
  <c r="X133" i="54" s="1"/>
  <c r="AM128" i="54"/>
  <c r="AN128" i="54" s="1"/>
  <c r="AM127" i="54"/>
  <c r="AN127" i="54" s="1"/>
  <c r="AM126" i="54"/>
  <c r="AN126" i="54" s="1"/>
  <c r="AM125" i="54"/>
  <c r="AN125" i="54" s="1"/>
  <c r="AM124" i="54"/>
  <c r="AN124" i="54" s="1"/>
  <c r="AM123" i="54"/>
  <c r="AN123" i="54" s="1"/>
  <c r="AM122" i="54"/>
  <c r="AN122" i="54" s="1"/>
  <c r="AM121" i="54"/>
  <c r="AN121" i="54" s="1"/>
  <c r="AM120" i="54"/>
  <c r="AN120" i="54" s="1"/>
  <c r="AM119" i="54"/>
  <c r="AN119" i="54" s="1"/>
  <c r="AM118" i="54"/>
  <c r="AN118" i="54" s="1"/>
  <c r="AM117" i="54"/>
  <c r="AN117" i="54" s="1"/>
  <c r="AM116" i="54"/>
  <c r="AN116" i="54" s="1"/>
  <c r="AM115" i="54"/>
  <c r="AN115" i="54" s="1"/>
  <c r="AM114" i="54"/>
  <c r="AN114" i="54" s="1"/>
  <c r="AM113" i="54"/>
  <c r="AN113" i="54" s="1"/>
  <c r="AM112" i="54"/>
  <c r="AN112" i="54" s="1"/>
  <c r="AM111" i="54"/>
  <c r="AN111" i="54" s="1"/>
  <c r="AM110" i="54"/>
  <c r="AN110" i="54" s="1"/>
  <c r="AM109" i="54"/>
  <c r="AN109" i="54" s="1"/>
  <c r="AM108" i="54"/>
  <c r="AN108" i="54" s="1"/>
  <c r="AM107" i="54"/>
  <c r="AN107" i="54" s="1"/>
  <c r="AM106" i="54"/>
  <c r="AN106" i="54" s="1"/>
  <c r="AM105" i="54"/>
  <c r="AN105" i="54" s="1"/>
  <c r="AM104" i="54"/>
  <c r="AN104" i="54" s="1"/>
  <c r="AM102" i="54"/>
  <c r="AN102" i="54" s="1"/>
  <c r="AM101" i="54"/>
  <c r="AN101" i="54" s="1"/>
  <c r="AM100" i="54"/>
  <c r="AN100" i="54" s="1"/>
  <c r="AM98" i="54"/>
  <c r="AN98" i="54" s="1"/>
  <c r="AM97" i="54"/>
  <c r="W128" i="54"/>
  <c r="X128" i="54" s="1"/>
  <c r="W127" i="54"/>
  <c r="X127" i="54" s="1"/>
  <c r="W126" i="54"/>
  <c r="X126" i="54" s="1"/>
  <c r="W125" i="54"/>
  <c r="X125" i="54" s="1"/>
  <c r="W124" i="54"/>
  <c r="X124" i="54" s="1"/>
  <c r="Y124" i="54" s="1"/>
  <c r="W123" i="54"/>
  <c r="X123" i="54" s="1"/>
  <c r="W122" i="54"/>
  <c r="X122" i="54" s="1"/>
  <c r="Y122" i="54" s="1"/>
  <c r="W121" i="54"/>
  <c r="X121" i="54" s="1"/>
  <c r="W120" i="54"/>
  <c r="X120" i="54" s="1"/>
  <c r="W119" i="54"/>
  <c r="X119" i="54" s="1"/>
  <c r="W118" i="54"/>
  <c r="X118" i="54" s="1"/>
  <c r="W117" i="54"/>
  <c r="X117" i="54" s="1"/>
  <c r="W116" i="54"/>
  <c r="X116" i="54" s="1"/>
  <c r="W115" i="54"/>
  <c r="X115" i="54" s="1"/>
  <c r="W114" i="54"/>
  <c r="X114" i="54" s="1"/>
  <c r="Y114" i="54" s="1"/>
  <c r="W113" i="54"/>
  <c r="X113" i="54" s="1"/>
  <c r="W112" i="54"/>
  <c r="X112" i="54" s="1"/>
  <c r="W111" i="54"/>
  <c r="X111" i="54" s="1"/>
  <c r="W110" i="54"/>
  <c r="X110" i="54" s="1"/>
  <c r="Y110" i="54" s="1"/>
  <c r="W109" i="54"/>
  <c r="X109" i="54" s="1"/>
  <c r="W108" i="54"/>
  <c r="X108" i="54" s="1"/>
  <c r="W107" i="54"/>
  <c r="X107" i="54" s="1"/>
  <c r="W106" i="54"/>
  <c r="X106" i="54" s="1"/>
  <c r="Y106" i="54" s="1"/>
  <c r="W105" i="54"/>
  <c r="X105" i="54" s="1"/>
  <c r="W104" i="54"/>
  <c r="X104" i="54" s="1"/>
  <c r="W102" i="54"/>
  <c r="X102" i="54" s="1"/>
  <c r="W101" i="54"/>
  <c r="X101" i="54" s="1"/>
  <c r="W100" i="54"/>
  <c r="X100" i="54" s="1"/>
  <c r="W98" i="54"/>
  <c r="X98" i="54" s="1"/>
  <c r="W97" i="54"/>
  <c r="X97" i="54" s="1"/>
  <c r="X148" i="55" l="1"/>
  <c r="X152" i="55"/>
  <c r="AT145" i="55"/>
  <c r="AT155" i="55"/>
  <c r="X165" i="55"/>
  <c r="X145" i="55"/>
  <c r="AT143" i="55"/>
  <c r="AT144" i="55"/>
  <c r="AT140" i="55"/>
  <c r="AT152" i="55"/>
  <c r="AT156" i="55"/>
  <c r="AT157" i="55"/>
  <c r="AT164" i="55"/>
  <c r="AT133" i="55"/>
  <c r="X167" i="55"/>
  <c r="X147" i="55"/>
  <c r="AI168" i="55"/>
  <c r="AI140" i="55"/>
  <c r="AI157" i="55"/>
  <c r="X157" i="55"/>
  <c r="AI167" i="55"/>
  <c r="X162" i="55"/>
  <c r="X159" i="55"/>
  <c r="X164" i="55"/>
  <c r="X156" i="55"/>
  <c r="AI158" i="55"/>
  <c r="X166" i="55"/>
  <c r="AT160" i="55"/>
  <c r="AI160" i="55"/>
  <c r="X168" i="55"/>
  <c r="AI154" i="55"/>
  <c r="AI156" i="55"/>
  <c r="AI163" i="55"/>
  <c r="AI165" i="55"/>
  <c r="AT115" i="55"/>
  <c r="X144" i="55"/>
  <c r="AT151" i="55"/>
  <c r="AI159" i="55"/>
  <c r="AI151" i="55"/>
  <c r="AT153" i="55"/>
  <c r="AT158" i="55"/>
  <c r="X140" i="55"/>
  <c r="X153" i="55"/>
  <c r="X158" i="55"/>
  <c r="AI147" i="55"/>
  <c r="X155" i="55"/>
  <c r="AT162" i="55"/>
  <c r="AI161" i="55"/>
  <c r="AT128" i="55"/>
  <c r="AI170" i="55"/>
  <c r="X149" i="55"/>
  <c r="X154" i="55"/>
  <c r="X146" i="55"/>
  <c r="X151" i="55"/>
  <c r="AI153" i="55"/>
  <c r="AT171" i="55"/>
  <c r="AI150" i="55"/>
  <c r="AI155" i="55"/>
  <c r="X142" i="55"/>
  <c r="AI152" i="55"/>
  <c r="X160" i="55"/>
  <c r="AI149" i="55"/>
  <c r="AT167" i="55"/>
  <c r="AI146" i="55"/>
  <c r="AT148" i="55"/>
  <c r="AT169" i="55"/>
  <c r="AI148" i="55"/>
  <c r="AT150" i="55"/>
  <c r="X169" i="55"/>
  <c r="AT147" i="55"/>
  <c r="X150" i="55"/>
  <c r="X171" i="55"/>
  <c r="AT149" i="55"/>
  <c r="AT154" i="55"/>
  <c r="AI145" i="55"/>
  <c r="AI162" i="55"/>
  <c r="X141" i="55"/>
  <c r="AI130" i="55"/>
  <c r="AI164" i="55"/>
  <c r="X143" i="55"/>
  <c r="AT142" i="55"/>
  <c r="AT163" i="55"/>
  <c r="AI142" i="55"/>
  <c r="X126" i="55"/>
  <c r="AT165" i="55"/>
  <c r="AI144" i="55"/>
  <c r="AT146" i="55"/>
  <c r="AI143" i="55"/>
  <c r="AI166" i="55"/>
  <c r="AT119" i="55"/>
  <c r="AT170" i="55"/>
  <c r="AT159" i="55"/>
  <c r="AT130" i="55"/>
  <c r="X170" i="55"/>
  <c r="AT161" i="55"/>
  <c r="AT166" i="55"/>
  <c r="AI169" i="55"/>
  <c r="X161" i="55"/>
  <c r="AT168" i="55"/>
  <c r="AI171" i="55"/>
  <c r="AT114" i="55"/>
  <c r="AT134" i="55"/>
  <c r="AT111" i="55"/>
  <c r="AT124" i="55"/>
  <c r="AT106" i="55"/>
  <c r="AT120" i="55"/>
  <c r="AT105" i="55"/>
  <c r="AT126" i="55"/>
  <c r="AT117" i="55"/>
  <c r="AT131" i="55"/>
  <c r="AT112" i="55"/>
  <c r="AT132" i="55"/>
  <c r="AT104" i="55"/>
  <c r="AT129" i="55"/>
  <c r="AT125" i="55"/>
  <c r="AT123" i="55"/>
  <c r="AT122" i="55"/>
  <c r="AT113" i="55"/>
  <c r="AT118" i="55"/>
  <c r="AT116" i="55"/>
  <c r="AT109" i="55"/>
  <c r="AT121" i="55"/>
  <c r="AT127" i="55"/>
  <c r="AT103" i="55"/>
  <c r="AT110" i="55"/>
  <c r="AS107" i="55"/>
  <c r="AT107" i="55"/>
  <c r="AI120" i="55"/>
  <c r="AI104" i="55"/>
  <c r="AI125" i="55"/>
  <c r="AI121" i="55"/>
  <c r="AI124" i="55"/>
  <c r="AI108" i="55"/>
  <c r="AI114" i="55"/>
  <c r="AS140" i="55"/>
  <c r="AH140" i="55"/>
  <c r="AI109" i="55"/>
  <c r="AI131" i="55"/>
  <c r="AI113" i="55"/>
  <c r="AI126" i="55"/>
  <c r="AI105" i="55"/>
  <c r="AI123" i="55"/>
  <c r="AI129" i="55"/>
  <c r="AI118" i="55"/>
  <c r="AI103" i="55"/>
  <c r="AI115" i="55"/>
  <c r="AI111" i="55"/>
  <c r="AI110" i="55"/>
  <c r="AI132" i="55"/>
  <c r="AI107" i="55"/>
  <c r="AI128" i="55"/>
  <c r="AI117" i="55"/>
  <c r="AI116" i="55"/>
  <c r="AI122" i="55"/>
  <c r="AI112" i="55"/>
  <c r="AI133" i="55"/>
  <c r="AI119" i="55"/>
  <c r="AI106" i="55"/>
  <c r="AI127" i="55"/>
  <c r="X121" i="55"/>
  <c r="X122" i="55"/>
  <c r="X108" i="55"/>
  <c r="X133" i="55"/>
  <c r="X130" i="55"/>
  <c r="X117" i="55"/>
  <c r="X120" i="55"/>
  <c r="X109" i="55"/>
  <c r="X134" i="55"/>
  <c r="X119" i="55"/>
  <c r="X115" i="55"/>
  <c r="X116" i="55"/>
  <c r="X118" i="55"/>
  <c r="X129" i="55"/>
  <c r="X127" i="55"/>
  <c r="X105" i="55"/>
  <c r="X106" i="55"/>
  <c r="X132" i="55"/>
  <c r="X131" i="55"/>
  <c r="X107" i="55"/>
  <c r="X104" i="55"/>
  <c r="X128" i="55"/>
  <c r="X114" i="55"/>
  <c r="X123" i="55"/>
  <c r="X124" i="55"/>
  <c r="X125" i="55"/>
  <c r="X110" i="55"/>
  <c r="X111" i="55"/>
  <c r="X112" i="55"/>
  <c r="X113" i="55"/>
  <c r="AM129" i="54"/>
  <c r="AM165" i="54"/>
  <c r="AP156" i="54" s="1"/>
  <c r="Y145" i="54"/>
  <c r="Y161" i="54"/>
  <c r="AO137" i="54"/>
  <c r="AO149" i="54"/>
  <c r="Y134" i="54"/>
  <c r="Y146" i="54"/>
  <c r="Y162" i="54"/>
  <c r="AO134" i="54"/>
  <c r="AO138" i="54"/>
  <c r="AO142" i="54"/>
  <c r="AO146" i="54"/>
  <c r="AO150" i="54"/>
  <c r="AO154" i="54"/>
  <c r="AO158" i="54"/>
  <c r="AO162" i="54"/>
  <c r="Y133" i="54"/>
  <c r="Y157" i="54"/>
  <c r="AO141" i="54"/>
  <c r="AO157" i="54"/>
  <c r="Y138" i="54"/>
  <c r="Y150" i="54"/>
  <c r="Y154" i="54"/>
  <c r="Y135" i="54"/>
  <c r="Y139" i="54"/>
  <c r="Y143" i="54"/>
  <c r="Y147" i="54"/>
  <c r="Y151" i="54"/>
  <c r="Y155" i="54"/>
  <c r="Y159" i="54"/>
  <c r="Y163" i="54"/>
  <c r="AO145" i="54"/>
  <c r="Y142" i="54"/>
  <c r="Y158" i="54"/>
  <c r="AO135" i="54"/>
  <c r="AO139" i="54"/>
  <c r="AO143" i="54"/>
  <c r="AO147" i="54"/>
  <c r="AO151" i="54"/>
  <c r="AO155" i="54"/>
  <c r="AO159" i="54"/>
  <c r="AO163" i="54"/>
  <c r="Y137" i="54"/>
  <c r="Y149" i="54"/>
  <c r="AO161" i="54"/>
  <c r="Y140" i="54"/>
  <c r="Y144" i="54"/>
  <c r="Y148" i="54"/>
  <c r="Y152" i="54"/>
  <c r="Y156" i="54"/>
  <c r="Y160" i="54"/>
  <c r="Y164" i="54"/>
  <c r="Y141" i="54"/>
  <c r="Y153" i="54"/>
  <c r="AO153" i="54"/>
  <c r="Y136" i="54"/>
  <c r="AO136" i="54"/>
  <c r="AO140" i="54"/>
  <c r="AO144" i="54"/>
  <c r="AO148" i="54"/>
  <c r="AO152" i="54"/>
  <c r="AO156" i="54"/>
  <c r="AO160" i="54"/>
  <c r="AO164" i="54"/>
  <c r="AN133" i="54"/>
  <c r="W165" i="54"/>
  <c r="Z153" i="54" s="1"/>
  <c r="AO125" i="54"/>
  <c r="AO113" i="54"/>
  <c r="AO121" i="54"/>
  <c r="AO98" i="54"/>
  <c r="AO106" i="54"/>
  <c r="AO114" i="54"/>
  <c r="AO122" i="54"/>
  <c r="AO109" i="54"/>
  <c r="AO102" i="54"/>
  <c r="AO126" i="54"/>
  <c r="AO119" i="54"/>
  <c r="AO104" i="54"/>
  <c r="AO128" i="54"/>
  <c r="AO107" i="54"/>
  <c r="AO115" i="54"/>
  <c r="AO123" i="54"/>
  <c r="AO101" i="54"/>
  <c r="AO117" i="54"/>
  <c r="AO110" i="54"/>
  <c r="AO118" i="54"/>
  <c r="AO103" i="54"/>
  <c r="AO111" i="54"/>
  <c r="AO127" i="54"/>
  <c r="AO112" i="54"/>
  <c r="AO120" i="54"/>
  <c r="AO105" i="54"/>
  <c r="AO99" i="54"/>
  <c r="AO100" i="54"/>
  <c r="AO108" i="54"/>
  <c r="AO116" i="54"/>
  <c r="AO124" i="54"/>
  <c r="AN97" i="54"/>
  <c r="Y107" i="54"/>
  <c r="Y113" i="54"/>
  <c r="Y109" i="54"/>
  <c r="Y123" i="54"/>
  <c r="Y97" i="54"/>
  <c r="Y103" i="54"/>
  <c r="Y119" i="54"/>
  <c r="Y115" i="54"/>
  <c r="Y105" i="54"/>
  <c r="Y121" i="54"/>
  <c r="Y99" i="54"/>
  <c r="Y127" i="54"/>
  <c r="Y125" i="54"/>
  <c r="Y111" i="54"/>
  <c r="Y101" i="54"/>
  <c r="Y117" i="54"/>
  <c r="Y98" i="54"/>
  <c r="Y100" i="54"/>
  <c r="Y104" i="54"/>
  <c r="Y108" i="54"/>
  <c r="Y112" i="54"/>
  <c r="Y118" i="54"/>
  <c r="Y128" i="54"/>
  <c r="W129" i="54"/>
  <c r="Y102" i="54"/>
  <c r="Y116" i="54"/>
  <c r="Y120" i="54"/>
  <c r="Y126" i="54"/>
  <c r="AO97" i="53"/>
  <c r="AP97" i="53" s="1"/>
  <c r="AO96" i="53"/>
  <c r="AP96" i="53" s="1"/>
  <c r="AO95" i="53"/>
  <c r="AP95" i="53" s="1"/>
  <c r="AO94" i="53"/>
  <c r="AP94" i="53" s="1"/>
  <c r="AO93" i="53"/>
  <c r="AP93" i="53" s="1"/>
  <c r="AO92" i="53"/>
  <c r="AP92" i="53" s="1"/>
  <c r="AO91" i="53"/>
  <c r="AP91" i="53" s="1"/>
  <c r="AO90" i="53"/>
  <c r="AP90" i="53" s="1"/>
  <c r="AO89" i="53"/>
  <c r="AP89" i="53" s="1"/>
  <c r="AO88" i="53"/>
  <c r="AP88" i="53" s="1"/>
  <c r="AO87" i="53"/>
  <c r="AP87" i="53" s="1"/>
  <c r="AO86" i="53"/>
  <c r="AP86" i="53" s="1"/>
  <c r="AO85" i="53"/>
  <c r="AP85" i="53" s="1"/>
  <c r="AO84" i="53"/>
  <c r="AP84" i="53" s="1"/>
  <c r="AO83" i="53"/>
  <c r="AP83" i="53" s="1"/>
  <c r="AO82" i="53"/>
  <c r="AP82" i="53" s="1"/>
  <c r="AO81" i="53"/>
  <c r="AP81" i="53" s="1"/>
  <c r="AO80" i="53"/>
  <c r="AP80" i="53" s="1"/>
  <c r="AO79" i="53"/>
  <c r="AP79" i="53" s="1"/>
  <c r="AO78" i="53"/>
  <c r="AP78" i="53" s="1"/>
  <c r="AO77" i="53"/>
  <c r="AP77" i="53" s="1"/>
  <c r="AO76" i="53"/>
  <c r="AP76" i="53" s="1"/>
  <c r="AO75" i="53"/>
  <c r="AP75" i="53" s="1"/>
  <c r="AO74" i="53"/>
  <c r="AP74" i="53" s="1"/>
  <c r="AO73" i="53"/>
  <c r="AP73" i="53" s="1"/>
  <c r="AO72" i="53"/>
  <c r="AP72" i="53" s="1"/>
  <c r="AO71" i="53"/>
  <c r="AP71" i="53" s="1"/>
  <c r="AO70" i="53"/>
  <c r="AP70" i="53" s="1"/>
  <c r="AO67" i="53"/>
  <c r="AP67" i="53" s="1"/>
  <c r="AO66" i="53"/>
  <c r="AD97" i="53"/>
  <c r="AE97" i="53" s="1"/>
  <c r="AD96" i="53"/>
  <c r="AE96" i="53" s="1"/>
  <c r="AD95" i="53"/>
  <c r="AE95" i="53" s="1"/>
  <c r="AD94" i="53"/>
  <c r="AE94" i="53" s="1"/>
  <c r="AD93" i="53"/>
  <c r="AE93" i="53" s="1"/>
  <c r="AD92" i="53"/>
  <c r="AE92" i="53" s="1"/>
  <c r="AD91" i="53"/>
  <c r="AE91" i="53" s="1"/>
  <c r="AD90" i="53"/>
  <c r="AE90" i="53" s="1"/>
  <c r="AD89" i="53"/>
  <c r="AE89" i="53" s="1"/>
  <c r="AD88" i="53"/>
  <c r="AE88" i="53" s="1"/>
  <c r="AD87" i="53"/>
  <c r="AE87" i="53" s="1"/>
  <c r="AD86" i="53"/>
  <c r="AE86" i="53" s="1"/>
  <c r="AD85" i="53"/>
  <c r="AE85" i="53" s="1"/>
  <c r="AD84" i="53"/>
  <c r="AE84" i="53" s="1"/>
  <c r="AD83" i="53"/>
  <c r="AE83" i="53" s="1"/>
  <c r="AD82" i="53"/>
  <c r="AE82" i="53" s="1"/>
  <c r="AD81" i="53"/>
  <c r="AE81" i="53" s="1"/>
  <c r="AD80" i="53"/>
  <c r="AE80" i="53" s="1"/>
  <c r="AD79" i="53"/>
  <c r="AE79" i="53" s="1"/>
  <c r="AD78" i="53"/>
  <c r="AE78" i="53" s="1"/>
  <c r="AD77" i="53"/>
  <c r="AE77" i="53" s="1"/>
  <c r="AD76" i="53"/>
  <c r="AE76" i="53" s="1"/>
  <c r="AD75" i="53"/>
  <c r="AE75" i="53" s="1"/>
  <c r="AD74" i="53"/>
  <c r="AE74" i="53" s="1"/>
  <c r="AD73" i="53"/>
  <c r="AE73" i="53" s="1"/>
  <c r="AD71" i="53"/>
  <c r="AE71" i="53" s="1"/>
  <c r="AD70" i="53"/>
  <c r="AE70" i="53" s="1"/>
  <c r="AD69" i="53"/>
  <c r="AE69" i="53" s="1"/>
  <c r="AD67" i="53"/>
  <c r="AE67" i="53" s="1"/>
  <c r="AD66" i="53"/>
  <c r="AE66" i="53" s="1"/>
  <c r="S70" i="53"/>
  <c r="T70" i="53" s="1"/>
  <c r="S69" i="53"/>
  <c r="T69" i="53" s="1"/>
  <c r="S67" i="53"/>
  <c r="T67" i="53" s="1"/>
  <c r="S66" i="53"/>
  <c r="T66" i="53" s="1"/>
  <c r="S97" i="53"/>
  <c r="T97" i="53" s="1"/>
  <c r="S96" i="53"/>
  <c r="T96" i="53" s="1"/>
  <c r="S95" i="53"/>
  <c r="T95" i="53" s="1"/>
  <c r="S94" i="53"/>
  <c r="T94" i="53" s="1"/>
  <c r="S93" i="53"/>
  <c r="T93" i="53" s="1"/>
  <c r="S92" i="53"/>
  <c r="T92" i="53" s="1"/>
  <c r="S91" i="53"/>
  <c r="T91" i="53" s="1"/>
  <c r="S90" i="53"/>
  <c r="T90" i="53" s="1"/>
  <c r="S89" i="53"/>
  <c r="T89" i="53" s="1"/>
  <c r="S88" i="53"/>
  <c r="T88" i="53" s="1"/>
  <c r="S87" i="53"/>
  <c r="T87" i="53" s="1"/>
  <c r="S86" i="53"/>
  <c r="T86" i="53" s="1"/>
  <c r="S85" i="53"/>
  <c r="T85" i="53" s="1"/>
  <c r="S84" i="53"/>
  <c r="T84" i="53" s="1"/>
  <c r="S83" i="53"/>
  <c r="T83" i="53" s="1"/>
  <c r="S82" i="53"/>
  <c r="T82" i="53" s="1"/>
  <c r="S81" i="53"/>
  <c r="T81" i="53" s="1"/>
  <c r="S80" i="53"/>
  <c r="T80" i="53" s="1"/>
  <c r="S79" i="53"/>
  <c r="T79" i="53" s="1"/>
  <c r="S78" i="53"/>
  <c r="T78" i="53" s="1"/>
  <c r="S77" i="53"/>
  <c r="T77" i="53" s="1"/>
  <c r="S76" i="53"/>
  <c r="T76" i="53" s="1"/>
  <c r="S75" i="53"/>
  <c r="T75" i="53" s="1"/>
  <c r="S74" i="53"/>
  <c r="T74" i="53" s="1"/>
  <c r="S73" i="53"/>
  <c r="T73" i="53" s="1"/>
  <c r="S71" i="53"/>
  <c r="AH94" i="52"/>
  <c r="AI94" i="52" s="1"/>
  <c r="AJ94" i="52" s="1"/>
  <c r="AH93" i="52"/>
  <c r="AI93" i="52" s="1"/>
  <c r="AJ93" i="52" s="1"/>
  <c r="AH92" i="52"/>
  <c r="AI92" i="52" s="1"/>
  <c r="AJ92" i="52" s="1"/>
  <c r="AH91" i="52"/>
  <c r="AI91" i="52" s="1"/>
  <c r="AJ91" i="52" s="1"/>
  <c r="AH90" i="52"/>
  <c r="AI90" i="52" s="1"/>
  <c r="AJ90" i="52" s="1"/>
  <c r="AH89" i="52"/>
  <c r="AI89" i="52" s="1"/>
  <c r="AJ89" i="52" s="1"/>
  <c r="AH88" i="52"/>
  <c r="AI88" i="52" s="1"/>
  <c r="AJ88" i="52" s="1"/>
  <c r="AH87" i="52"/>
  <c r="AI87" i="52" s="1"/>
  <c r="AJ87" i="52" s="1"/>
  <c r="AH86" i="52"/>
  <c r="AI86" i="52" s="1"/>
  <c r="AJ86" i="52" s="1"/>
  <c r="AH85" i="52"/>
  <c r="AI85" i="52" s="1"/>
  <c r="AJ85" i="52" s="1"/>
  <c r="AH84" i="52"/>
  <c r="AI84" i="52" s="1"/>
  <c r="AJ84" i="52" s="1"/>
  <c r="AH83" i="52"/>
  <c r="AI83" i="52" s="1"/>
  <c r="AJ83" i="52" s="1"/>
  <c r="AH82" i="52"/>
  <c r="AI82" i="52" s="1"/>
  <c r="AJ82" i="52" s="1"/>
  <c r="AH81" i="52"/>
  <c r="AI81" i="52" s="1"/>
  <c r="AJ81" i="52" s="1"/>
  <c r="AH80" i="52"/>
  <c r="AI80" i="52" s="1"/>
  <c r="AJ80" i="52" s="1"/>
  <c r="AH79" i="52"/>
  <c r="AI79" i="52" s="1"/>
  <c r="AJ79" i="52" s="1"/>
  <c r="AH78" i="52"/>
  <c r="AI78" i="52" s="1"/>
  <c r="AJ78" i="52" s="1"/>
  <c r="AH77" i="52"/>
  <c r="AI77" i="52" s="1"/>
  <c r="AJ77" i="52" s="1"/>
  <c r="AH76" i="52"/>
  <c r="AI76" i="52" s="1"/>
  <c r="AJ76" i="52" s="1"/>
  <c r="AH75" i="52"/>
  <c r="AI75" i="52" s="1"/>
  <c r="AJ75" i="52" s="1"/>
  <c r="AH74" i="52"/>
  <c r="AI74" i="52" s="1"/>
  <c r="AJ74" i="52" s="1"/>
  <c r="AH73" i="52"/>
  <c r="AI73" i="52" s="1"/>
  <c r="AJ73" i="52" s="1"/>
  <c r="AH72" i="52"/>
  <c r="AI72" i="52" s="1"/>
  <c r="AJ72" i="52" s="1"/>
  <c r="AH71" i="52"/>
  <c r="AI71" i="52" s="1"/>
  <c r="AJ71" i="52" s="1"/>
  <c r="AH70" i="52"/>
  <c r="AI70" i="52" s="1"/>
  <c r="AJ70" i="52" s="1"/>
  <c r="AH69" i="52"/>
  <c r="AI69" i="52" s="1"/>
  <c r="AJ69" i="52" s="1"/>
  <c r="AH68" i="52"/>
  <c r="AI68" i="52" s="1"/>
  <c r="AJ68" i="52" s="1"/>
  <c r="W94" i="52"/>
  <c r="X94" i="52" s="1"/>
  <c r="Y94" i="52" s="1"/>
  <c r="W93" i="52"/>
  <c r="X93" i="52" s="1"/>
  <c r="Y93" i="52" s="1"/>
  <c r="W92" i="52"/>
  <c r="X92" i="52" s="1"/>
  <c r="Y92" i="52" s="1"/>
  <c r="W91" i="52"/>
  <c r="X91" i="52" s="1"/>
  <c r="Y91" i="52" s="1"/>
  <c r="W90" i="52"/>
  <c r="X90" i="52" s="1"/>
  <c r="Y90" i="52" s="1"/>
  <c r="W89" i="52"/>
  <c r="X89" i="52" s="1"/>
  <c r="Y89" i="52" s="1"/>
  <c r="W88" i="52"/>
  <c r="X88" i="52" s="1"/>
  <c r="Y88" i="52" s="1"/>
  <c r="W87" i="52"/>
  <c r="X87" i="52" s="1"/>
  <c r="Y87" i="52" s="1"/>
  <c r="W86" i="52"/>
  <c r="X86" i="52" s="1"/>
  <c r="Y86" i="52" s="1"/>
  <c r="W85" i="52"/>
  <c r="X85" i="52" s="1"/>
  <c r="Y85" i="52" s="1"/>
  <c r="W84" i="52"/>
  <c r="X84" i="52" s="1"/>
  <c r="Y84" i="52" s="1"/>
  <c r="W83" i="52"/>
  <c r="X83" i="52" s="1"/>
  <c r="Y83" i="52" s="1"/>
  <c r="W82" i="52"/>
  <c r="X82" i="52" s="1"/>
  <c r="Y82" i="52" s="1"/>
  <c r="W81" i="52"/>
  <c r="X81" i="52" s="1"/>
  <c r="Y81" i="52" s="1"/>
  <c r="W80" i="52"/>
  <c r="X80" i="52" s="1"/>
  <c r="Y80" i="52" s="1"/>
  <c r="W79" i="52"/>
  <c r="X79" i="52" s="1"/>
  <c r="Y79" i="52" s="1"/>
  <c r="W78" i="52"/>
  <c r="X78" i="52" s="1"/>
  <c r="Y78" i="52" s="1"/>
  <c r="W77" i="52"/>
  <c r="X77" i="52" s="1"/>
  <c r="Y77" i="52" s="1"/>
  <c r="W76" i="52"/>
  <c r="X76" i="52" s="1"/>
  <c r="Y76" i="52" s="1"/>
  <c r="W75" i="52"/>
  <c r="X75" i="52" s="1"/>
  <c r="Y75" i="52" s="1"/>
  <c r="W74" i="52"/>
  <c r="X74" i="52" s="1"/>
  <c r="Y74" i="52" s="1"/>
  <c r="W73" i="52"/>
  <c r="X73" i="52" s="1"/>
  <c r="Y73" i="52" s="1"/>
  <c r="W72" i="52"/>
  <c r="X72" i="52" s="1"/>
  <c r="Y72" i="52" s="1"/>
  <c r="W71" i="52"/>
  <c r="X71" i="52" s="1"/>
  <c r="Y71" i="52" s="1"/>
  <c r="W70" i="52"/>
  <c r="X70" i="52" s="1"/>
  <c r="Y70" i="52" s="1"/>
  <c r="W69" i="52"/>
  <c r="X69" i="52" s="1"/>
  <c r="Y69" i="52" s="1"/>
  <c r="W68" i="52"/>
  <c r="X68" i="52" s="1"/>
  <c r="Y68" i="52" s="1"/>
  <c r="AH95" i="52" l="1"/>
  <c r="AK88" i="52" s="1"/>
  <c r="W95" i="52"/>
  <c r="Z88" i="52" s="1"/>
  <c r="Z158" i="54"/>
  <c r="Z161" i="54"/>
  <c r="AP146" i="54"/>
  <c r="AP163" i="54"/>
  <c r="AP138" i="54"/>
  <c r="AP159" i="54"/>
  <c r="AP164" i="54"/>
  <c r="AP155" i="54"/>
  <c r="AP148" i="54"/>
  <c r="AP151" i="54"/>
  <c r="AP144" i="54"/>
  <c r="AP147" i="54"/>
  <c r="AP140" i="54"/>
  <c r="AP133" i="54"/>
  <c r="AP162" i="54"/>
  <c r="AP136" i="54"/>
  <c r="AP154" i="54"/>
  <c r="AP126" i="54"/>
  <c r="AP111" i="54"/>
  <c r="AP118" i="54"/>
  <c r="AP119" i="54"/>
  <c r="AP110" i="54"/>
  <c r="AP102" i="54"/>
  <c r="AP103" i="54"/>
  <c r="AP127" i="54"/>
  <c r="AP107" i="54"/>
  <c r="AP114" i="54"/>
  <c r="AP125" i="54"/>
  <c r="AP99" i="54"/>
  <c r="AP106" i="54"/>
  <c r="AP117" i="54"/>
  <c r="AP104" i="54"/>
  <c r="AP98" i="54"/>
  <c r="AP109" i="54"/>
  <c r="AP124" i="54"/>
  <c r="AP121" i="54"/>
  <c r="AP101" i="54"/>
  <c r="AP108" i="54"/>
  <c r="AP113" i="54"/>
  <c r="AP116" i="54"/>
  <c r="AP115" i="54"/>
  <c r="AP105" i="54"/>
  <c r="AP97" i="54"/>
  <c r="AP100" i="54"/>
  <c r="AP112" i="54"/>
  <c r="AP128" i="54"/>
  <c r="AP123" i="54"/>
  <c r="AP122" i="54"/>
  <c r="AP120" i="54"/>
  <c r="AP143" i="54"/>
  <c r="AP160" i="54"/>
  <c r="AP139" i="54"/>
  <c r="AP137" i="54"/>
  <c r="AP145" i="54"/>
  <c r="AP153" i="54"/>
  <c r="AP161" i="54"/>
  <c r="AP142" i="54"/>
  <c r="AP150" i="54"/>
  <c r="AP141" i="54"/>
  <c r="AP149" i="54"/>
  <c r="AP157" i="54"/>
  <c r="AP134" i="54"/>
  <c r="AP158" i="54"/>
  <c r="AP135" i="54"/>
  <c r="AP152" i="54"/>
  <c r="Z154" i="54"/>
  <c r="Z157" i="54"/>
  <c r="Z150" i="54"/>
  <c r="Z152" i="54"/>
  <c r="Z144" i="54"/>
  <c r="Z139" i="54"/>
  <c r="Z136" i="54"/>
  <c r="Z155" i="54"/>
  <c r="Z140" i="54"/>
  <c r="Z148" i="54"/>
  <c r="Z156" i="54"/>
  <c r="Z164" i="54"/>
  <c r="Z147" i="54"/>
  <c r="Z160" i="54"/>
  <c r="Z163" i="54"/>
  <c r="Z142" i="54"/>
  <c r="Z149" i="54"/>
  <c r="Z159" i="54"/>
  <c r="Z138" i="54"/>
  <c r="Z145" i="54"/>
  <c r="Z151" i="54"/>
  <c r="Z162" i="54"/>
  <c r="Z141" i="54"/>
  <c r="Z143" i="54"/>
  <c r="Z146" i="54"/>
  <c r="Z137" i="54"/>
  <c r="Z135" i="54"/>
  <c r="Z134" i="54"/>
  <c r="Z133" i="54"/>
  <c r="AO133" i="54"/>
  <c r="AO97" i="54"/>
  <c r="Z98" i="54"/>
  <c r="Z106" i="54"/>
  <c r="Z114" i="54"/>
  <c r="Z122" i="54"/>
  <c r="Z109" i="54"/>
  <c r="Z125" i="54"/>
  <c r="Z111" i="54"/>
  <c r="Z107" i="54"/>
  <c r="Z115" i="54"/>
  <c r="Z123" i="54"/>
  <c r="Z117" i="54"/>
  <c r="Z103" i="54"/>
  <c r="Z100" i="54"/>
  <c r="Z108" i="54"/>
  <c r="Z116" i="54"/>
  <c r="Z124" i="54"/>
  <c r="Z101" i="54"/>
  <c r="Z119" i="54"/>
  <c r="Z102" i="54"/>
  <c r="Z110" i="54"/>
  <c r="Z118" i="54"/>
  <c r="Z126" i="54"/>
  <c r="Z127" i="54"/>
  <c r="Z104" i="54"/>
  <c r="Z112" i="54"/>
  <c r="Z120" i="54"/>
  <c r="Z128" i="54"/>
  <c r="Z105" i="54"/>
  <c r="Z113" i="54"/>
  <c r="Z121" i="54"/>
  <c r="Z97" i="54"/>
  <c r="Z99" i="54"/>
  <c r="S98" i="53"/>
  <c r="V66" i="53" s="1"/>
  <c r="AO98" i="53"/>
  <c r="AP66" i="53"/>
  <c r="AQ66" i="53" s="1"/>
  <c r="AD98" i="53"/>
  <c r="AG89" i="53" s="1"/>
  <c r="AQ91" i="53"/>
  <c r="AQ77" i="53"/>
  <c r="AQ93" i="53"/>
  <c r="AQ71" i="53"/>
  <c r="AQ87" i="53"/>
  <c r="AQ67" i="53"/>
  <c r="AQ83" i="53"/>
  <c r="AQ69" i="53"/>
  <c r="AQ75" i="53"/>
  <c r="AQ73" i="53"/>
  <c r="AQ89" i="53"/>
  <c r="AQ79" i="53"/>
  <c r="AQ95" i="53"/>
  <c r="AQ85" i="53"/>
  <c r="AQ81" i="53"/>
  <c r="AQ97" i="53"/>
  <c r="AQ68" i="53"/>
  <c r="AQ70" i="53"/>
  <c r="AQ72" i="53"/>
  <c r="AQ74" i="53"/>
  <c r="AQ76" i="53"/>
  <c r="AQ78" i="53"/>
  <c r="AQ80" i="53"/>
  <c r="AQ82" i="53"/>
  <c r="AQ84" i="53"/>
  <c r="AQ86" i="53"/>
  <c r="AQ88" i="53"/>
  <c r="AQ90" i="53"/>
  <c r="AQ92" i="53"/>
  <c r="AQ94" i="53"/>
  <c r="AQ96" i="53"/>
  <c r="AF71" i="53"/>
  <c r="AF87" i="53"/>
  <c r="AF77" i="53"/>
  <c r="AF93" i="53"/>
  <c r="AF83" i="53"/>
  <c r="AF73" i="53"/>
  <c r="AF89" i="53"/>
  <c r="AF67" i="53"/>
  <c r="AF79" i="53"/>
  <c r="AF95" i="53"/>
  <c r="AF69" i="53"/>
  <c r="AF85" i="53"/>
  <c r="AF75" i="53"/>
  <c r="AF91" i="53"/>
  <c r="AF81" i="53"/>
  <c r="AF97" i="53"/>
  <c r="AF66" i="53"/>
  <c r="AF68" i="53"/>
  <c r="AF70" i="53"/>
  <c r="AF72" i="53"/>
  <c r="AF74" i="53"/>
  <c r="AF76" i="53"/>
  <c r="AF78" i="53"/>
  <c r="AF80" i="53"/>
  <c r="AF82" i="53"/>
  <c r="AF84" i="53"/>
  <c r="AF86" i="53"/>
  <c r="AF88" i="53"/>
  <c r="AF90" i="53"/>
  <c r="AF92" i="53"/>
  <c r="AF94" i="53"/>
  <c r="AF96" i="53"/>
  <c r="U66" i="53"/>
  <c r="U67" i="53"/>
  <c r="U68" i="53"/>
  <c r="U69" i="53"/>
  <c r="U70" i="53"/>
  <c r="T71" i="53"/>
  <c r="U76" i="53"/>
  <c r="U82" i="53"/>
  <c r="U72" i="53"/>
  <c r="U88" i="53"/>
  <c r="U78" i="53"/>
  <c r="U94" i="53"/>
  <c r="U86" i="53"/>
  <c r="U84" i="53"/>
  <c r="U74" i="53"/>
  <c r="U90" i="53"/>
  <c r="U92" i="53"/>
  <c r="U80" i="53"/>
  <c r="U96" i="53"/>
  <c r="U73" i="53"/>
  <c r="U75" i="53"/>
  <c r="U77" i="53"/>
  <c r="U79" i="53"/>
  <c r="U81" i="53"/>
  <c r="U83" i="53"/>
  <c r="U85" i="53"/>
  <c r="U87" i="53"/>
  <c r="U89" i="53"/>
  <c r="U91" i="53"/>
  <c r="U93" i="53"/>
  <c r="U95" i="53"/>
  <c r="U97" i="53"/>
  <c r="AI66" i="17"/>
  <c r="AJ66" i="17" s="1"/>
  <c r="AK66" i="17" s="1"/>
  <c r="AI65" i="17"/>
  <c r="AJ65" i="17" s="1"/>
  <c r="AK65" i="17" s="1"/>
  <c r="AI64" i="17"/>
  <c r="AJ64" i="17" s="1"/>
  <c r="AK64" i="17" s="1"/>
  <c r="AI63" i="17"/>
  <c r="AJ63" i="17" s="1"/>
  <c r="AK63" i="17" s="1"/>
  <c r="AI62" i="17"/>
  <c r="AJ62" i="17" s="1"/>
  <c r="AK62" i="17" s="1"/>
  <c r="AI61" i="17"/>
  <c r="AJ61" i="17" s="1"/>
  <c r="AK61" i="17" s="1"/>
  <c r="AI60" i="17"/>
  <c r="AJ60" i="17" s="1"/>
  <c r="AK60" i="17" s="1"/>
  <c r="AI59" i="17"/>
  <c r="AJ59" i="17" s="1"/>
  <c r="AK59" i="17" s="1"/>
  <c r="AI58" i="17"/>
  <c r="AJ58" i="17" s="1"/>
  <c r="AK58" i="17" s="1"/>
  <c r="AI57" i="17"/>
  <c r="AJ57" i="17" s="1"/>
  <c r="AK57" i="17" s="1"/>
  <c r="AI56" i="17"/>
  <c r="AJ56" i="17" s="1"/>
  <c r="AK56" i="17" s="1"/>
  <c r="AI55" i="17"/>
  <c r="AJ55" i="17" s="1"/>
  <c r="AK55" i="17" s="1"/>
  <c r="AI54" i="17"/>
  <c r="AJ54" i="17" s="1"/>
  <c r="AK54" i="17" s="1"/>
  <c r="AI53" i="17"/>
  <c r="AJ53" i="17" s="1"/>
  <c r="AK53" i="17" s="1"/>
  <c r="AI52" i="17"/>
  <c r="AJ52" i="17" s="1"/>
  <c r="AK52" i="17" s="1"/>
  <c r="AI51" i="17"/>
  <c r="AJ51" i="17" s="1"/>
  <c r="AK51" i="17" s="1"/>
  <c r="AI50" i="17"/>
  <c r="AJ50" i="17" s="1"/>
  <c r="AK50" i="17" s="1"/>
  <c r="AI49" i="17"/>
  <c r="AJ49" i="17" s="1"/>
  <c r="AK49" i="17" s="1"/>
  <c r="AI48" i="17"/>
  <c r="AJ48" i="17" s="1"/>
  <c r="AK48" i="17" s="1"/>
  <c r="AI47" i="17"/>
  <c r="AJ47" i="17" s="1"/>
  <c r="AK47" i="17" s="1"/>
  <c r="AI46" i="17"/>
  <c r="AJ46" i="17" s="1"/>
  <c r="AK46" i="17" s="1"/>
  <c r="AI45" i="17"/>
  <c r="AJ45" i="17" s="1"/>
  <c r="AK45" i="17" s="1"/>
  <c r="AI44" i="17"/>
  <c r="AJ44" i="17" s="1"/>
  <c r="AK44" i="17" s="1"/>
  <c r="AI42" i="17"/>
  <c r="AJ42" i="17" s="1"/>
  <c r="AK42" i="17" s="1"/>
  <c r="AI41" i="17"/>
  <c r="AJ41" i="17" s="1"/>
  <c r="AK41" i="17" s="1"/>
  <c r="AI40" i="17"/>
  <c r="AJ40" i="17" s="1"/>
  <c r="AK40" i="17" s="1"/>
  <c r="AI39" i="17"/>
  <c r="AJ39" i="17" s="1"/>
  <c r="AK39" i="17" s="1"/>
  <c r="AI38" i="17"/>
  <c r="AJ38" i="17" s="1"/>
  <c r="AK38" i="17" s="1"/>
  <c r="AI37" i="17"/>
  <c r="AJ37" i="17" s="1"/>
  <c r="AK37" i="17" s="1"/>
  <c r="AI35" i="17"/>
  <c r="AJ35" i="17" s="1"/>
  <c r="AK35" i="17" s="1"/>
  <c r="AI34" i="17"/>
  <c r="AJ34" i="17" s="1"/>
  <c r="AK34" i="17" s="1"/>
  <c r="V69" i="53" l="1"/>
  <c r="V76" i="53"/>
  <c r="V75" i="53"/>
  <c r="V72" i="53"/>
  <c r="V91" i="53"/>
  <c r="V79" i="53"/>
  <c r="AK87" i="52"/>
  <c r="AK90" i="52"/>
  <c r="AK85" i="52"/>
  <c r="AK79" i="52"/>
  <c r="AK77" i="52"/>
  <c r="AK68" i="52"/>
  <c r="AK76" i="52"/>
  <c r="AK93" i="52"/>
  <c r="AK73" i="52"/>
  <c r="AK75" i="52"/>
  <c r="AK72" i="52"/>
  <c r="AK82" i="52"/>
  <c r="AK81" i="52"/>
  <c r="AK83" i="52"/>
  <c r="AK70" i="52"/>
  <c r="AK89" i="52"/>
  <c r="AK91" i="52"/>
  <c r="AK78" i="52"/>
  <c r="AK92" i="52"/>
  <c r="AK84" i="52"/>
  <c r="AK94" i="52"/>
  <c r="AK71" i="52"/>
  <c r="AK74" i="52"/>
  <c r="AK69" i="52"/>
  <c r="AK80" i="52"/>
  <c r="AK86" i="52"/>
  <c r="Z83" i="52"/>
  <c r="Z93" i="52"/>
  <c r="Z92" i="52"/>
  <c r="Z94" i="52"/>
  <c r="Z68" i="52"/>
  <c r="Z91" i="52"/>
  <c r="Z70" i="52"/>
  <c r="Z72" i="52"/>
  <c r="Z76" i="52"/>
  <c r="Z78" i="52"/>
  <c r="Z80" i="52"/>
  <c r="Z84" i="52"/>
  <c r="Z86" i="52"/>
  <c r="Z90" i="52"/>
  <c r="Z74" i="52"/>
  <c r="Z82" i="52"/>
  <c r="Z69" i="52"/>
  <c r="Z71" i="52"/>
  <c r="Z73" i="52"/>
  <c r="Z77" i="52"/>
  <c r="Z79" i="52"/>
  <c r="Z81" i="52"/>
  <c r="Z75" i="52"/>
  <c r="Z85" i="52"/>
  <c r="Z87" i="52"/>
  <c r="Z89" i="52"/>
  <c r="AI67" i="17"/>
  <c r="V89" i="53"/>
  <c r="V93" i="53"/>
  <c r="V70" i="53"/>
  <c r="V95" i="53"/>
  <c r="V82" i="53"/>
  <c r="V85" i="53"/>
  <c r="V73" i="53"/>
  <c r="V88" i="53"/>
  <c r="V80" i="53"/>
  <c r="V84" i="53"/>
  <c r="V97" i="53"/>
  <c r="V81" i="53"/>
  <c r="V96" i="53"/>
  <c r="V68" i="53"/>
  <c r="V71" i="53"/>
  <c r="V94" i="53"/>
  <c r="V90" i="53"/>
  <c r="V83" i="53"/>
  <c r="V86" i="53"/>
  <c r="V74" i="53"/>
  <c r="V67" i="53"/>
  <c r="AR83" i="53"/>
  <c r="AR86" i="53"/>
  <c r="AR96" i="53"/>
  <c r="AG84" i="53"/>
  <c r="AG77" i="53"/>
  <c r="AR92" i="53"/>
  <c r="AG75" i="53"/>
  <c r="AR89" i="53"/>
  <c r="AR74" i="53"/>
  <c r="AG78" i="53"/>
  <c r="AR84" i="53"/>
  <c r="AG76" i="53"/>
  <c r="AR93" i="53"/>
  <c r="AG81" i="53"/>
  <c r="AR81" i="53"/>
  <c r="AR94" i="53"/>
  <c r="AG79" i="53"/>
  <c r="V77" i="53"/>
  <c r="V87" i="53"/>
  <c r="V92" i="53"/>
  <c r="V78" i="53"/>
  <c r="AR97" i="53"/>
  <c r="AR79" i="53"/>
  <c r="AR69" i="53"/>
  <c r="AR71" i="53"/>
  <c r="AR70" i="53"/>
  <c r="AG93" i="53"/>
  <c r="AR78" i="53"/>
  <c r="AG95" i="53"/>
  <c r="AG97" i="53"/>
  <c r="AG94" i="53"/>
  <c r="AR80" i="53"/>
  <c r="AR68" i="53"/>
  <c r="AR88" i="53"/>
  <c r="AG68" i="53"/>
  <c r="AG90" i="53"/>
  <c r="AG86" i="53"/>
  <c r="AG83" i="53"/>
  <c r="AG87" i="53"/>
  <c r="AR72" i="53"/>
  <c r="AR82" i="53"/>
  <c r="AG70" i="53"/>
  <c r="AG74" i="53"/>
  <c r="AR85" i="53"/>
  <c r="AR73" i="53"/>
  <c r="AR67" i="53"/>
  <c r="AR77" i="53"/>
  <c r="AG67" i="53"/>
  <c r="AG71" i="53"/>
  <c r="AG96" i="53"/>
  <c r="AR66" i="53"/>
  <c r="AG82" i="53"/>
  <c r="AG73" i="53"/>
  <c r="AG91" i="53"/>
  <c r="AG85" i="53"/>
  <c r="AG92" i="53"/>
  <c r="AG66" i="53"/>
  <c r="AR95" i="53"/>
  <c r="AR75" i="53"/>
  <c r="AR87" i="53"/>
  <c r="AR91" i="53"/>
  <c r="AR90" i="53"/>
  <c r="AR76" i="53"/>
  <c r="AG80" i="53"/>
  <c r="AG69" i="53"/>
  <c r="AG88" i="53"/>
  <c r="AG72" i="53"/>
  <c r="U71" i="53"/>
  <c r="AL40" i="17" l="1"/>
  <c r="AL49" i="17"/>
  <c r="AL57" i="17"/>
  <c r="AL65" i="17"/>
  <c r="AL41" i="17"/>
  <c r="AL50" i="17"/>
  <c r="AL58" i="17"/>
  <c r="AL66" i="17"/>
  <c r="AL42" i="17"/>
  <c r="AL51" i="17"/>
  <c r="AL59" i="17"/>
  <c r="AL34" i="17"/>
  <c r="AL35" i="17"/>
  <c r="AL44" i="17"/>
  <c r="AL52" i="17"/>
  <c r="AL60" i="17"/>
  <c r="AL45" i="17"/>
  <c r="AL53" i="17"/>
  <c r="AL61" i="17"/>
  <c r="AL37" i="17"/>
  <c r="AL46" i="17"/>
  <c r="AL54" i="17"/>
  <c r="AL62" i="17"/>
  <c r="AL38" i="17"/>
  <c r="AL47" i="17"/>
  <c r="AL55" i="17"/>
  <c r="AL63" i="17"/>
  <c r="AL39" i="17"/>
  <c r="AL48" i="17"/>
  <c r="AL56" i="17"/>
  <c r="AL64" i="17"/>
  <c r="AK36" i="17"/>
  <c r="AL36" i="17"/>
  <c r="AY3" i="9" l="1"/>
  <c r="AZ3" i="9" s="1"/>
  <c r="BA3" i="9" s="1"/>
  <c r="AY5" i="9"/>
  <c r="AZ5" i="9" s="1"/>
  <c r="BA5" i="9" s="1"/>
  <c r="AY6" i="9"/>
  <c r="AY7" i="9"/>
  <c r="AZ7" i="9" s="1"/>
  <c r="BA7" i="9" s="1"/>
  <c r="AY9" i="9"/>
  <c r="AZ9" i="9" s="1"/>
  <c r="BA9" i="9" s="1"/>
  <c r="AY10" i="9"/>
  <c r="AZ10" i="9" s="1"/>
  <c r="BA10" i="9" s="1"/>
  <c r="AY11" i="9"/>
  <c r="AZ11" i="9" s="1"/>
  <c r="BA11" i="9" s="1"/>
  <c r="AY12" i="9"/>
  <c r="AZ12" i="9" s="1"/>
  <c r="BA12" i="9" s="1"/>
  <c r="AY13" i="9"/>
  <c r="AZ13" i="9" s="1"/>
  <c r="BA13" i="9" s="1"/>
  <c r="AY14" i="9"/>
  <c r="AZ14" i="9" s="1"/>
  <c r="BA14" i="9" s="1"/>
  <c r="AY15" i="9"/>
  <c r="AY16" i="9"/>
  <c r="AZ16" i="9" s="1"/>
  <c r="BA16" i="9" s="1"/>
  <c r="AY17" i="9"/>
  <c r="AZ17" i="9" s="1"/>
  <c r="BA17" i="9" s="1"/>
  <c r="AY18" i="9"/>
  <c r="AY19" i="9"/>
  <c r="AZ19" i="9" s="1"/>
  <c r="BA19" i="9" s="1"/>
  <c r="AY20" i="9"/>
  <c r="AZ20" i="9" s="1"/>
  <c r="BA20" i="9" s="1"/>
  <c r="AY21" i="9"/>
  <c r="AZ21" i="9" s="1"/>
  <c r="BA21" i="9" s="1"/>
  <c r="AY22" i="9"/>
  <c r="AZ22" i="9" s="1"/>
  <c r="BA22" i="9" s="1"/>
  <c r="AY23" i="9"/>
  <c r="AZ23" i="9" s="1"/>
  <c r="BA23" i="9" s="1"/>
  <c r="AY24" i="9"/>
  <c r="AZ24" i="9" s="1"/>
  <c r="BA24" i="9" s="1"/>
  <c r="AY25" i="9"/>
  <c r="AZ25" i="9" s="1"/>
  <c r="BA25" i="9" s="1"/>
  <c r="AY26" i="9"/>
  <c r="AZ26" i="9" s="1"/>
  <c r="BA26" i="9" s="1"/>
  <c r="AY27" i="9"/>
  <c r="AZ27" i="9" s="1"/>
  <c r="BA27" i="9" s="1"/>
  <c r="AY28" i="9"/>
  <c r="AZ28" i="9" s="1"/>
  <c r="BA28" i="9" s="1"/>
  <c r="AY29" i="9"/>
  <c r="AZ29" i="9" s="1"/>
  <c r="BA29" i="9" s="1"/>
  <c r="AY30" i="9"/>
  <c r="AZ30" i="9" s="1"/>
  <c r="BA30" i="9" s="1"/>
  <c r="AY31" i="9"/>
  <c r="AY32" i="9"/>
  <c r="AZ32" i="9" s="1"/>
  <c r="BA32" i="9" s="1"/>
  <c r="AY33" i="9"/>
  <c r="AZ33" i="9" s="1"/>
  <c r="BA33" i="9" s="1"/>
  <c r="AY2" i="9"/>
  <c r="AZ2" i="9" s="1"/>
  <c r="BA2" i="9" s="1"/>
  <c r="AZ6" i="9"/>
  <c r="BA6" i="9" s="1"/>
  <c r="BA8" i="9"/>
  <c r="AZ15" i="9"/>
  <c r="BA15" i="9" s="1"/>
  <c r="AZ18" i="9"/>
  <c r="BA18" i="9" s="1"/>
  <c r="AZ31" i="9"/>
  <c r="BA31" i="9" s="1"/>
  <c r="AY34" i="9" l="1"/>
  <c r="BB8" i="9" s="1"/>
  <c r="AA67" i="2"/>
  <c r="AB67" i="2" s="1"/>
  <c r="AA66" i="2"/>
  <c r="AB66" i="2" s="1"/>
  <c r="AA65" i="2"/>
  <c r="AA64" i="2"/>
  <c r="AA63" i="2"/>
  <c r="AB63" i="2" s="1"/>
  <c r="AA62" i="2"/>
  <c r="AA61" i="2"/>
  <c r="AA60" i="2"/>
  <c r="AB60" i="2" s="1"/>
  <c r="AA59" i="2"/>
  <c r="AB59" i="2" s="1"/>
  <c r="AA58" i="2"/>
  <c r="AB58" i="2" s="1"/>
  <c r="AA57" i="2"/>
  <c r="AA56" i="2"/>
  <c r="AB56" i="2" s="1"/>
  <c r="AA55" i="2"/>
  <c r="AB55" i="2" s="1"/>
  <c r="AA54" i="2"/>
  <c r="AA53" i="2"/>
  <c r="AA52" i="2"/>
  <c r="AB52" i="2" s="1"/>
  <c r="AA51" i="2"/>
  <c r="AB51" i="2" s="1"/>
  <c r="AA50" i="2"/>
  <c r="AB50" i="2" s="1"/>
  <c r="AA49" i="2"/>
  <c r="AA48" i="2"/>
  <c r="AA47" i="2"/>
  <c r="AB47" i="2" s="1"/>
  <c r="AA46" i="2"/>
  <c r="AA45" i="2"/>
  <c r="AB45" i="2" s="1"/>
  <c r="AA44" i="2"/>
  <c r="AB44" i="2" s="1"/>
  <c r="AA43" i="2"/>
  <c r="AB43" i="2" s="1"/>
  <c r="AA41" i="2"/>
  <c r="AA40" i="2"/>
  <c r="AA39" i="2"/>
  <c r="AA37" i="2"/>
  <c r="AB37" i="2" s="1"/>
  <c r="AA36" i="2"/>
  <c r="AB36" i="2" s="1"/>
  <c r="AB40" i="2"/>
  <c r="AB41" i="2"/>
  <c r="AB46" i="2"/>
  <c r="AB48" i="2"/>
  <c r="AB49" i="2"/>
  <c r="AB53" i="2"/>
  <c r="AB54" i="2"/>
  <c r="AB57" i="2"/>
  <c r="AB61" i="2"/>
  <c r="AB62" i="2"/>
  <c r="AB64" i="2"/>
  <c r="AB65" i="2"/>
  <c r="AC37" i="69"/>
  <c r="AC40" i="69"/>
  <c r="AC48" i="69"/>
  <c r="AC56" i="69"/>
  <c r="AC64" i="69"/>
  <c r="AB40" i="69"/>
  <c r="AB41" i="69"/>
  <c r="AC41" i="69" s="1"/>
  <c r="AB44" i="69"/>
  <c r="AB48" i="69"/>
  <c r="AB49" i="69"/>
  <c r="AC49" i="69" s="1"/>
  <c r="AB52" i="69"/>
  <c r="AB56" i="69"/>
  <c r="AB57" i="69"/>
  <c r="AC57" i="69" s="1"/>
  <c r="AB60" i="69"/>
  <c r="AB64" i="69"/>
  <c r="AB65" i="69"/>
  <c r="AC65" i="69" s="1"/>
  <c r="AA36" i="69"/>
  <c r="AB36" i="69" s="1"/>
  <c r="AA38" i="69"/>
  <c r="AB38" i="69" s="1"/>
  <c r="AC38" i="69" s="1"/>
  <c r="AA39" i="69"/>
  <c r="AB39" i="69" s="1"/>
  <c r="AA40" i="69"/>
  <c r="AA41" i="69"/>
  <c r="AA42" i="69"/>
  <c r="AB42" i="69" s="1"/>
  <c r="AA43" i="69"/>
  <c r="AB43" i="69" s="1"/>
  <c r="AA44" i="69"/>
  <c r="AA45" i="69"/>
  <c r="AB45" i="69" s="1"/>
  <c r="AA46" i="69"/>
  <c r="AB46" i="69" s="1"/>
  <c r="AA47" i="69"/>
  <c r="AB47" i="69" s="1"/>
  <c r="AA48" i="69"/>
  <c r="AA49" i="69"/>
  <c r="AA50" i="69"/>
  <c r="AB50" i="69" s="1"/>
  <c r="AA51" i="69"/>
  <c r="AB51" i="69" s="1"/>
  <c r="AA52" i="69"/>
  <c r="AA53" i="69"/>
  <c r="AB53" i="69" s="1"/>
  <c r="AA54" i="69"/>
  <c r="AB54" i="69" s="1"/>
  <c r="AA55" i="69"/>
  <c r="AB55" i="69" s="1"/>
  <c r="AA56" i="69"/>
  <c r="AA57" i="69"/>
  <c r="AA58" i="69"/>
  <c r="AB58" i="69" s="1"/>
  <c r="AA59" i="69"/>
  <c r="AB59" i="69" s="1"/>
  <c r="AA60" i="69"/>
  <c r="AA61" i="69"/>
  <c r="AB61" i="69" s="1"/>
  <c r="AA62" i="69"/>
  <c r="AB62" i="69" s="1"/>
  <c r="AA63" i="69"/>
  <c r="AB63" i="69" s="1"/>
  <c r="AA64" i="69"/>
  <c r="AA65" i="69"/>
  <c r="AA66" i="69"/>
  <c r="AB66" i="69" s="1"/>
  <c r="AA35" i="69"/>
  <c r="BB7" i="9" l="1"/>
  <c r="BB19" i="9"/>
  <c r="BB30" i="9"/>
  <c r="BB11" i="9"/>
  <c r="BB26" i="9"/>
  <c r="BB21" i="9"/>
  <c r="BB33" i="9"/>
  <c r="BB5" i="9"/>
  <c r="BB25" i="9"/>
  <c r="BB6" i="9"/>
  <c r="BB29" i="9"/>
  <c r="BB31" i="9"/>
  <c r="BB28" i="9"/>
  <c r="BB17" i="9"/>
  <c r="BB2" i="9"/>
  <c r="BB23" i="9"/>
  <c r="BB27" i="9"/>
  <c r="BB32" i="9"/>
  <c r="BB15" i="9"/>
  <c r="BB13" i="9"/>
  <c r="BB3" i="9"/>
  <c r="BB9" i="9"/>
  <c r="BB24" i="9"/>
  <c r="BB22" i="9"/>
  <c r="BB20" i="9"/>
  <c r="BB18" i="9"/>
  <c r="BB16" i="9"/>
  <c r="BB14" i="9"/>
  <c r="BB12" i="9"/>
  <c r="BB10" i="9"/>
  <c r="AC66" i="69"/>
  <c r="AC39" i="69"/>
  <c r="AD58" i="69"/>
  <c r="AC58" i="69"/>
  <c r="AC63" i="69"/>
  <c r="AC62" i="69"/>
  <c r="AC46" i="69"/>
  <c r="AD45" i="69"/>
  <c r="AC45" i="69"/>
  <c r="AC50" i="69"/>
  <c r="AC47" i="69"/>
  <c r="AC61" i="69"/>
  <c r="AD42" i="69"/>
  <c r="AC42" i="69"/>
  <c r="AC55" i="69"/>
  <c r="AC54" i="69"/>
  <c r="AC53" i="69"/>
  <c r="AD36" i="69"/>
  <c r="AC36" i="69"/>
  <c r="AC59" i="69"/>
  <c r="AC51" i="69"/>
  <c r="AC43" i="69"/>
  <c r="AD44" i="69"/>
  <c r="AD40" i="69"/>
  <c r="AA67" i="69"/>
  <c r="AD57" i="69" s="1"/>
  <c r="AB35" i="69"/>
  <c r="AD41" i="69"/>
  <c r="AC60" i="69"/>
  <c r="AC52" i="69"/>
  <c r="AC44" i="69"/>
  <c r="AB39" i="2"/>
  <c r="AB42" i="2"/>
  <c r="AB38" i="2"/>
  <c r="BA4" i="9"/>
  <c r="BB4" i="9"/>
  <c r="AC37" i="2"/>
  <c r="AD37" i="2" s="1"/>
  <c r="AC38" i="2"/>
  <c r="AC39" i="2"/>
  <c r="AD39" i="2" s="1"/>
  <c r="AC40" i="2"/>
  <c r="AD40" i="2" s="1"/>
  <c r="AC41" i="2"/>
  <c r="AD41" i="2" s="1"/>
  <c r="AC42" i="2"/>
  <c r="AC43" i="2"/>
  <c r="AD43" i="2" s="1"/>
  <c r="AC44" i="2"/>
  <c r="AD44" i="2" s="1"/>
  <c r="AC45" i="2"/>
  <c r="AD45" i="2" s="1"/>
  <c r="AC46" i="2"/>
  <c r="AD46" i="2" s="1"/>
  <c r="AC47" i="2"/>
  <c r="AD47" i="2" s="1"/>
  <c r="AC48" i="2"/>
  <c r="AD48" i="2" s="1"/>
  <c r="AC49" i="2"/>
  <c r="AD49" i="2" s="1"/>
  <c r="AC50" i="2"/>
  <c r="AD50" i="2" s="1"/>
  <c r="AC51" i="2"/>
  <c r="AD51" i="2" s="1"/>
  <c r="AC52" i="2"/>
  <c r="AD52" i="2" s="1"/>
  <c r="AC53" i="2"/>
  <c r="AD53" i="2" s="1"/>
  <c r="AC54" i="2"/>
  <c r="AD54" i="2" s="1"/>
  <c r="AC55" i="2"/>
  <c r="AD55" i="2" s="1"/>
  <c r="AC56" i="2"/>
  <c r="AD56" i="2" s="1"/>
  <c r="AC57" i="2"/>
  <c r="AD57" i="2" s="1"/>
  <c r="AC58" i="2"/>
  <c r="AD58" i="2" s="1"/>
  <c r="AC59" i="2"/>
  <c r="AD59" i="2" s="1"/>
  <c r="AC60" i="2"/>
  <c r="AD60" i="2" s="1"/>
  <c r="AC61" i="2"/>
  <c r="AD61" i="2" s="1"/>
  <c r="AC62" i="2"/>
  <c r="AD62" i="2" s="1"/>
  <c r="AC63" i="2"/>
  <c r="AD63" i="2" s="1"/>
  <c r="AC64" i="2"/>
  <c r="AD64" i="2" s="1"/>
  <c r="AC65" i="2"/>
  <c r="AD65" i="2" s="1"/>
  <c r="AC66" i="2"/>
  <c r="AD66" i="2" s="1"/>
  <c r="AC67" i="2"/>
  <c r="AD67" i="2" s="1"/>
  <c r="AC36" i="2"/>
  <c r="AD36" i="2" s="1"/>
  <c r="AD64" i="69" l="1"/>
  <c r="AD49" i="69"/>
  <c r="AD59" i="69"/>
  <c r="AD55" i="69"/>
  <c r="AD50" i="69"/>
  <c r="AD63" i="69"/>
  <c r="AD65" i="69"/>
  <c r="AD52" i="69"/>
  <c r="AD35" i="69"/>
  <c r="AC35" i="69"/>
  <c r="AD68" i="2"/>
  <c r="AE40" i="2" s="1"/>
  <c r="AD48" i="69"/>
  <c r="AD43" i="69"/>
  <c r="AD53" i="69"/>
  <c r="AD61" i="69"/>
  <c r="AD46" i="69"/>
  <c r="AD39" i="69"/>
  <c r="AD38" i="69"/>
  <c r="AD37" i="69"/>
  <c r="AD56" i="69"/>
  <c r="AD60" i="69"/>
  <c r="AD51" i="69"/>
  <c r="AD54" i="69"/>
  <c r="AD47" i="69"/>
  <c r="AD62" i="69"/>
  <c r="AD66" i="69"/>
  <c r="AE67" i="2" l="1"/>
  <c r="AE37" i="2"/>
  <c r="AE56" i="2"/>
  <c r="AE65" i="2"/>
  <c r="AE57" i="2"/>
  <c r="AE41" i="2"/>
  <c r="AE44" i="2"/>
  <c r="AE64" i="2"/>
  <c r="AE63" i="2"/>
  <c r="AE55" i="2"/>
  <c r="AE46" i="2"/>
  <c r="AE61" i="2"/>
  <c r="AE48" i="2"/>
  <c r="AE53" i="2"/>
  <c r="AE59" i="2"/>
  <c r="AE49" i="2"/>
  <c r="AE45" i="2"/>
  <c r="AE51" i="2"/>
  <c r="AE39" i="2"/>
  <c r="AE43" i="2"/>
  <c r="AE47" i="2"/>
  <c r="AE36" i="2"/>
  <c r="AE66" i="2"/>
  <c r="AE42" i="2"/>
  <c r="AE62" i="2"/>
  <c r="AE58" i="2"/>
  <c r="AE60" i="2"/>
  <c r="AE38" i="2"/>
  <c r="AE54" i="2"/>
  <c r="AE52" i="2"/>
  <c r="AE50" i="2"/>
  <c r="C56" i="55" l="1"/>
  <c r="C52" i="55"/>
  <c r="M56" i="55"/>
  <c r="M52" i="55"/>
  <c r="L56" i="55"/>
  <c r="L52" i="55"/>
  <c r="B56" i="55"/>
  <c r="B52" i="55"/>
  <c r="M56" i="54"/>
  <c r="M52" i="54"/>
  <c r="E56" i="54"/>
  <c r="E52" i="54"/>
  <c r="L56" i="54"/>
  <c r="J56" i="54"/>
  <c r="L52" i="54"/>
  <c r="J52" i="54"/>
  <c r="D56" i="54"/>
  <c r="B56" i="54"/>
  <c r="D52" i="54"/>
  <c r="B52" i="54"/>
  <c r="K56" i="53" l="1"/>
  <c r="K52" i="53"/>
  <c r="J56" i="53"/>
  <c r="I56" i="53"/>
  <c r="J52" i="53"/>
  <c r="I52" i="53"/>
  <c r="D56" i="53"/>
  <c r="D52" i="53"/>
  <c r="C56" i="53"/>
  <c r="B56" i="53"/>
  <c r="C52" i="53"/>
  <c r="B52" i="53"/>
  <c r="M58" i="51" l="1"/>
  <c r="L58" i="51"/>
  <c r="M54" i="51"/>
  <c r="L54" i="51"/>
  <c r="C58" i="51"/>
  <c r="C54" i="51"/>
  <c r="B58" i="51"/>
  <c r="B54" i="51"/>
  <c r="N40" i="79"/>
  <c r="N36" i="79"/>
  <c r="Q40" i="9"/>
  <c r="Q36" i="9"/>
  <c r="O40" i="69"/>
  <c r="O36" i="69"/>
  <c r="O40" i="2"/>
  <c r="O36" i="2"/>
  <c r="AJ37" i="54" l="1"/>
  <c r="AI37" i="54"/>
  <c r="AH37" i="54"/>
  <c r="AG37" i="54"/>
  <c r="AJ36" i="54"/>
  <c r="AI36" i="54"/>
  <c r="AH36" i="54"/>
  <c r="AG36" i="54"/>
  <c r="V37" i="54"/>
  <c r="U37" i="54"/>
  <c r="T37" i="54"/>
  <c r="S37" i="54"/>
  <c r="V36" i="54"/>
  <c r="U36" i="54"/>
  <c r="T36" i="54"/>
  <c r="S36" i="54"/>
  <c r="I37" i="82"/>
  <c r="G37" i="82"/>
  <c r="I36" i="82"/>
  <c r="G36" i="82"/>
  <c r="O35" i="56" l="1"/>
  <c r="N35" i="56"/>
  <c r="M35" i="56"/>
  <c r="L35" i="56"/>
  <c r="K35" i="56"/>
  <c r="O34" i="56"/>
  <c r="N34" i="56"/>
  <c r="M34" i="56"/>
  <c r="L34" i="56"/>
  <c r="K34" i="56"/>
  <c r="O33" i="56"/>
  <c r="N33" i="56"/>
  <c r="M33" i="56"/>
  <c r="L33" i="56"/>
  <c r="L39" i="56" s="1"/>
  <c r="R37" i="56" s="1"/>
  <c r="R38" i="56" s="1"/>
  <c r="R39" i="56" s="1"/>
  <c r="K33" i="56"/>
  <c r="O32" i="56"/>
  <c r="N32" i="56"/>
  <c r="M32" i="56"/>
  <c r="L32" i="56"/>
  <c r="K32" i="56"/>
  <c r="O31" i="56"/>
  <c r="N31" i="56"/>
  <c r="M31" i="56"/>
  <c r="L31" i="56"/>
  <c r="K31" i="56"/>
  <c r="O30" i="56"/>
  <c r="N30" i="56"/>
  <c r="M30" i="56"/>
  <c r="L30" i="56"/>
  <c r="K30" i="56"/>
  <c r="O29" i="56"/>
  <c r="N29" i="56"/>
  <c r="M29" i="56"/>
  <c r="L29" i="56"/>
  <c r="K29" i="56"/>
  <c r="O28" i="56"/>
  <c r="N28" i="56"/>
  <c r="M28" i="56"/>
  <c r="L28" i="56"/>
  <c r="K28" i="56"/>
  <c r="O27" i="56"/>
  <c r="N27" i="56"/>
  <c r="M27" i="56"/>
  <c r="L27" i="56"/>
  <c r="K27" i="56"/>
  <c r="O26" i="56"/>
  <c r="N26" i="56"/>
  <c r="M26" i="56"/>
  <c r="L26" i="56"/>
  <c r="K26" i="56"/>
  <c r="O25" i="56"/>
  <c r="N25" i="56"/>
  <c r="M25" i="56"/>
  <c r="L25" i="56"/>
  <c r="K25" i="56"/>
  <c r="O24" i="56"/>
  <c r="E120" i="56" s="1"/>
  <c r="N24" i="56"/>
  <c r="M24" i="56"/>
  <c r="L24" i="56"/>
  <c r="K24" i="56"/>
  <c r="O23" i="56"/>
  <c r="N23" i="56"/>
  <c r="M23" i="56"/>
  <c r="L23" i="56"/>
  <c r="B119" i="56" s="1"/>
  <c r="K23" i="56"/>
  <c r="O22" i="56"/>
  <c r="N22" i="56"/>
  <c r="M22" i="56"/>
  <c r="L22" i="56"/>
  <c r="K22" i="56"/>
  <c r="O21" i="56"/>
  <c r="N21" i="56"/>
  <c r="D117" i="56" s="1"/>
  <c r="M21" i="56"/>
  <c r="L21" i="56"/>
  <c r="K21" i="56"/>
  <c r="O20" i="56"/>
  <c r="N20" i="56"/>
  <c r="M20" i="56"/>
  <c r="L20" i="56"/>
  <c r="K20" i="56"/>
  <c r="A116" i="56" s="1"/>
  <c r="O19" i="56"/>
  <c r="N19" i="56"/>
  <c r="M19" i="56"/>
  <c r="L19" i="56"/>
  <c r="K19" i="56"/>
  <c r="O18" i="56"/>
  <c r="N18" i="56"/>
  <c r="M18" i="56"/>
  <c r="C114" i="56" s="1"/>
  <c r="L18" i="56"/>
  <c r="K18" i="56"/>
  <c r="O17" i="56"/>
  <c r="N17" i="56"/>
  <c r="M17" i="56"/>
  <c r="L17" i="56"/>
  <c r="K17" i="56"/>
  <c r="O16" i="56"/>
  <c r="N16" i="56"/>
  <c r="M16" i="56"/>
  <c r="L16" i="56"/>
  <c r="K16" i="56"/>
  <c r="O15" i="56"/>
  <c r="N15" i="56"/>
  <c r="M15" i="56"/>
  <c r="L15" i="56"/>
  <c r="K15" i="56"/>
  <c r="O14" i="56"/>
  <c r="N14" i="56"/>
  <c r="M14" i="56"/>
  <c r="L14" i="56"/>
  <c r="K14" i="56"/>
  <c r="O13" i="56"/>
  <c r="N13" i="56"/>
  <c r="M13" i="56"/>
  <c r="L13" i="56"/>
  <c r="K13" i="56"/>
  <c r="O12" i="56"/>
  <c r="N12" i="56"/>
  <c r="M12" i="56"/>
  <c r="L12" i="56"/>
  <c r="K12" i="56"/>
  <c r="O11" i="56"/>
  <c r="N11" i="56"/>
  <c r="M11" i="56"/>
  <c r="L11" i="56"/>
  <c r="K11" i="56"/>
  <c r="O10" i="56"/>
  <c r="N10" i="56"/>
  <c r="M10" i="56"/>
  <c r="L10" i="56"/>
  <c r="K10" i="56"/>
  <c r="O9" i="56"/>
  <c r="N9" i="56"/>
  <c r="M9" i="56"/>
  <c r="L9" i="56"/>
  <c r="K9" i="56"/>
  <c r="O8" i="56"/>
  <c r="N8" i="56"/>
  <c r="M8" i="56"/>
  <c r="L8" i="56"/>
  <c r="K8" i="56"/>
  <c r="O7" i="56"/>
  <c r="N7" i="56"/>
  <c r="M7" i="56"/>
  <c r="L7" i="56"/>
  <c r="K7" i="56"/>
  <c r="O6" i="56"/>
  <c r="N6" i="56"/>
  <c r="M6" i="56"/>
  <c r="L6" i="56"/>
  <c r="K6" i="56"/>
  <c r="O5" i="56"/>
  <c r="N5" i="56"/>
  <c r="M5" i="56"/>
  <c r="L5" i="56"/>
  <c r="K5" i="56"/>
  <c r="O4" i="56"/>
  <c r="N4" i="56"/>
  <c r="M4" i="56"/>
  <c r="L4" i="56"/>
  <c r="K4" i="56"/>
  <c r="B4" i="56"/>
  <c r="A121" i="56" l="1"/>
  <c r="L36" i="56"/>
  <c r="B113" i="56"/>
  <c r="E114" i="56"/>
  <c r="C116" i="56"/>
  <c r="A118" i="56"/>
  <c r="D119" i="56"/>
  <c r="B121" i="56"/>
  <c r="L47" i="56"/>
  <c r="L48" i="56"/>
  <c r="L43" i="56"/>
  <c r="L44" i="56"/>
  <c r="L46" i="56"/>
  <c r="L45" i="56"/>
  <c r="E117" i="56"/>
  <c r="C113" i="56"/>
  <c r="M36" i="56"/>
  <c r="A115" i="56"/>
  <c r="D116" i="56"/>
  <c r="B118" i="56"/>
  <c r="E119" i="56"/>
  <c r="C121" i="56"/>
  <c r="B116" i="56"/>
  <c r="P43" i="56"/>
  <c r="D113" i="56"/>
  <c r="N36" i="56"/>
  <c r="B115" i="56"/>
  <c r="E116" i="56"/>
  <c r="C118" i="56"/>
  <c r="A120" i="56"/>
  <c r="D121" i="56"/>
  <c r="C119" i="56"/>
  <c r="O36" i="56"/>
  <c r="E113" i="56"/>
  <c r="C115" i="56"/>
  <c r="A117" i="56"/>
  <c r="D118" i="56"/>
  <c r="B120" i="56"/>
  <c r="E121" i="56"/>
  <c r="A113" i="56"/>
  <c r="K36" i="56"/>
  <c r="A114" i="56"/>
  <c r="D115" i="56"/>
  <c r="B117" i="56"/>
  <c r="E118" i="56"/>
  <c r="C120" i="56"/>
  <c r="D114" i="56"/>
  <c r="B114" i="56"/>
  <c r="E115" i="56"/>
  <c r="C117" i="56"/>
  <c r="A119" i="56"/>
  <c r="D120" i="56"/>
  <c r="L37" i="56"/>
  <c r="O37" i="56"/>
  <c r="L38" i="56"/>
  <c r="K37" i="56"/>
  <c r="M37" i="56"/>
  <c r="M38" i="56" s="1"/>
  <c r="N37" i="56"/>
  <c r="M43" i="56" l="1"/>
  <c r="M44" i="56"/>
  <c r="M47" i="56"/>
  <c r="M45" i="56"/>
  <c r="M46" i="56"/>
  <c r="M48" i="56"/>
  <c r="K43" i="56"/>
  <c r="K44" i="56"/>
  <c r="K47" i="56"/>
  <c r="K45" i="56"/>
  <c r="K48" i="56"/>
  <c r="K46" i="56"/>
  <c r="N44" i="56"/>
  <c r="N45" i="56"/>
  <c r="N46" i="56"/>
  <c r="N47" i="56"/>
  <c r="N48" i="56"/>
  <c r="N43" i="56"/>
  <c r="O46" i="56"/>
  <c r="O44" i="56"/>
  <c r="O47" i="56"/>
  <c r="O45" i="56"/>
  <c r="O43" i="56"/>
  <c r="O48" i="56"/>
  <c r="N38" i="56"/>
  <c r="O38" i="56"/>
  <c r="K38" i="56"/>
  <c r="P5" i="56"/>
  <c r="P7" i="56"/>
  <c r="P15" i="56"/>
  <c r="P23" i="56"/>
  <c r="P33" i="56"/>
  <c r="P35" i="56"/>
  <c r="P12" i="56"/>
  <c r="P20" i="56"/>
  <c r="P28" i="56"/>
  <c r="P4" i="56"/>
  <c r="P17" i="56"/>
  <c r="P25" i="56"/>
  <c r="P31" i="56"/>
  <c r="P9" i="56"/>
  <c r="P6" i="56"/>
  <c r="P14" i="56"/>
  <c r="P22" i="56"/>
  <c r="P30" i="56"/>
  <c r="P11" i="56"/>
  <c r="P19" i="56"/>
  <c r="P27" i="56"/>
  <c r="P8" i="56"/>
  <c r="P16" i="56"/>
  <c r="P24" i="56"/>
  <c r="P34" i="56"/>
  <c r="P13" i="56"/>
  <c r="P21" i="56"/>
  <c r="P29" i="56"/>
  <c r="P10" i="56"/>
  <c r="P18" i="56"/>
  <c r="P26" i="56"/>
  <c r="P32" i="56"/>
  <c r="Q35" i="55"/>
  <c r="P35" i="55"/>
  <c r="O35" i="55"/>
  <c r="N35" i="55"/>
  <c r="M35" i="55"/>
  <c r="L35" i="55"/>
  <c r="Q34" i="55"/>
  <c r="P34" i="55"/>
  <c r="O34" i="55"/>
  <c r="N34" i="55"/>
  <c r="M34" i="55"/>
  <c r="L34" i="55"/>
  <c r="Q33" i="55"/>
  <c r="P33" i="55"/>
  <c r="O33" i="55"/>
  <c r="N33" i="55"/>
  <c r="M33" i="55"/>
  <c r="L33" i="55"/>
  <c r="Q32" i="55"/>
  <c r="P32" i="55"/>
  <c r="O32" i="55"/>
  <c r="N32" i="55"/>
  <c r="M32" i="55"/>
  <c r="L32" i="55"/>
  <c r="Q31" i="55"/>
  <c r="P31" i="55"/>
  <c r="O31" i="55"/>
  <c r="N31" i="55"/>
  <c r="M31" i="55"/>
  <c r="L31" i="55"/>
  <c r="Q30" i="55"/>
  <c r="P30" i="55"/>
  <c r="O30" i="55"/>
  <c r="N30" i="55"/>
  <c r="M30" i="55"/>
  <c r="L30" i="55"/>
  <c r="Q29" i="55"/>
  <c r="P29" i="55"/>
  <c r="O29" i="55"/>
  <c r="N29" i="55"/>
  <c r="M29" i="55"/>
  <c r="L29" i="55"/>
  <c r="Q28" i="55"/>
  <c r="P28" i="55"/>
  <c r="O28" i="55"/>
  <c r="N28" i="55"/>
  <c r="M28" i="55"/>
  <c r="L28" i="55"/>
  <c r="Q27" i="55"/>
  <c r="P27" i="55"/>
  <c r="O27" i="55"/>
  <c r="N27" i="55"/>
  <c r="M27" i="55"/>
  <c r="L27" i="55"/>
  <c r="Q26" i="55"/>
  <c r="P26" i="55"/>
  <c r="O26" i="55"/>
  <c r="N26" i="55"/>
  <c r="M26" i="55"/>
  <c r="L26" i="55"/>
  <c r="Q25" i="55"/>
  <c r="P25" i="55"/>
  <c r="O25" i="55"/>
  <c r="N25" i="55"/>
  <c r="M25" i="55"/>
  <c r="L25" i="55"/>
  <c r="Q24" i="55"/>
  <c r="P24" i="55"/>
  <c r="O24" i="55"/>
  <c r="G128" i="55" s="1"/>
  <c r="N24" i="55"/>
  <c r="M24" i="55"/>
  <c r="L24" i="55"/>
  <c r="Q23" i="55"/>
  <c r="P23" i="55"/>
  <c r="O23" i="55"/>
  <c r="N23" i="55"/>
  <c r="M23" i="55"/>
  <c r="E127" i="55" s="1"/>
  <c r="L23" i="55"/>
  <c r="Q22" i="55"/>
  <c r="P22" i="55"/>
  <c r="O22" i="55"/>
  <c r="N22" i="55"/>
  <c r="M22" i="55"/>
  <c r="L22" i="55"/>
  <c r="Q21" i="55"/>
  <c r="P21" i="55"/>
  <c r="O21" i="55"/>
  <c r="N21" i="55"/>
  <c r="M21" i="55"/>
  <c r="L21" i="55"/>
  <c r="Q20" i="55"/>
  <c r="P20" i="55"/>
  <c r="O20" i="55"/>
  <c r="G124" i="55" s="1"/>
  <c r="N20" i="55"/>
  <c r="M20" i="55"/>
  <c r="L20" i="55"/>
  <c r="Q19" i="55"/>
  <c r="P19" i="55"/>
  <c r="O19" i="55"/>
  <c r="N19" i="55"/>
  <c r="M19" i="55"/>
  <c r="E123" i="55" s="1"/>
  <c r="L19" i="55"/>
  <c r="Q18" i="55"/>
  <c r="P18" i="55"/>
  <c r="O18" i="55"/>
  <c r="N18" i="55"/>
  <c r="F122" i="55" s="1"/>
  <c r="M18" i="55"/>
  <c r="L18" i="55"/>
  <c r="Q17" i="55"/>
  <c r="P17" i="55"/>
  <c r="O17" i="55"/>
  <c r="N17" i="55"/>
  <c r="M17" i="55"/>
  <c r="L17" i="55"/>
  <c r="Q16" i="55"/>
  <c r="P16" i="55"/>
  <c r="O16" i="55"/>
  <c r="N16" i="55"/>
  <c r="M16" i="55"/>
  <c r="L16" i="55"/>
  <c r="Q15" i="55"/>
  <c r="P15" i="55"/>
  <c r="O15" i="55"/>
  <c r="N15" i="55"/>
  <c r="M15" i="55"/>
  <c r="L15" i="55"/>
  <c r="Q14" i="55"/>
  <c r="P14" i="55"/>
  <c r="O14" i="55"/>
  <c r="N14" i="55"/>
  <c r="M14" i="55"/>
  <c r="L14" i="55"/>
  <c r="Q13" i="55"/>
  <c r="P13" i="55"/>
  <c r="O13" i="55"/>
  <c r="N13" i="55"/>
  <c r="M13" i="55"/>
  <c r="L13" i="55"/>
  <c r="Q12" i="55"/>
  <c r="P12" i="55"/>
  <c r="O12" i="55"/>
  <c r="N12" i="55"/>
  <c r="M12" i="55"/>
  <c r="L12" i="55"/>
  <c r="Q11" i="55"/>
  <c r="P11" i="55"/>
  <c r="O11" i="55"/>
  <c r="N11" i="55"/>
  <c r="M11" i="55"/>
  <c r="L11" i="55"/>
  <c r="Q10" i="55"/>
  <c r="P10" i="55"/>
  <c r="O10" i="55"/>
  <c r="N10" i="55"/>
  <c r="M10" i="55"/>
  <c r="L10" i="55"/>
  <c r="Q9" i="55"/>
  <c r="P9" i="55"/>
  <c r="O9" i="55"/>
  <c r="N9" i="55"/>
  <c r="M9" i="55"/>
  <c r="L9" i="55"/>
  <c r="Q8" i="55"/>
  <c r="P8" i="55"/>
  <c r="O8" i="55"/>
  <c r="N8" i="55"/>
  <c r="M8" i="55"/>
  <c r="L8" i="55"/>
  <c r="Q7" i="55"/>
  <c r="P7" i="55"/>
  <c r="O7" i="55"/>
  <c r="N7" i="55"/>
  <c r="M7" i="55"/>
  <c r="L7" i="55"/>
  <c r="Q6" i="55"/>
  <c r="P6" i="55"/>
  <c r="O6" i="55"/>
  <c r="N6" i="55"/>
  <c r="M6" i="55"/>
  <c r="L6" i="55"/>
  <c r="Q5" i="55"/>
  <c r="P5" i="55"/>
  <c r="O5" i="55"/>
  <c r="N5" i="55"/>
  <c r="M5" i="55"/>
  <c r="L5" i="55"/>
  <c r="Q4" i="55"/>
  <c r="P4" i="55"/>
  <c r="O4" i="55"/>
  <c r="N4" i="55"/>
  <c r="M4" i="55"/>
  <c r="L4" i="55"/>
  <c r="B4" i="55"/>
  <c r="C4" i="55"/>
  <c r="D4" i="55"/>
  <c r="E4" i="55"/>
  <c r="F4" i="55"/>
  <c r="G4" i="55"/>
  <c r="B5" i="55"/>
  <c r="C5" i="55"/>
  <c r="D5" i="55"/>
  <c r="E5" i="55"/>
  <c r="F5" i="55"/>
  <c r="G5" i="55"/>
  <c r="B6" i="55"/>
  <c r="C6" i="55"/>
  <c r="D6" i="55"/>
  <c r="E6" i="55"/>
  <c r="F6" i="55"/>
  <c r="G6" i="55"/>
  <c r="B7" i="55"/>
  <c r="C7" i="55"/>
  <c r="D7" i="55"/>
  <c r="E7" i="55"/>
  <c r="F7" i="55"/>
  <c r="G7" i="55"/>
  <c r="B8" i="55"/>
  <c r="C8" i="55"/>
  <c r="D8" i="55"/>
  <c r="E8" i="55"/>
  <c r="F8" i="55"/>
  <c r="G8" i="55"/>
  <c r="B9" i="55"/>
  <c r="C9" i="55"/>
  <c r="D9" i="55"/>
  <c r="E9" i="55"/>
  <c r="F9" i="55"/>
  <c r="G9" i="55"/>
  <c r="B10" i="55"/>
  <c r="C10" i="55"/>
  <c r="D10" i="55"/>
  <c r="E10" i="55"/>
  <c r="F10" i="55"/>
  <c r="G10" i="55"/>
  <c r="B11" i="55"/>
  <c r="C11" i="55"/>
  <c r="D11" i="55"/>
  <c r="E11" i="55"/>
  <c r="F11" i="55"/>
  <c r="G11" i="55"/>
  <c r="B12" i="55"/>
  <c r="C12" i="55"/>
  <c r="D12" i="55"/>
  <c r="E12" i="55"/>
  <c r="F12" i="55"/>
  <c r="G12" i="55"/>
  <c r="B13" i="55"/>
  <c r="C13" i="55"/>
  <c r="D13" i="55"/>
  <c r="E13" i="55"/>
  <c r="F13" i="55"/>
  <c r="G13" i="55"/>
  <c r="B14" i="55"/>
  <c r="C14" i="55"/>
  <c r="D14" i="55"/>
  <c r="E14" i="55"/>
  <c r="F14" i="55"/>
  <c r="G14" i="55"/>
  <c r="B15" i="55"/>
  <c r="C15" i="55"/>
  <c r="D15" i="55"/>
  <c r="E15" i="55"/>
  <c r="F15" i="55"/>
  <c r="G15" i="55"/>
  <c r="B16" i="55"/>
  <c r="C16" i="55"/>
  <c r="D16" i="55"/>
  <c r="E16" i="55"/>
  <c r="F16" i="55"/>
  <c r="G16" i="55"/>
  <c r="B17" i="55"/>
  <c r="C17" i="55"/>
  <c r="D17" i="55"/>
  <c r="E17" i="55"/>
  <c r="F17" i="55"/>
  <c r="G17" i="55"/>
  <c r="B18" i="55"/>
  <c r="C18" i="55"/>
  <c r="D18" i="55"/>
  <c r="E18" i="55"/>
  <c r="F18" i="55"/>
  <c r="G18" i="55"/>
  <c r="B19" i="55"/>
  <c r="C19" i="55"/>
  <c r="D19" i="55"/>
  <c r="E19" i="55"/>
  <c r="F19" i="55"/>
  <c r="G19" i="55"/>
  <c r="B20" i="55"/>
  <c r="C20" i="55"/>
  <c r="D20" i="55"/>
  <c r="E20" i="55"/>
  <c r="F20" i="55"/>
  <c r="H141" i="55" s="1"/>
  <c r="G20" i="55"/>
  <c r="B21" i="55"/>
  <c r="C21" i="55"/>
  <c r="D21" i="55"/>
  <c r="E21" i="55"/>
  <c r="F21" i="55"/>
  <c r="G21" i="55"/>
  <c r="B22" i="55"/>
  <c r="C22" i="55"/>
  <c r="D22" i="55"/>
  <c r="E22" i="55"/>
  <c r="F22" i="55"/>
  <c r="G22" i="55"/>
  <c r="B23" i="55"/>
  <c r="C23" i="55"/>
  <c r="E144" i="55" s="1"/>
  <c r="D23" i="55"/>
  <c r="F144" i="55" s="1"/>
  <c r="E23" i="55"/>
  <c r="F23" i="55"/>
  <c r="G23" i="55"/>
  <c r="B24" i="55"/>
  <c r="C24" i="55"/>
  <c r="D24" i="55"/>
  <c r="E24" i="55"/>
  <c r="F24" i="55"/>
  <c r="H145" i="55" s="1"/>
  <c r="G24" i="55"/>
  <c r="B25" i="55"/>
  <c r="C25" i="55"/>
  <c r="D25" i="55"/>
  <c r="E25" i="55"/>
  <c r="F25" i="55"/>
  <c r="G25" i="55"/>
  <c r="I146" i="55" s="1"/>
  <c r="B26" i="55"/>
  <c r="C26" i="55"/>
  <c r="D26" i="55"/>
  <c r="E26" i="55"/>
  <c r="F26" i="55"/>
  <c r="G26" i="55"/>
  <c r="B27" i="55"/>
  <c r="C27" i="55"/>
  <c r="D27" i="55"/>
  <c r="E27" i="55"/>
  <c r="F27" i="55"/>
  <c r="G27" i="55"/>
  <c r="B28" i="55"/>
  <c r="C28" i="55"/>
  <c r="D28" i="55"/>
  <c r="E28" i="55"/>
  <c r="F28" i="55"/>
  <c r="G28" i="55"/>
  <c r="B29" i="55"/>
  <c r="C29" i="55"/>
  <c r="D29" i="55"/>
  <c r="E29" i="55"/>
  <c r="F29" i="55"/>
  <c r="G29" i="55"/>
  <c r="B30" i="55"/>
  <c r="C30" i="55"/>
  <c r="D30" i="55"/>
  <c r="E30" i="55"/>
  <c r="F30" i="55"/>
  <c r="G30" i="55"/>
  <c r="B31" i="55"/>
  <c r="C31" i="55"/>
  <c r="D31" i="55"/>
  <c r="E31" i="55"/>
  <c r="F31" i="55"/>
  <c r="G31" i="55"/>
  <c r="B32" i="55"/>
  <c r="C32" i="55"/>
  <c r="D32" i="55"/>
  <c r="E32" i="55"/>
  <c r="F32" i="55"/>
  <c r="G32" i="55"/>
  <c r="B33" i="55"/>
  <c r="C33" i="55"/>
  <c r="D33" i="55"/>
  <c r="E33" i="55"/>
  <c r="F33" i="55"/>
  <c r="G33" i="55"/>
  <c r="B34" i="55"/>
  <c r="C34" i="55"/>
  <c r="D34" i="55"/>
  <c r="E34" i="55"/>
  <c r="F34" i="55"/>
  <c r="G34" i="55"/>
  <c r="B35" i="55"/>
  <c r="C35" i="55"/>
  <c r="D35" i="55"/>
  <c r="E35" i="55"/>
  <c r="F35" i="55"/>
  <c r="G35" i="55"/>
  <c r="M35" i="54"/>
  <c r="L35" i="54"/>
  <c r="K35" i="54"/>
  <c r="J35" i="54"/>
  <c r="M34" i="54"/>
  <c r="L34" i="54"/>
  <c r="K34" i="54"/>
  <c r="J34" i="54"/>
  <c r="M33" i="54"/>
  <c r="L33" i="54"/>
  <c r="K33" i="54"/>
  <c r="J33" i="54"/>
  <c r="M32" i="54"/>
  <c r="L32" i="54"/>
  <c r="K32" i="54"/>
  <c r="J32" i="54"/>
  <c r="M31" i="54"/>
  <c r="L31" i="54"/>
  <c r="K31" i="54"/>
  <c r="J31" i="54"/>
  <c r="M30" i="54"/>
  <c r="L30" i="54"/>
  <c r="K30" i="54"/>
  <c r="J30" i="54"/>
  <c r="M29" i="54"/>
  <c r="L29" i="54"/>
  <c r="K29" i="54"/>
  <c r="J29" i="54"/>
  <c r="M28" i="54"/>
  <c r="L28" i="54"/>
  <c r="K28" i="54"/>
  <c r="J28" i="54"/>
  <c r="M27" i="54"/>
  <c r="L27" i="54"/>
  <c r="K27" i="54"/>
  <c r="J27" i="54"/>
  <c r="M26" i="54"/>
  <c r="L26" i="54"/>
  <c r="K26" i="54"/>
  <c r="J26" i="54"/>
  <c r="M25" i="54"/>
  <c r="L25" i="54"/>
  <c r="K25" i="54"/>
  <c r="J25" i="54"/>
  <c r="M24" i="54"/>
  <c r="L24" i="54"/>
  <c r="K24" i="54"/>
  <c r="J24" i="54"/>
  <c r="M23" i="54"/>
  <c r="L23" i="54"/>
  <c r="K23" i="54"/>
  <c r="J23" i="54"/>
  <c r="J128" i="54" s="1"/>
  <c r="M22" i="54"/>
  <c r="L22" i="54"/>
  <c r="K22" i="54"/>
  <c r="J22" i="54"/>
  <c r="M21" i="54"/>
  <c r="L21" i="54"/>
  <c r="K21" i="54"/>
  <c r="J21" i="54"/>
  <c r="J126" i="54" s="1"/>
  <c r="M20" i="54"/>
  <c r="L20" i="54"/>
  <c r="K20" i="54"/>
  <c r="J20" i="54"/>
  <c r="M19" i="54"/>
  <c r="L19" i="54"/>
  <c r="K19" i="54"/>
  <c r="J19" i="54"/>
  <c r="J124" i="54" s="1"/>
  <c r="M18" i="54"/>
  <c r="L18" i="54"/>
  <c r="K18" i="54"/>
  <c r="K123" i="54" s="1"/>
  <c r="J18" i="54"/>
  <c r="M17" i="54"/>
  <c r="L17" i="54"/>
  <c r="K17" i="54"/>
  <c r="J17" i="54"/>
  <c r="M16" i="54"/>
  <c r="L16" i="54"/>
  <c r="K16" i="54"/>
  <c r="J16" i="54"/>
  <c r="M15" i="54"/>
  <c r="L15" i="54"/>
  <c r="K15" i="54"/>
  <c r="J15" i="54"/>
  <c r="M14" i="54"/>
  <c r="L14" i="54"/>
  <c r="K14" i="54"/>
  <c r="J14" i="54"/>
  <c r="M13" i="54"/>
  <c r="L13" i="54"/>
  <c r="K13" i="54"/>
  <c r="J13" i="54"/>
  <c r="M12" i="54"/>
  <c r="L12" i="54"/>
  <c r="K12" i="54"/>
  <c r="J12" i="54"/>
  <c r="M11" i="54"/>
  <c r="L11" i="54"/>
  <c r="K11" i="54"/>
  <c r="J11" i="54"/>
  <c r="M10" i="54"/>
  <c r="L10" i="54"/>
  <c r="K10" i="54"/>
  <c r="J10" i="54"/>
  <c r="M9" i="54"/>
  <c r="L9" i="54"/>
  <c r="K9" i="54"/>
  <c r="J9" i="54"/>
  <c r="M8" i="54"/>
  <c r="L8" i="54"/>
  <c r="K8" i="54"/>
  <c r="J8" i="54"/>
  <c r="M7" i="54"/>
  <c r="L7" i="54"/>
  <c r="K7" i="54"/>
  <c r="J7" i="54"/>
  <c r="M6" i="54"/>
  <c r="L6" i="54"/>
  <c r="K6" i="54"/>
  <c r="J6" i="54"/>
  <c r="M5" i="54"/>
  <c r="L5" i="54"/>
  <c r="K5" i="54"/>
  <c r="J5" i="54"/>
  <c r="M4" i="54"/>
  <c r="L4" i="54"/>
  <c r="K4" i="54"/>
  <c r="J4" i="54"/>
  <c r="Q30" i="56" l="1"/>
  <c r="I142" i="55"/>
  <c r="E140" i="55"/>
  <c r="D122" i="55"/>
  <c r="F123" i="55"/>
  <c r="H124" i="55"/>
  <c r="D126" i="55"/>
  <c r="F127" i="55"/>
  <c r="H128" i="55"/>
  <c r="I125" i="55"/>
  <c r="F145" i="55"/>
  <c r="D144" i="55"/>
  <c r="E122" i="55"/>
  <c r="G123" i="55"/>
  <c r="I124" i="55"/>
  <c r="E126" i="55"/>
  <c r="G127" i="55"/>
  <c r="I128" i="55"/>
  <c r="D121" i="55"/>
  <c r="L36" i="55"/>
  <c r="H123" i="55"/>
  <c r="D125" i="55"/>
  <c r="F126" i="55"/>
  <c r="H127" i="55"/>
  <c r="D129" i="55"/>
  <c r="I121" i="55"/>
  <c r="Q36" i="55"/>
  <c r="F146" i="55"/>
  <c r="M36" i="55"/>
  <c r="E121" i="55"/>
  <c r="G122" i="55"/>
  <c r="I123" i="55"/>
  <c r="E125" i="55"/>
  <c r="G126" i="55"/>
  <c r="I127" i="55"/>
  <c r="E129" i="55"/>
  <c r="N36" i="55"/>
  <c r="F121" i="55"/>
  <c r="H122" i="55"/>
  <c r="D124" i="55"/>
  <c r="F125" i="55"/>
  <c r="H126" i="55"/>
  <c r="D128" i="55"/>
  <c r="F129" i="55"/>
  <c r="I129" i="55"/>
  <c r="D146" i="55"/>
  <c r="F143" i="55"/>
  <c r="G121" i="55"/>
  <c r="O36" i="55"/>
  <c r="I122" i="55"/>
  <c r="E124" i="55"/>
  <c r="G125" i="55"/>
  <c r="I126" i="55"/>
  <c r="E128" i="55"/>
  <c r="G129" i="55"/>
  <c r="G144" i="55"/>
  <c r="G140" i="55"/>
  <c r="H121" i="55"/>
  <c r="P36" i="55"/>
  <c r="D123" i="55"/>
  <c r="F124" i="55"/>
  <c r="H125" i="55"/>
  <c r="D127" i="55"/>
  <c r="F128" i="55"/>
  <c r="H129" i="55"/>
  <c r="M123" i="54"/>
  <c r="M125" i="54"/>
  <c r="M127" i="54"/>
  <c r="M129" i="54"/>
  <c r="J130" i="54"/>
  <c r="K36" i="54"/>
  <c r="K122" i="54"/>
  <c r="K124" i="54"/>
  <c r="K126" i="54"/>
  <c r="K128" i="54"/>
  <c r="K130" i="54"/>
  <c r="L36" i="54"/>
  <c r="L38" i="54" s="1"/>
  <c r="L122" i="54"/>
  <c r="L124" i="54"/>
  <c r="L126" i="54"/>
  <c r="L128" i="54"/>
  <c r="L130" i="54"/>
  <c r="M36" i="54"/>
  <c r="M122" i="54"/>
  <c r="M124" i="54"/>
  <c r="M126" i="54"/>
  <c r="M128" i="54"/>
  <c r="M130" i="54"/>
  <c r="J123" i="54"/>
  <c r="J125" i="54"/>
  <c r="J127" i="54"/>
  <c r="J129" i="54"/>
  <c r="J122" i="54"/>
  <c r="J36" i="54"/>
  <c r="K125" i="54"/>
  <c r="K127" i="54"/>
  <c r="K129" i="54"/>
  <c r="L123" i="54"/>
  <c r="L125" i="54"/>
  <c r="L127" i="54"/>
  <c r="L129" i="54"/>
  <c r="I138" i="55"/>
  <c r="G36" i="55"/>
  <c r="I139" i="55"/>
  <c r="I143" i="55"/>
  <c r="I140" i="55"/>
  <c r="I144" i="55"/>
  <c r="I145" i="55"/>
  <c r="I141" i="55"/>
  <c r="H142" i="55"/>
  <c r="H138" i="55"/>
  <c r="F36" i="55"/>
  <c r="H146" i="55"/>
  <c r="H143" i="55"/>
  <c r="H139" i="55"/>
  <c r="H140" i="55"/>
  <c r="H144" i="55"/>
  <c r="G145" i="55"/>
  <c r="G141" i="55"/>
  <c r="G146" i="55"/>
  <c r="G142" i="55"/>
  <c r="G138" i="55"/>
  <c r="E36" i="55"/>
  <c r="G143" i="55"/>
  <c r="G139" i="55"/>
  <c r="F140" i="55"/>
  <c r="F141" i="55"/>
  <c r="F142" i="55"/>
  <c r="F138" i="55"/>
  <c r="D36" i="55"/>
  <c r="F139" i="55"/>
  <c r="E141" i="55"/>
  <c r="E145" i="55"/>
  <c r="E142" i="55"/>
  <c r="E138" i="55"/>
  <c r="C55" i="55"/>
  <c r="C57" i="55" s="1"/>
  <c r="C36" i="55"/>
  <c r="E146" i="55"/>
  <c r="E143" i="55"/>
  <c r="E139" i="55"/>
  <c r="D143" i="55"/>
  <c r="D139" i="55"/>
  <c r="D140" i="55"/>
  <c r="D141" i="55"/>
  <c r="D145" i="55"/>
  <c r="D142" i="55"/>
  <c r="B54" i="55"/>
  <c r="D138" i="55"/>
  <c r="B55" i="55"/>
  <c r="B57" i="55" s="1"/>
  <c r="B36" i="55"/>
  <c r="J37" i="54"/>
  <c r="J38" i="54" s="1"/>
  <c r="K37" i="54"/>
  <c r="K38" i="54" s="1"/>
  <c r="L37" i="54"/>
  <c r="M37" i="54"/>
  <c r="M38" i="54" s="1"/>
  <c r="L55" i="54"/>
  <c r="M55" i="54"/>
  <c r="J55" i="54"/>
  <c r="Q34" i="56"/>
  <c r="G37" i="55"/>
  <c r="O37" i="55"/>
  <c r="N37" i="55"/>
  <c r="F37" i="55"/>
  <c r="E37" i="55"/>
  <c r="D37" i="55"/>
  <c r="D38" i="55" s="1"/>
  <c r="Q37" i="55"/>
  <c r="P37" i="55"/>
  <c r="C37" i="55"/>
  <c r="B37" i="55"/>
  <c r="C54" i="55"/>
  <c r="L37" i="55"/>
  <c r="M37" i="55"/>
  <c r="M38" i="55" s="1"/>
  <c r="M55" i="55"/>
  <c r="M54" i="55" s="1"/>
  <c r="L55" i="55"/>
  <c r="L54" i="55" s="1"/>
  <c r="Q32" i="56"/>
  <c r="Q35" i="56"/>
  <c r="Q31" i="56"/>
  <c r="Q33" i="56"/>
  <c r="N4" i="54"/>
  <c r="H6" i="55"/>
  <c r="R34" i="55"/>
  <c r="H5" i="55"/>
  <c r="H28" i="55"/>
  <c r="H24" i="55"/>
  <c r="H13" i="55"/>
  <c r="H29" i="55"/>
  <c r="H27" i="55"/>
  <c r="H21" i="55"/>
  <c r="H32" i="55"/>
  <c r="H34" i="55"/>
  <c r="H33" i="55"/>
  <c r="H35" i="55"/>
  <c r="H7" i="55"/>
  <c r="H26" i="55"/>
  <c r="H20" i="55"/>
  <c r="H16" i="55"/>
  <c r="H30" i="55"/>
  <c r="H25" i="55"/>
  <c r="H18" i="55"/>
  <c r="H12" i="55"/>
  <c r="H8" i="55"/>
  <c r="H31" i="55"/>
  <c r="H22" i="55"/>
  <c r="H19" i="55"/>
  <c r="H17" i="55"/>
  <c r="H10" i="55"/>
  <c r="H9" i="55"/>
  <c r="R5" i="55"/>
  <c r="R11" i="55"/>
  <c r="R13" i="55"/>
  <c r="R21" i="55"/>
  <c r="H14" i="55"/>
  <c r="H11" i="55"/>
  <c r="R29" i="55"/>
  <c r="H23" i="55"/>
  <c r="R8" i="55"/>
  <c r="H15" i="55"/>
  <c r="H4" i="55"/>
  <c r="R35" i="55"/>
  <c r="R7" i="55"/>
  <c r="R16" i="55"/>
  <c r="R15" i="55"/>
  <c r="R24" i="55"/>
  <c r="R4" i="55"/>
  <c r="R6" i="55"/>
  <c r="R23" i="55"/>
  <c r="R33" i="55"/>
  <c r="R10" i="55"/>
  <c r="R12" i="55"/>
  <c r="R14" i="55"/>
  <c r="R32" i="55"/>
  <c r="R9" i="55"/>
  <c r="R18" i="55"/>
  <c r="R20" i="55"/>
  <c r="R22" i="55"/>
  <c r="R31" i="55"/>
  <c r="R17" i="55"/>
  <c r="R19" i="55"/>
  <c r="R26" i="55"/>
  <c r="R28" i="55"/>
  <c r="R30" i="55"/>
  <c r="R25" i="55"/>
  <c r="R27" i="55"/>
  <c r="O42" i="55" l="1"/>
  <c r="O43" i="55"/>
  <c r="O45" i="55"/>
  <c r="O47" i="55"/>
  <c r="O46" i="55"/>
  <c r="O44" i="55"/>
  <c r="N42" i="55"/>
  <c r="N43" i="55"/>
  <c r="N45" i="55"/>
  <c r="N47" i="55"/>
  <c r="N44" i="55"/>
  <c r="N46" i="55"/>
  <c r="M43" i="55"/>
  <c r="M44" i="55"/>
  <c r="M42" i="55"/>
  <c r="L42" i="55"/>
  <c r="L43" i="55"/>
  <c r="L44" i="55"/>
  <c r="P44" i="55"/>
  <c r="P46" i="55"/>
  <c r="P42" i="55"/>
  <c r="P43" i="55"/>
  <c r="P45" i="55"/>
  <c r="P47" i="55"/>
  <c r="Q44" i="55"/>
  <c r="Q46" i="55"/>
  <c r="Q43" i="55"/>
  <c r="Q45" i="55"/>
  <c r="Q47" i="55"/>
  <c r="Q42" i="55"/>
  <c r="K42" i="54"/>
  <c r="K45" i="54"/>
  <c r="K44" i="54"/>
  <c r="K43" i="54"/>
  <c r="K46" i="54"/>
  <c r="K47" i="54"/>
  <c r="L42" i="54"/>
  <c r="L44" i="54"/>
  <c r="L43" i="54"/>
  <c r="M42" i="54"/>
  <c r="M43" i="54"/>
  <c r="M44" i="54"/>
  <c r="J42" i="54"/>
  <c r="J44" i="54"/>
  <c r="J43" i="54"/>
  <c r="G45" i="55"/>
  <c r="G46" i="55"/>
  <c r="G42" i="55"/>
  <c r="G47" i="55"/>
  <c r="G43" i="55"/>
  <c r="G44" i="55"/>
  <c r="F45" i="55"/>
  <c r="F44" i="55"/>
  <c r="F43" i="55"/>
  <c r="F46" i="55"/>
  <c r="F42" i="55"/>
  <c r="F47" i="55"/>
  <c r="E45" i="55"/>
  <c r="E43" i="55"/>
  <c r="E46" i="55"/>
  <c r="E44" i="55"/>
  <c r="E42" i="55"/>
  <c r="E47" i="55"/>
  <c r="D46" i="55"/>
  <c r="D43" i="55"/>
  <c r="D42" i="55"/>
  <c r="D45" i="55"/>
  <c r="D47" i="55"/>
  <c r="D44" i="55"/>
  <c r="C46" i="55"/>
  <c r="C47" i="55"/>
  <c r="C45" i="55"/>
  <c r="C44" i="55"/>
  <c r="C43" i="55"/>
  <c r="C42" i="55"/>
  <c r="B43" i="55"/>
  <c r="B42" i="55"/>
  <c r="B44" i="55"/>
  <c r="B47" i="55"/>
  <c r="B45" i="55"/>
  <c r="B46" i="55"/>
  <c r="M54" i="54"/>
  <c r="M57" i="54"/>
  <c r="J54" i="54"/>
  <c r="J57" i="54"/>
  <c r="L54" i="54"/>
  <c r="L57" i="54"/>
  <c r="C38" i="55"/>
  <c r="F38" i="55"/>
  <c r="N38" i="55"/>
  <c r="L38" i="55"/>
  <c r="Q38" i="55"/>
  <c r="B38" i="55"/>
  <c r="O38" i="55"/>
  <c r="E38" i="55"/>
  <c r="P38" i="55"/>
  <c r="G38" i="55"/>
  <c r="M57" i="55"/>
  <c r="L57" i="55"/>
  <c r="N24" i="54"/>
  <c r="N18" i="54"/>
  <c r="N32" i="54"/>
  <c r="N13" i="54"/>
  <c r="N15" i="54"/>
  <c r="N19" i="54"/>
  <c r="N33" i="54"/>
  <c r="N35" i="54"/>
  <c r="N9" i="54"/>
  <c r="N11" i="54"/>
  <c r="N26" i="54"/>
  <c r="N34" i="54"/>
  <c r="N5" i="54"/>
  <c r="N7" i="54"/>
  <c r="N16" i="54"/>
  <c r="N17" i="54"/>
  <c r="N21" i="54"/>
  <c r="N23" i="54"/>
  <c r="N25" i="54"/>
  <c r="N27" i="54"/>
  <c r="N29" i="54"/>
  <c r="N31" i="54"/>
  <c r="N10" i="54"/>
  <c r="N12" i="54"/>
  <c r="N14" i="54"/>
  <c r="N20" i="54"/>
  <c r="N22" i="54"/>
  <c r="N8" i="54"/>
  <c r="N28" i="54"/>
  <c r="N30" i="54"/>
  <c r="B4" i="53"/>
  <c r="K35" i="53"/>
  <c r="J35" i="53"/>
  <c r="I35" i="53"/>
  <c r="K34" i="53"/>
  <c r="J34" i="53"/>
  <c r="I34" i="53"/>
  <c r="K33" i="53"/>
  <c r="J33" i="53"/>
  <c r="I33" i="53"/>
  <c r="K32" i="53"/>
  <c r="J32" i="53"/>
  <c r="I32" i="53"/>
  <c r="K31" i="53"/>
  <c r="J31" i="53"/>
  <c r="I31" i="53"/>
  <c r="K30" i="53"/>
  <c r="J30" i="53"/>
  <c r="I30" i="53"/>
  <c r="K29" i="53"/>
  <c r="J29" i="53"/>
  <c r="I29" i="53"/>
  <c r="K28" i="53"/>
  <c r="J28" i="53"/>
  <c r="I28" i="53"/>
  <c r="K27" i="53"/>
  <c r="J27" i="53"/>
  <c r="I27" i="53"/>
  <c r="K26" i="53"/>
  <c r="J26" i="53"/>
  <c r="I26" i="53"/>
  <c r="K25" i="53"/>
  <c r="J25" i="53"/>
  <c r="I25" i="53"/>
  <c r="K24" i="53"/>
  <c r="J24" i="53"/>
  <c r="J126" i="53" s="1"/>
  <c r="I24" i="53"/>
  <c r="K23" i="53"/>
  <c r="J23" i="53"/>
  <c r="I23" i="53"/>
  <c r="K22" i="53"/>
  <c r="J22" i="53"/>
  <c r="I22" i="53"/>
  <c r="K21" i="53"/>
  <c r="K123" i="53" s="1"/>
  <c r="J21" i="53"/>
  <c r="I21" i="53"/>
  <c r="K20" i="53"/>
  <c r="J20" i="53"/>
  <c r="I20" i="53"/>
  <c r="K19" i="53"/>
  <c r="J19" i="53"/>
  <c r="I19" i="53"/>
  <c r="I121" i="53" s="1"/>
  <c r="K18" i="53"/>
  <c r="J18" i="53"/>
  <c r="I18" i="53"/>
  <c r="K17" i="53"/>
  <c r="J17" i="53"/>
  <c r="I17" i="53"/>
  <c r="K16" i="53"/>
  <c r="J16" i="53"/>
  <c r="I16" i="53"/>
  <c r="K15" i="53"/>
  <c r="J15" i="53"/>
  <c r="I15" i="53"/>
  <c r="K14" i="53"/>
  <c r="J14" i="53"/>
  <c r="I14" i="53"/>
  <c r="K13" i="53"/>
  <c r="J13" i="53"/>
  <c r="I13" i="53"/>
  <c r="K12" i="53"/>
  <c r="J12" i="53"/>
  <c r="I12" i="53"/>
  <c r="K11" i="53"/>
  <c r="J11" i="53"/>
  <c r="I11" i="53"/>
  <c r="K10" i="53"/>
  <c r="J10" i="53"/>
  <c r="I10" i="53"/>
  <c r="K9" i="53"/>
  <c r="J9" i="53"/>
  <c r="I9" i="53"/>
  <c r="K8" i="53"/>
  <c r="J8" i="53"/>
  <c r="I8" i="53"/>
  <c r="K7" i="53"/>
  <c r="J7" i="53"/>
  <c r="I7" i="53"/>
  <c r="K6" i="53"/>
  <c r="J6" i="53"/>
  <c r="I6" i="53"/>
  <c r="K5" i="53"/>
  <c r="J5" i="53"/>
  <c r="I5" i="53"/>
  <c r="K4" i="53"/>
  <c r="J4" i="53"/>
  <c r="I4" i="53"/>
  <c r="O30" i="54" l="1"/>
  <c r="K121" i="53"/>
  <c r="K126" i="53"/>
  <c r="J124" i="53"/>
  <c r="J36" i="53"/>
  <c r="J119" i="53"/>
  <c r="I122" i="53"/>
  <c r="K124" i="53"/>
  <c r="J127" i="53"/>
  <c r="I127" i="53"/>
  <c r="K119" i="53"/>
  <c r="K36" i="53"/>
  <c r="J122" i="53"/>
  <c r="I125" i="53"/>
  <c r="K127" i="53"/>
  <c r="I120" i="53"/>
  <c r="K122" i="53"/>
  <c r="J125" i="53"/>
  <c r="J121" i="53"/>
  <c r="J120" i="53"/>
  <c r="I123" i="53"/>
  <c r="K125" i="53"/>
  <c r="I124" i="53"/>
  <c r="I119" i="53"/>
  <c r="I36" i="53"/>
  <c r="K120" i="53"/>
  <c r="J123" i="53"/>
  <c r="I126" i="53"/>
  <c r="I34" i="55"/>
  <c r="I35" i="55"/>
  <c r="I33" i="55"/>
  <c r="I30" i="55"/>
  <c r="I31" i="55"/>
  <c r="I32" i="55"/>
  <c r="I37" i="53"/>
  <c r="L46" i="54"/>
  <c r="L45" i="54"/>
  <c r="L47" i="54"/>
  <c r="J47" i="54"/>
  <c r="J46" i="54"/>
  <c r="J45" i="54"/>
  <c r="M47" i="54"/>
  <c r="M46" i="54"/>
  <c r="M45" i="54"/>
  <c r="M47" i="55"/>
  <c r="M46" i="55"/>
  <c r="M45" i="55"/>
  <c r="L45" i="55"/>
  <c r="L46" i="55"/>
  <c r="L47" i="55"/>
  <c r="I55" i="53"/>
  <c r="I54" i="53" s="1"/>
  <c r="J55" i="53"/>
  <c r="K37" i="53"/>
  <c r="K55" i="53"/>
  <c r="J37" i="53"/>
  <c r="H35" i="82"/>
  <c r="E35" i="82"/>
  <c r="H34" i="82"/>
  <c r="E34" i="82"/>
  <c r="H33" i="82"/>
  <c r="E33" i="82"/>
  <c r="H32" i="82"/>
  <c r="E32" i="82"/>
  <c r="B32" i="82" s="1"/>
  <c r="H31" i="82"/>
  <c r="E31" i="82"/>
  <c r="H30" i="82"/>
  <c r="E30" i="82"/>
  <c r="H29" i="82"/>
  <c r="E29" i="82"/>
  <c r="H28" i="82"/>
  <c r="E28" i="82"/>
  <c r="B28" i="82" s="1"/>
  <c r="H27" i="82"/>
  <c r="E27" i="82"/>
  <c r="H26" i="82"/>
  <c r="E26" i="82"/>
  <c r="H25" i="82"/>
  <c r="E25" i="82"/>
  <c r="H24" i="82"/>
  <c r="E24" i="82"/>
  <c r="A24" i="82" s="1"/>
  <c r="H23" i="82"/>
  <c r="E23" i="82"/>
  <c r="H22" i="82"/>
  <c r="E22" i="82"/>
  <c r="H21" i="82"/>
  <c r="E21" i="82"/>
  <c r="H20" i="82"/>
  <c r="E20" i="82"/>
  <c r="H19" i="82"/>
  <c r="E19" i="82"/>
  <c r="H18" i="82"/>
  <c r="E18" i="82"/>
  <c r="H17" i="82"/>
  <c r="E17" i="82"/>
  <c r="H16" i="82"/>
  <c r="E16" i="82"/>
  <c r="B16" i="82" s="1"/>
  <c r="H15" i="82"/>
  <c r="E15" i="82"/>
  <c r="H14" i="82"/>
  <c r="E14" i="82"/>
  <c r="H13" i="82"/>
  <c r="C13" i="82" s="1"/>
  <c r="E13" i="82"/>
  <c r="H12" i="82"/>
  <c r="C12" i="82" s="1"/>
  <c r="E12" i="82"/>
  <c r="H11" i="82"/>
  <c r="E11" i="82"/>
  <c r="H10" i="82"/>
  <c r="E10" i="82"/>
  <c r="H9" i="82"/>
  <c r="E9" i="82"/>
  <c r="H8" i="82"/>
  <c r="E8" i="82"/>
  <c r="H7" i="82"/>
  <c r="E7" i="82"/>
  <c r="H6" i="82"/>
  <c r="E6" i="82"/>
  <c r="H5" i="82"/>
  <c r="E5" i="82"/>
  <c r="H4" i="82"/>
  <c r="E4" i="82"/>
  <c r="G34" i="81"/>
  <c r="D34" i="81"/>
  <c r="G33" i="81"/>
  <c r="D33" i="81"/>
  <c r="G32" i="81"/>
  <c r="D32" i="81"/>
  <c r="G31" i="81"/>
  <c r="D31" i="81"/>
  <c r="G30" i="81"/>
  <c r="D30" i="81"/>
  <c r="G29" i="81"/>
  <c r="D29" i="81"/>
  <c r="G28" i="81"/>
  <c r="D28" i="81"/>
  <c r="G27" i="81"/>
  <c r="D27" i="81"/>
  <c r="G26" i="81"/>
  <c r="D26" i="81"/>
  <c r="G25" i="81"/>
  <c r="D25" i="81"/>
  <c r="G24" i="81"/>
  <c r="D24" i="81"/>
  <c r="G23" i="81"/>
  <c r="D23" i="81"/>
  <c r="G22" i="81"/>
  <c r="D22" i="81"/>
  <c r="G21" i="81"/>
  <c r="D21" i="81"/>
  <c r="G20" i="81"/>
  <c r="D20" i="81"/>
  <c r="G19" i="81"/>
  <c r="D19" i="81"/>
  <c r="G18" i="81"/>
  <c r="D18" i="81"/>
  <c r="G17" i="81"/>
  <c r="D17" i="81"/>
  <c r="G16" i="81"/>
  <c r="D16" i="81"/>
  <c r="G15" i="81"/>
  <c r="D15" i="81"/>
  <c r="G14" i="81"/>
  <c r="D14" i="81"/>
  <c r="G13" i="81"/>
  <c r="D13" i="81"/>
  <c r="G12" i="81"/>
  <c r="D12" i="81"/>
  <c r="G11" i="81"/>
  <c r="D11" i="81"/>
  <c r="G10" i="81"/>
  <c r="D10" i="81"/>
  <c r="G9" i="81"/>
  <c r="D9" i="81"/>
  <c r="G8" i="81"/>
  <c r="D8" i="81"/>
  <c r="G7" i="81"/>
  <c r="D7" i="81"/>
  <c r="G6" i="81"/>
  <c r="D6" i="81"/>
  <c r="G5" i="81"/>
  <c r="D5" i="81"/>
  <c r="G4" i="81"/>
  <c r="D4" i="81"/>
  <c r="G3" i="81"/>
  <c r="D3" i="81"/>
  <c r="K35" i="52"/>
  <c r="J35" i="52"/>
  <c r="I35" i="52"/>
  <c r="K34" i="52"/>
  <c r="J34" i="52"/>
  <c r="I34" i="52"/>
  <c r="K33" i="52"/>
  <c r="J33" i="52"/>
  <c r="I33" i="52"/>
  <c r="K32" i="52"/>
  <c r="J32" i="52"/>
  <c r="I32" i="52"/>
  <c r="K31" i="52"/>
  <c r="J31" i="52"/>
  <c r="I31" i="52"/>
  <c r="K30" i="52"/>
  <c r="J30" i="52"/>
  <c r="I30" i="52"/>
  <c r="K29" i="52"/>
  <c r="J29" i="52"/>
  <c r="I29" i="52"/>
  <c r="K28" i="52"/>
  <c r="J28" i="52"/>
  <c r="I28" i="52"/>
  <c r="K27" i="52"/>
  <c r="J27" i="52"/>
  <c r="I27" i="52"/>
  <c r="K26" i="52"/>
  <c r="J26" i="52"/>
  <c r="I26" i="52"/>
  <c r="K25" i="52"/>
  <c r="J25" i="52"/>
  <c r="I25" i="52"/>
  <c r="K24" i="52"/>
  <c r="J24" i="52"/>
  <c r="I24" i="52"/>
  <c r="K23" i="52"/>
  <c r="J23" i="52"/>
  <c r="I23" i="52"/>
  <c r="K22" i="52"/>
  <c r="J22" i="52"/>
  <c r="I22" i="52"/>
  <c r="K21" i="52"/>
  <c r="J21" i="52"/>
  <c r="I21" i="52"/>
  <c r="K20" i="52"/>
  <c r="J20" i="52"/>
  <c r="I20" i="52"/>
  <c r="K19" i="52"/>
  <c r="J19" i="52"/>
  <c r="I19" i="52"/>
  <c r="K18" i="52"/>
  <c r="J18" i="52"/>
  <c r="I18" i="52"/>
  <c r="K17" i="52"/>
  <c r="J17" i="52"/>
  <c r="I17" i="52"/>
  <c r="K16" i="52"/>
  <c r="J16" i="52"/>
  <c r="I16" i="52"/>
  <c r="K15" i="52"/>
  <c r="J15" i="52"/>
  <c r="I15" i="52"/>
  <c r="K14" i="52"/>
  <c r="J14" i="52"/>
  <c r="I14" i="52"/>
  <c r="K13" i="52"/>
  <c r="J13" i="52"/>
  <c r="I13" i="52"/>
  <c r="K12" i="52"/>
  <c r="J12" i="52"/>
  <c r="I12" i="52"/>
  <c r="K11" i="52"/>
  <c r="J11" i="52"/>
  <c r="I11" i="52"/>
  <c r="K10" i="52"/>
  <c r="J10" i="52"/>
  <c r="I10" i="52"/>
  <c r="K9" i="52"/>
  <c r="J9" i="52"/>
  <c r="I9" i="52"/>
  <c r="K8" i="52"/>
  <c r="J8" i="52"/>
  <c r="I8" i="52"/>
  <c r="K7" i="52"/>
  <c r="J7" i="52"/>
  <c r="I7" i="52"/>
  <c r="K6" i="52"/>
  <c r="J6" i="52"/>
  <c r="I6" i="52"/>
  <c r="K5" i="52"/>
  <c r="J5" i="52"/>
  <c r="I5" i="52"/>
  <c r="K4" i="52"/>
  <c r="J4" i="52"/>
  <c r="I4" i="52"/>
  <c r="L6" i="51"/>
  <c r="M6" i="51"/>
  <c r="N6" i="51"/>
  <c r="O6" i="51"/>
  <c r="P6" i="51"/>
  <c r="Q6" i="51"/>
  <c r="L7" i="51"/>
  <c r="M7" i="51"/>
  <c r="N7" i="51"/>
  <c r="O7" i="51"/>
  <c r="P7" i="51"/>
  <c r="Q7" i="51"/>
  <c r="L8" i="51"/>
  <c r="M8" i="51"/>
  <c r="N8" i="51"/>
  <c r="O8" i="51"/>
  <c r="P8" i="51"/>
  <c r="Q8" i="51"/>
  <c r="L9" i="51"/>
  <c r="M9" i="51"/>
  <c r="N9" i="51"/>
  <c r="O9" i="51"/>
  <c r="P9" i="51"/>
  <c r="Q9" i="51"/>
  <c r="L10" i="51"/>
  <c r="M10" i="51"/>
  <c r="N10" i="51"/>
  <c r="O10" i="51"/>
  <c r="P10" i="51"/>
  <c r="Q10" i="51"/>
  <c r="L11" i="51"/>
  <c r="M11" i="51"/>
  <c r="N11" i="51"/>
  <c r="O11" i="51"/>
  <c r="P11" i="51"/>
  <c r="Q11" i="51"/>
  <c r="L12" i="51"/>
  <c r="M12" i="51"/>
  <c r="N12" i="51"/>
  <c r="O12" i="51"/>
  <c r="P12" i="51"/>
  <c r="Q12" i="51"/>
  <c r="L13" i="51"/>
  <c r="M13" i="51"/>
  <c r="N13" i="51"/>
  <c r="O13" i="51"/>
  <c r="P13" i="51"/>
  <c r="Q13" i="51"/>
  <c r="L14" i="51"/>
  <c r="M14" i="51"/>
  <c r="N14" i="51"/>
  <c r="O14" i="51"/>
  <c r="P14" i="51"/>
  <c r="Q14" i="51"/>
  <c r="L15" i="51"/>
  <c r="M15" i="51"/>
  <c r="N15" i="51"/>
  <c r="O15" i="51"/>
  <c r="P15" i="51"/>
  <c r="Q15" i="51"/>
  <c r="L16" i="51"/>
  <c r="M16" i="51"/>
  <c r="N16" i="51"/>
  <c r="O16" i="51"/>
  <c r="P16" i="51"/>
  <c r="Q16" i="51"/>
  <c r="L17" i="51"/>
  <c r="M17" i="51"/>
  <c r="N17" i="51"/>
  <c r="O17" i="51"/>
  <c r="P17" i="51"/>
  <c r="Q17" i="51"/>
  <c r="L18" i="51"/>
  <c r="M18" i="51"/>
  <c r="N18" i="51"/>
  <c r="O18" i="51"/>
  <c r="P18" i="51"/>
  <c r="Q18" i="51"/>
  <c r="L19" i="51"/>
  <c r="M19" i="51"/>
  <c r="N19" i="51"/>
  <c r="O19" i="51"/>
  <c r="P19" i="51"/>
  <c r="Q19" i="51"/>
  <c r="L20" i="51"/>
  <c r="M20" i="51"/>
  <c r="N20" i="51"/>
  <c r="O20" i="51"/>
  <c r="P20" i="51"/>
  <c r="Q20" i="51"/>
  <c r="L21" i="51"/>
  <c r="M21" i="51"/>
  <c r="N21" i="51"/>
  <c r="O21" i="51"/>
  <c r="P21" i="51"/>
  <c r="Q21" i="51"/>
  <c r="L22" i="51"/>
  <c r="M22" i="51"/>
  <c r="N22" i="51"/>
  <c r="C124" i="51" s="1"/>
  <c r="O22" i="51"/>
  <c r="P22" i="51"/>
  <c r="Q22" i="51"/>
  <c r="L23" i="51"/>
  <c r="M23" i="51"/>
  <c r="N23" i="51"/>
  <c r="O23" i="51"/>
  <c r="P23" i="51"/>
  <c r="E125" i="51" s="1"/>
  <c r="Q23" i="51"/>
  <c r="L24" i="51"/>
  <c r="M24" i="51"/>
  <c r="N24" i="51"/>
  <c r="O24" i="51"/>
  <c r="D126" i="51" s="1"/>
  <c r="P24" i="51"/>
  <c r="Q24" i="51"/>
  <c r="L25" i="51"/>
  <c r="A127" i="51" s="1"/>
  <c r="M25" i="51"/>
  <c r="N25" i="51"/>
  <c r="O25" i="51"/>
  <c r="P25" i="51"/>
  <c r="Q25" i="51"/>
  <c r="F127" i="51" s="1"/>
  <c r="L26" i="51"/>
  <c r="M26" i="51"/>
  <c r="B128" i="51" s="1"/>
  <c r="N26" i="51"/>
  <c r="C128" i="51" s="1"/>
  <c r="O26" i="51"/>
  <c r="D128" i="51" s="1"/>
  <c r="P26" i="51"/>
  <c r="Q26" i="51"/>
  <c r="L27" i="51"/>
  <c r="M27" i="51"/>
  <c r="N27" i="51"/>
  <c r="O27" i="51"/>
  <c r="P27" i="51"/>
  <c r="Q27" i="51"/>
  <c r="L28" i="51"/>
  <c r="M28" i="51"/>
  <c r="N28" i="51"/>
  <c r="O28" i="51"/>
  <c r="P28" i="51"/>
  <c r="Q28" i="51"/>
  <c r="L29" i="51"/>
  <c r="M29" i="51"/>
  <c r="N29" i="51"/>
  <c r="O29" i="51"/>
  <c r="P29" i="51"/>
  <c r="Q29" i="51"/>
  <c r="L30" i="51"/>
  <c r="M30" i="51"/>
  <c r="N30" i="51"/>
  <c r="O30" i="51"/>
  <c r="P30" i="51"/>
  <c r="Q30" i="51"/>
  <c r="L31" i="51"/>
  <c r="M31" i="51"/>
  <c r="N31" i="51"/>
  <c r="O31" i="51"/>
  <c r="P31" i="51"/>
  <c r="Q31" i="51"/>
  <c r="L32" i="51"/>
  <c r="M32" i="51"/>
  <c r="N32" i="51"/>
  <c r="O32" i="51"/>
  <c r="P32" i="51"/>
  <c r="Q32" i="51"/>
  <c r="L33" i="51"/>
  <c r="M33" i="51"/>
  <c r="N33" i="51"/>
  <c r="O33" i="51"/>
  <c r="P33" i="51"/>
  <c r="Q33" i="51"/>
  <c r="L34" i="51"/>
  <c r="M34" i="51"/>
  <c r="N34" i="51"/>
  <c r="O34" i="51"/>
  <c r="P34" i="51"/>
  <c r="Q34" i="51"/>
  <c r="L35" i="51"/>
  <c r="M35" i="51"/>
  <c r="N35" i="51"/>
  <c r="O35" i="51"/>
  <c r="P35" i="51"/>
  <c r="Q35" i="51"/>
  <c r="L36" i="51"/>
  <c r="M36" i="51"/>
  <c r="N36" i="51"/>
  <c r="O36" i="51"/>
  <c r="P36" i="51"/>
  <c r="Q36" i="51"/>
  <c r="M5" i="51"/>
  <c r="N5" i="51"/>
  <c r="O5" i="51"/>
  <c r="P5" i="51"/>
  <c r="Q5" i="51"/>
  <c r="L5" i="51"/>
  <c r="H35" i="17"/>
  <c r="D35" i="17"/>
  <c r="H34" i="17"/>
  <c r="D34" i="17"/>
  <c r="H33" i="17"/>
  <c r="D33" i="17"/>
  <c r="H32" i="17"/>
  <c r="H31" i="17"/>
  <c r="D31" i="17"/>
  <c r="H30" i="17"/>
  <c r="D30" i="17"/>
  <c r="H29" i="17"/>
  <c r="D29" i="17"/>
  <c r="H28" i="17"/>
  <c r="D28" i="17"/>
  <c r="H27" i="17"/>
  <c r="D27" i="17"/>
  <c r="H26" i="17"/>
  <c r="D26" i="17"/>
  <c r="H25" i="17"/>
  <c r="D25" i="17"/>
  <c r="H24" i="17"/>
  <c r="D24" i="17"/>
  <c r="H23" i="17"/>
  <c r="D23" i="17"/>
  <c r="H22" i="17"/>
  <c r="D22" i="17"/>
  <c r="H21" i="17"/>
  <c r="D21" i="17"/>
  <c r="H20" i="17"/>
  <c r="D20" i="17"/>
  <c r="H19" i="17"/>
  <c r="D19" i="17"/>
  <c r="H18" i="17"/>
  <c r="D18" i="17"/>
  <c r="H17" i="17"/>
  <c r="D17" i="17"/>
  <c r="H16" i="17"/>
  <c r="D16" i="17"/>
  <c r="H15" i="17"/>
  <c r="D15" i="17"/>
  <c r="H14" i="17"/>
  <c r="D14" i="17"/>
  <c r="H13" i="17"/>
  <c r="D13" i="17"/>
  <c r="H12" i="17"/>
  <c r="D12" i="17"/>
  <c r="H11" i="17"/>
  <c r="D11" i="17"/>
  <c r="H10" i="17"/>
  <c r="D10" i="17"/>
  <c r="H9" i="17"/>
  <c r="D9" i="17"/>
  <c r="H8" i="17"/>
  <c r="D8" i="17"/>
  <c r="H7" i="17"/>
  <c r="D7" i="17"/>
  <c r="H6" i="17"/>
  <c r="D6" i="17"/>
  <c r="H5" i="17"/>
  <c r="D5" i="17"/>
  <c r="H4" i="17"/>
  <c r="D4" i="17"/>
  <c r="G34" i="79"/>
  <c r="D34" i="79"/>
  <c r="G33" i="79"/>
  <c r="D33" i="79"/>
  <c r="G32" i="79"/>
  <c r="D32" i="79"/>
  <c r="G31" i="79"/>
  <c r="D31" i="79"/>
  <c r="G30" i="79"/>
  <c r="D30" i="79"/>
  <c r="G29" i="79"/>
  <c r="D29" i="79"/>
  <c r="G28" i="79"/>
  <c r="D28" i="79"/>
  <c r="G27" i="79"/>
  <c r="D27" i="79"/>
  <c r="G26" i="79"/>
  <c r="D26" i="79"/>
  <c r="G25" i="79"/>
  <c r="D25" i="79"/>
  <c r="G24" i="79"/>
  <c r="D24" i="79"/>
  <c r="G23" i="79"/>
  <c r="D23" i="79"/>
  <c r="G22" i="79"/>
  <c r="D22" i="79"/>
  <c r="G21" i="79"/>
  <c r="D21" i="79"/>
  <c r="G20" i="79"/>
  <c r="D20" i="79"/>
  <c r="G19" i="79"/>
  <c r="D19" i="79"/>
  <c r="G18" i="79"/>
  <c r="D18" i="79"/>
  <c r="G17" i="79"/>
  <c r="D17" i="79"/>
  <c r="G16" i="79"/>
  <c r="D16" i="79"/>
  <c r="G15" i="79"/>
  <c r="D15" i="79"/>
  <c r="G14" i="79"/>
  <c r="D14" i="79"/>
  <c r="G13" i="79"/>
  <c r="D13" i="79"/>
  <c r="G12" i="79"/>
  <c r="D12" i="79"/>
  <c r="G11" i="79"/>
  <c r="D11" i="79"/>
  <c r="G10" i="79"/>
  <c r="D10" i="79"/>
  <c r="G9" i="79"/>
  <c r="D9" i="79"/>
  <c r="G8" i="79"/>
  <c r="D8" i="79"/>
  <c r="G7" i="79"/>
  <c r="D7" i="79"/>
  <c r="G6" i="79"/>
  <c r="D6" i="79"/>
  <c r="G5" i="79"/>
  <c r="D5" i="79"/>
  <c r="G4" i="79"/>
  <c r="D4" i="79"/>
  <c r="G3" i="79"/>
  <c r="D3" i="79"/>
  <c r="C15" i="82" l="1"/>
  <c r="C19" i="82"/>
  <c r="K30" i="82"/>
  <c r="C16" i="82"/>
  <c r="C20" i="82"/>
  <c r="B13" i="82"/>
  <c r="D46" i="82"/>
  <c r="A17" i="82"/>
  <c r="B17" i="82"/>
  <c r="A21" i="82"/>
  <c r="B21" i="82"/>
  <c r="A25" i="82"/>
  <c r="B29" i="82"/>
  <c r="B33" i="82"/>
  <c r="A20" i="82"/>
  <c r="B20" i="82"/>
  <c r="C17" i="82"/>
  <c r="C21" i="82"/>
  <c r="B14" i="82"/>
  <c r="A18" i="82"/>
  <c r="B18" i="82"/>
  <c r="A22" i="82"/>
  <c r="B26" i="82"/>
  <c r="B30" i="82"/>
  <c r="B34" i="82"/>
  <c r="C46" i="82"/>
  <c r="B12" i="82"/>
  <c r="C14" i="82"/>
  <c r="K34" i="82" s="1"/>
  <c r="C18" i="82"/>
  <c r="B15" i="82"/>
  <c r="A19" i="82"/>
  <c r="B19" i="82"/>
  <c r="A23" i="82"/>
  <c r="B27" i="82"/>
  <c r="B31" i="82"/>
  <c r="B35" i="82"/>
  <c r="O33" i="54"/>
  <c r="I42" i="53"/>
  <c r="I43" i="53"/>
  <c r="I44" i="53"/>
  <c r="J42" i="53"/>
  <c r="J43" i="53"/>
  <c r="J44" i="53"/>
  <c r="K42" i="53"/>
  <c r="K43" i="53"/>
  <c r="K44" i="53"/>
  <c r="J90" i="52"/>
  <c r="N47" i="52"/>
  <c r="I89" i="52"/>
  <c r="A123" i="51"/>
  <c r="E128" i="51"/>
  <c r="C127" i="51"/>
  <c r="A126" i="51"/>
  <c r="E124" i="51"/>
  <c r="C123" i="51"/>
  <c r="A122" i="51"/>
  <c r="P37" i="51"/>
  <c r="E120" i="51"/>
  <c r="B127" i="51"/>
  <c r="F125" i="51"/>
  <c r="D124" i="51"/>
  <c r="B123" i="51"/>
  <c r="F121" i="51"/>
  <c r="D120" i="51"/>
  <c r="O37" i="51"/>
  <c r="E121" i="51"/>
  <c r="N37" i="51"/>
  <c r="C120" i="51"/>
  <c r="F126" i="51"/>
  <c r="D125" i="51"/>
  <c r="B124" i="51"/>
  <c r="F122" i="51"/>
  <c r="D121" i="51"/>
  <c r="B120" i="51"/>
  <c r="M37" i="51"/>
  <c r="A128" i="51"/>
  <c r="E126" i="51"/>
  <c r="C125" i="51"/>
  <c r="A124" i="51"/>
  <c r="E122" i="51"/>
  <c r="C121" i="51"/>
  <c r="A120" i="51"/>
  <c r="L37" i="51"/>
  <c r="B125" i="51"/>
  <c r="F123" i="51"/>
  <c r="D122" i="51"/>
  <c r="B121" i="51"/>
  <c r="E127" i="51"/>
  <c r="C126" i="51"/>
  <c r="A125" i="51"/>
  <c r="E123" i="51"/>
  <c r="C122" i="51"/>
  <c r="A121" i="51"/>
  <c r="F128" i="51"/>
  <c r="D127" i="51"/>
  <c r="B126" i="51"/>
  <c r="F124" i="51"/>
  <c r="D123" i="51"/>
  <c r="B122" i="51"/>
  <c r="Q37" i="51"/>
  <c r="F120" i="51"/>
  <c r="H39" i="17"/>
  <c r="H36" i="17"/>
  <c r="H37" i="17" s="1"/>
  <c r="H38" i="17" s="1"/>
  <c r="D39" i="17"/>
  <c r="D36" i="17"/>
  <c r="O39" i="79"/>
  <c r="O38" i="79" s="1"/>
  <c r="N39" i="79"/>
  <c r="K36" i="52"/>
  <c r="K88" i="52"/>
  <c r="K43" i="52" s="1"/>
  <c r="I90" i="52"/>
  <c r="J91" i="52"/>
  <c r="K92" i="52"/>
  <c r="I94" i="52"/>
  <c r="J95" i="52"/>
  <c r="K96" i="52"/>
  <c r="K91" i="52"/>
  <c r="I93" i="52"/>
  <c r="J94" i="52"/>
  <c r="K95" i="52"/>
  <c r="I36" i="52"/>
  <c r="I88" i="52"/>
  <c r="J89" i="52"/>
  <c r="K90" i="52"/>
  <c r="I92" i="52"/>
  <c r="J93" i="52"/>
  <c r="K94" i="52"/>
  <c r="I96" i="52"/>
  <c r="J36" i="52"/>
  <c r="J88" i="52"/>
  <c r="J43" i="52" s="1"/>
  <c r="K89" i="52"/>
  <c r="I91" i="52"/>
  <c r="J92" i="52"/>
  <c r="K93" i="52"/>
  <c r="I95" i="52"/>
  <c r="J96" i="52"/>
  <c r="B17" i="79"/>
  <c r="B21" i="79"/>
  <c r="A18" i="79"/>
  <c r="A22" i="79"/>
  <c r="B18" i="79"/>
  <c r="B22" i="79"/>
  <c r="A19" i="79"/>
  <c r="A23" i="79"/>
  <c r="B19" i="79"/>
  <c r="B23" i="79"/>
  <c r="D35" i="79"/>
  <c r="A16" i="79"/>
  <c r="A20" i="79"/>
  <c r="A24" i="79"/>
  <c r="B16" i="79"/>
  <c r="G35" i="79"/>
  <c r="B20" i="79"/>
  <c r="B24" i="79"/>
  <c r="A17" i="79"/>
  <c r="A21" i="79"/>
  <c r="J38" i="53"/>
  <c r="I38" i="53"/>
  <c r="D37" i="81"/>
  <c r="G37" i="81"/>
  <c r="S34" i="55"/>
  <c r="J37" i="52"/>
  <c r="J38" i="52" s="1"/>
  <c r="L29" i="52"/>
  <c r="S35" i="55"/>
  <c r="S33" i="55"/>
  <c r="K38" i="53"/>
  <c r="K54" i="53"/>
  <c r="K57" i="53"/>
  <c r="J57" i="53"/>
  <c r="J54" i="53"/>
  <c r="I57" i="53"/>
  <c r="I37" i="52"/>
  <c r="K37" i="52"/>
  <c r="Q38" i="51"/>
  <c r="Q39" i="51" s="1"/>
  <c r="P38" i="51"/>
  <c r="O38" i="51"/>
  <c r="N38" i="51"/>
  <c r="N39" i="51" s="1"/>
  <c r="M38" i="51"/>
  <c r="L32" i="52"/>
  <c r="L38" i="51"/>
  <c r="M57" i="51"/>
  <c r="L57" i="51"/>
  <c r="L56" i="51" s="1"/>
  <c r="G36" i="79"/>
  <c r="G40" i="79"/>
  <c r="D36" i="79"/>
  <c r="D39" i="79"/>
  <c r="D40" i="79"/>
  <c r="G39" i="79"/>
  <c r="H36" i="82"/>
  <c r="H37" i="82"/>
  <c r="L34" i="52"/>
  <c r="L19" i="52"/>
  <c r="L18" i="53"/>
  <c r="L30" i="53"/>
  <c r="L24" i="53"/>
  <c r="L12" i="53"/>
  <c r="L20" i="53"/>
  <c r="L28" i="53"/>
  <c r="L4" i="53"/>
  <c r="L14" i="53"/>
  <c r="L22" i="53"/>
  <c r="L32" i="53"/>
  <c r="L9" i="53"/>
  <c r="L10" i="53"/>
  <c r="L25" i="53"/>
  <c r="L26" i="53"/>
  <c r="L31" i="53"/>
  <c r="L33" i="53"/>
  <c r="L35" i="53"/>
  <c r="L17" i="53"/>
  <c r="L8" i="53"/>
  <c r="L6" i="53"/>
  <c r="L16" i="53"/>
  <c r="L5" i="53"/>
  <c r="L21" i="53"/>
  <c r="L34" i="53"/>
  <c r="L19" i="53"/>
  <c r="L15" i="53"/>
  <c r="L7" i="53"/>
  <c r="L13" i="53"/>
  <c r="L29" i="53"/>
  <c r="L23" i="53"/>
  <c r="L11" i="53"/>
  <c r="L27" i="53"/>
  <c r="L13" i="52"/>
  <c r="L6" i="52"/>
  <c r="L15" i="52"/>
  <c r="L9" i="52"/>
  <c r="L14" i="52"/>
  <c r="L22" i="52"/>
  <c r="L4" i="52"/>
  <c r="L17" i="52"/>
  <c r="L16" i="52"/>
  <c r="L21" i="52"/>
  <c r="L7" i="52"/>
  <c r="L25" i="52"/>
  <c r="L27" i="52"/>
  <c r="L30" i="52"/>
  <c r="L11" i="52"/>
  <c r="L5" i="52"/>
  <c r="L23" i="52"/>
  <c r="L35" i="52"/>
  <c r="L20" i="52"/>
  <c r="L31" i="52"/>
  <c r="L18" i="52"/>
  <c r="L12" i="52"/>
  <c r="L28" i="52"/>
  <c r="L26" i="52"/>
  <c r="L10" i="52"/>
  <c r="L8" i="52"/>
  <c r="L24" i="52"/>
  <c r="L33" i="52"/>
  <c r="R9" i="51"/>
  <c r="R30" i="51"/>
  <c r="R21" i="51"/>
  <c r="R13" i="51"/>
  <c r="R18" i="51"/>
  <c r="R12" i="51"/>
  <c r="R20" i="51"/>
  <c r="R28" i="51"/>
  <c r="R7" i="51"/>
  <c r="R11" i="51"/>
  <c r="R8" i="51"/>
  <c r="R17" i="51"/>
  <c r="R27" i="51"/>
  <c r="R36" i="51"/>
  <c r="R16" i="51"/>
  <c r="R26" i="51"/>
  <c r="R29" i="51"/>
  <c r="R35" i="51"/>
  <c r="R15" i="51"/>
  <c r="R19" i="51"/>
  <c r="R25" i="51"/>
  <c r="R34" i="51"/>
  <c r="R6" i="51"/>
  <c r="R24" i="51"/>
  <c r="R33" i="51"/>
  <c r="R14" i="51"/>
  <c r="R23" i="51"/>
  <c r="R32" i="51"/>
  <c r="R31" i="51"/>
  <c r="R5" i="51"/>
  <c r="R10" i="51"/>
  <c r="R22" i="51"/>
  <c r="G35" i="9"/>
  <c r="D35" i="9"/>
  <c r="G34" i="9"/>
  <c r="D34" i="9"/>
  <c r="G33" i="9"/>
  <c r="D33" i="9"/>
  <c r="G32" i="9"/>
  <c r="D32" i="9"/>
  <c r="G31" i="9"/>
  <c r="D31" i="9"/>
  <c r="G30" i="9"/>
  <c r="D30" i="9"/>
  <c r="G29" i="9"/>
  <c r="D29" i="9"/>
  <c r="G28" i="9"/>
  <c r="D28" i="9"/>
  <c r="G27" i="9"/>
  <c r="D27" i="9"/>
  <c r="G26" i="9"/>
  <c r="D26" i="9"/>
  <c r="G25" i="9"/>
  <c r="D25" i="9"/>
  <c r="G24" i="9"/>
  <c r="D24" i="9"/>
  <c r="G23" i="9"/>
  <c r="D23" i="9"/>
  <c r="G22" i="9"/>
  <c r="D22" i="9"/>
  <c r="A22" i="9" s="1"/>
  <c r="G21" i="9"/>
  <c r="D21" i="9"/>
  <c r="G20" i="9"/>
  <c r="D20" i="9"/>
  <c r="G19" i="9"/>
  <c r="D19" i="9"/>
  <c r="G18" i="9"/>
  <c r="B18" i="9" s="1"/>
  <c r="D18" i="9"/>
  <c r="A18" i="9" s="1"/>
  <c r="G17" i="9"/>
  <c r="D17" i="9"/>
  <c r="G16" i="9"/>
  <c r="D16" i="9"/>
  <c r="G15" i="9"/>
  <c r="D15" i="9"/>
  <c r="G14" i="9"/>
  <c r="D14" i="9"/>
  <c r="G13" i="9"/>
  <c r="D13" i="9"/>
  <c r="G12" i="9"/>
  <c r="D12" i="9"/>
  <c r="G11" i="9"/>
  <c r="D11" i="9"/>
  <c r="G10" i="9"/>
  <c r="D10" i="9"/>
  <c r="G9" i="9"/>
  <c r="D9" i="9"/>
  <c r="G8" i="9"/>
  <c r="D8" i="9"/>
  <c r="G7" i="9"/>
  <c r="D7" i="9"/>
  <c r="G6" i="9"/>
  <c r="D6" i="9"/>
  <c r="G5" i="9"/>
  <c r="D5" i="9"/>
  <c r="G4" i="9"/>
  <c r="D4" i="9"/>
  <c r="J31" i="82" l="1"/>
  <c r="J35" i="82"/>
  <c r="J33" i="82"/>
  <c r="J32" i="82"/>
  <c r="J34" i="82"/>
  <c r="K32" i="82"/>
  <c r="K35" i="82"/>
  <c r="C45" i="82"/>
  <c r="C48" i="82"/>
  <c r="G45" i="82" s="1"/>
  <c r="K31" i="82"/>
  <c r="D45" i="82"/>
  <c r="D48" i="82"/>
  <c r="G46" i="82" s="1"/>
  <c r="K33" i="82"/>
  <c r="H43" i="52"/>
  <c r="N46" i="52"/>
  <c r="N49" i="52"/>
  <c r="L44" i="51"/>
  <c r="L40" i="51" s="1"/>
  <c r="L45" i="51"/>
  <c r="L46" i="51"/>
  <c r="M46" i="51"/>
  <c r="M44" i="51"/>
  <c r="M40" i="51" s="1"/>
  <c r="M45" i="51"/>
  <c r="P48" i="51"/>
  <c r="P49" i="51"/>
  <c r="P46" i="51"/>
  <c r="P44" i="51"/>
  <c r="P40" i="51" s="1"/>
  <c r="P45" i="51"/>
  <c r="P47" i="51"/>
  <c r="O44" i="51"/>
  <c r="O40" i="51" s="1"/>
  <c r="O45" i="51"/>
  <c r="O46" i="51"/>
  <c r="O47" i="51"/>
  <c r="O48" i="51"/>
  <c r="O49" i="51"/>
  <c r="Q46" i="51"/>
  <c r="Q48" i="51"/>
  <c r="Q49" i="51"/>
  <c r="Q44" i="51"/>
  <c r="Q40" i="51" s="1"/>
  <c r="Q45" i="51"/>
  <c r="Q47" i="51"/>
  <c r="N46" i="51"/>
  <c r="N49" i="51"/>
  <c r="N47" i="51"/>
  <c r="N44" i="51"/>
  <c r="N40" i="51" s="1"/>
  <c r="N48" i="51"/>
  <c r="N45" i="51"/>
  <c r="L31" i="17"/>
  <c r="L30" i="17"/>
  <c r="L32" i="17"/>
  <c r="D40" i="17"/>
  <c r="D41" i="17" s="1"/>
  <c r="H40" i="17"/>
  <c r="H41" i="17" s="1"/>
  <c r="B20" i="9"/>
  <c r="D36" i="9"/>
  <c r="A17" i="9"/>
  <c r="P39" i="9"/>
  <c r="P41" i="9" s="1"/>
  <c r="A21" i="9"/>
  <c r="A25" i="9"/>
  <c r="B19" i="9"/>
  <c r="B24" i="9"/>
  <c r="Q39" i="9"/>
  <c r="G36" i="9"/>
  <c r="B17" i="9"/>
  <c r="B21" i="9"/>
  <c r="B25" i="9"/>
  <c r="B22" i="9"/>
  <c r="A19" i="9"/>
  <c r="A23" i="9"/>
  <c r="B23" i="9"/>
  <c r="A20" i="9"/>
  <c r="A24" i="9"/>
  <c r="D37" i="17"/>
  <c r="D38" i="17" s="1"/>
  <c r="K30" i="17" s="1"/>
  <c r="I29" i="9"/>
  <c r="J29" i="9" s="1"/>
  <c r="I13" i="9"/>
  <c r="J13" i="9" s="1"/>
  <c r="I25" i="9"/>
  <c r="J25" i="9" s="1"/>
  <c r="I9" i="9"/>
  <c r="J9" i="9" s="1"/>
  <c r="I5" i="9"/>
  <c r="J5" i="9" s="1"/>
  <c r="I33" i="9"/>
  <c r="J33" i="9" s="1"/>
  <c r="I21" i="9"/>
  <c r="J21" i="9" s="1"/>
  <c r="J47" i="52"/>
  <c r="J46" i="52"/>
  <c r="J45" i="52"/>
  <c r="J44" i="52"/>
  <c r="J48" i="52"/>
  <c r="H46" i="52"/>
  <c r="H45" i="52"/>
  <c r="H44" i="52"/>
  <c r="H48" i="52"/>
  <c r="H47" i="52"/>
  <c r="K44" i="52"/>
  <c r="K48" i="52"/>
  <c r="K47" i="52"/>
  <c r="K46" i="52"/>
  <c r="K45" i="52"/>
  <c r="O41" i="79"/>
  <c r="G41" i="79"/>
  <c r="I7" i="9"/>
  <c r="J7" i="9" s="1"/>
  <c r="I11" i="9"/>
  <c r="J11" i="9" s="1"/>
  <c r="I15" i="9"/>
  <c r="J15" i="9" s="1"/>
  <c r="I19" i="9"/>
  <c r="J19" i="9" s="1"/>
  <c r="I23" i="9"/>
  <c r="J23" i="9" s="1"/>
  <c r="I27" i="9"/>
  <c r="J27" i="9" s="1"/>
  <c r="I31" i="9"/>
  <c r="J31" i="9" s="1"/>
  <c r="I35" i="9"/>
  <c r="J35" i="9" s="1"/>
  <c r="I4" i="9"/>
  <c r="J4" i="9" s="1"/>
  <c r="I8" i="9"/>
  <c r="J8" i="9" s="1"/>
  <c r="I12" i="9"/>
  <c r="J12" i="9" s="1"/>
  <c r="I16" i="9"/>
  <c r="J16" i="9" s="1"/>
  <c r="I20" i="9"/>
  <c r="J20" i="9" s="1"/>
  <c r="I24" i="9"/>
  <c r="J24" i="9" s="1"/>
  <c r="I28" i="9"/>
  <c r="J28" i="9" s="1"/>
  <c r="I32" i="9"/>
  <c r="J32" i="9" s="1"/>
  <c r="I17" i="9"/>
  <c r="J17" i="9" s="1"/>
  <c r="I6" i="9"/>
  <c r="J6" i="9" s="1"/>
  <c r="I10" i="9"/>
  <c r="J10" i="9" s="1"/>
  <c r="I14" i="9"/>
  <c r="J14" i="9" s="1"/>
  <c r="I18" i="9"/>
  <c r="J18" i="9" s="1"/>
  <c r="I22" i="9"/>
  <c r="J22" i="9" s="1"/>
  <c r="I26" i="9"/>
  <c r="J26" i="9" s="1"/>
  <c r="I30" i="9"/>
  <c r="J30" i="9" s="1"/>
  <c r="I34" i="9"/>
  <c r="J34" i="9" s="1"/>
  <c r="D41" i="9"/>
  <c r="D37" i="9"/>
  <c r="D38" i="9" s="1"/>
  <c r="G37" i="9"/>
  <c r="G38" i="9" s="1"/>
  <c r="D41" i="79"/>
  <c r="D37" i="79"/>
  <c r="G41" i="9"/>
  <c r="G37" i="79"/>
  <c r="I38" i="52"/>
  <c r="K38" i="52"/>
  <c r="G40" i="9"/>
  <c r="D40" i="9"/>
  <c r="I45" i="53"/>
  <c r="I47" i="53"/>
  <c r="I46" i="53"/>
  <c r="J47" i="53"/>
  <c r="J46" i="53"/>
  <c r="J45" i="53"/>
  <c r="K47" i="53"/>
  <c r="K46" i="53"/>
  <c r="K45" i="53"/>
  <c r="L39" i="51"/>
  <c r="M39" i="51"/>
  <c r="O39" i="51"/>
  <c r="P39" i="51"/>
  <c r="M59" i="51"/>
  <c r="M56" i="51"/>
  <c r="L59" i="51"/>
  <c r="N41" i="79"/>
  <c r="M30" i="53"/>
  <c r="M31" i="53"/>
  <c r="M32" i="53"/>
  <c r="I46" i="52" l="1"/>
  <c r="M33" i="52" s="1"/>
  <c r="I47" i="52"/>
  <c r="M34" i="52" s="1"/>
  <c r="I48" i="52"/>
  <c r="M35" i="52" s="1"/>
  <c r="I43" i="52"/>
  <c r="M30" i="52" s="1"/>
  <c r="I45" i="52"/>
  <c r="M32" i="52" s="1"/>
  <c r="I44" i="52"/>
  <c r="M31" i="52" s="1"/>
  <c r="L34" i="17"/>
  <c r="L35" i="17"/>
  <c r="L33" i="17"/>
  <c r="K34" i="17"/>
  <c r="K35" i="17"/>
  <c r="K33" i="17"/>
  <c r="P38" i="9"/>
  <c r="Q38" i="9"/>
  <c r="K35" i="9"/>
  <c r="K33" i="9"/>
  <c r="K34" i="9"/>
  <c r="L30" i="9"/>
  <c r="L31" i="9"/>
  <c r="L32" i="9"/>
  <c r="K31" i="9"/>
  <c r="K32" i="9"/>
  <c r="K30" i="9"/>
  <c r="K31" i="17"/>
  <c r="K32" i="17"/>
  <c r="I34" i="79"/>
  <c r="I32" i="79"/>
  <c r="I33" i="79"/>
  <c r="D42" i="9"/>
  <c r="G42" i="9"/>
  <c r="M33" i="53"/>
  <c r="M35" i="53"/>
  <c r="Q41" i="9"/>
  <c r="L33" i="9" s="1"/>
  <c r="M34" i="53"/>
  <c r="J34" i="79"/>
  <c r="J32" i="79"/>
  <c r="J33" i="79"/>
  <c r="L49" i="51"/>
  <c r="L47" i="51"/>
  <c r="L48" i="51"/>
  <c r="M48" i="51"/>
  <c r="M47" i="51"/>
  <c r="M49" i="51"/>
  <c r="S31" i="51"/>
  <c r="S32" i="51"/>
  <c r="S33" i="51"/>
  <c r="G4" i="69"/>
  <c r="D4" i="69"/>
  <c r="G35" i="69"/>
  <c r="D35" i="69"/>
  <c r="G34" i="69"/>
  <c r="D34" i="69"/>
  <c r="G33" i="69"/>
  <c r="D33" i="69"/>
  <c r="G32" i="69"/>
  <c r="D32" i="69"/>
  <c r="G31" i="69"/>
  <c r="D31" i="69"/>
  <c r="G30" i="69"/>
  <c r="D30" i="69"/>
  <c r="G29" i="69"/>
  <c r="D29" i="69"/>
  <c r="G28" i="69"/>
  <c r="D28" i="69"/>
  <c r="G27" i="69"/>
  <c r="D27" i="69"/>
  <c r="G26" i="69"/>
  <c r="D26" i="69"/>
  <c r="G25" i="69"/>
  <c r="D25" i="69"/>
  <c r="G24" i="69"/>
  <c r="D24" i="69"/>
  <c r="G23" i="69"/>
  <c r="D23" i="69"/>
  <c r="G22" i="69"/>
  <c r="D22" i="69"/>
  <c r="G21" i="69"/>
  <c r="D21" i="69"/>
  <c r="G20" i="69"/>
  <c r="D20" i="69"/>
  <c r="A20" i="69" s="1"/>
  <c r="G19" i="69"/>
  <c r="D19" i="69"/>
  <c r="A19" i="69" s="1"/>
  <c r="G18" i="69"/>
  <c r="D18" i="69"/>
  <c r="G17" i="69"/>
  <c r="D17" i="69"/>
  <c r="G16" i="69"/>
  <c r="D16" i="69"/>
  <c r="G15" i="69"/>
  <c r="D15" i="69"/>
  <c r="G14" i="69"/>
  <c r="D14" i="69"/>
  <c r="G13" i="69"/>
  <c r="D13" i="69"/>
  <c r="G12" i="69"/>
  <c r="D12" i="69"/>
  <c r="G11" i="69"/>
  <c r="D11" i="69"/>
  <c r="G10" i="69"/>
  <c r="D10" i="69"/>
  <c r="G9" i="69"/>
  <c r="D9" i="69"/>
  <c r="G8" i="69"/>
  <c r="D8" i="69"/>
  <c r="G7" i="69"/>
  <c r="D7" i="69"/>
  <c r="G6" i="69"/>
  <c r="D6" i="69"/>
  <c r="G5" i="69"/>
  <c r="D5" i="69"/>
  <c r="D35"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4" i="2"/>
  <c r="D5" i="2"/>
  <c r="D6" i="2"/>
  <c r="D7" i="2"/>
  <c r="D8" i="2"/>
  <c r="D9" i="2"/>
  <c r="D10" i="2"/>
  <c r="D11" i="2"/>
  <c r="D12" i="2"/>
  <c r="D13" i="2"/>
  <c r="D14" i="2"/>
  <c r="D15" i="2"/>
  <c r="D16" i="2"/>
  <c r="D17" i="2"/>
  <c r="D18" i="2"/>
  <c r="D19" i="2"/>
  <c r="D20" i="2"/>
  <c r="D21" i="2"/>
  <c r="D22" i="2"/>
  <c r="D23" i="2"/>
  <c r="A23" i="2" s="1"/>
  <c r="D24" i="2"/>
  <c r="D25" i="2"/>
  <c r="A25" i="2" s="1"/>
  <c r="D26" i="2"/>
  <c r="D27" i="2"/>
  <c r="D28" i="2"/>
  <c r="D29" i="2"/>
  <c r="D30" i="2"/>
  <c r="D31" i="2"/>
  <c r="D32" i="2"/>
  <c r="D33" i="2"/>
  <c r="D34" i="2"/>
  <c r="D4" i="2"/>
  <c r="A24" i="69" l="1"/>
  <c r="A25" i="69"/>
  <c r="N39" i="69"/>
  <c r="A17" i="69"/>
  <c r="D36" i="69"/>
  <c r="A21" i="69"/>
  <c r="A18" i="69"/>
  <c r="D37" i="69"/>
  <c r="D38" i="69" s="1"/>
  <c r="A22" i="69"/>
  <c r="A23" i="69"/>
  <c r="A22" i="2"/>
  <c r="A21" i="2"/>
  <c r="A20" i="2"/>
  <c r="A19" i="2"/>
  <c r="A18" i="2"/>
  <c r="N39" i="2"/>
  <c r="A17" i="2"/>
  <c r="D36" i="2"/>
  <c r="A24" i="2"/>
  <c r="G41" i="69"/>
  <c r="G37" i="69"/>
  <c r="G38" i="69" s="1"/>
  <c r="L35" i="9"/>
  <c r="L34" i="9"/>
  <c r="O39" i="69"/>
  <c r="G40" i="69"/>
  <c r="G42" i="69" s="1"/>
  <c r="D40" i="69"/>
  <c r="D41" i="69"/>
  <c r="G41" i="2"/>
  <c r="G40" i="2"/>
  <c r="D37" i="2"/>
  <c r="G37" i="2"/>
  <c r="G38" i="2" s="1"/>
  <c r="D41" i="2"/>
  <c r="D40" i="2"/>
  <c r="S34" i="51"/>
  <c r="S35" i="51"/>
  <c r="S36" i="51"/>
  <c r="N38" i="69" l="1"/>
  <c r="N41" i="69"/>
  <c r="N38" i="2"/>
  <c r="N41" i="2"/>
  <c r="D38" i="2"/>
  <c r="D42" i="69"/>
  <c r="O38" i="69"/>
  <c r="O41" i="69"/>
  <c r="D42" i="2"/>
  <c r="O41" i="2"/>
  <c r="G42" i="2"/>
  <c r="J35" i="69" l="1"/>
  <c r="J33" i="69"/>
  <c r="J34" i="69"/>
  <c r="J34" i="2"/>
  <c r="J33" i="2"/>
  <c r="J35" i="2"/>
  <c r="S32" i="55" l="1"/>
  <c r="S31" i="55"/>
  <c r="S30" i="55"/>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136" i="56" s="1"/>
  <c r="E23" i="56"/>
  <c r="D23" i="56"/>
  <c r="C23" i="56"/>
  <c r="B23" i="56"/>
  <c r="F22" i="56"/>
  <c r="E22" i="56"/>
  <c r="D22" i="56"/>
  <c r="C22" i="56"/>
  <c r="B135" i="56" s="1"/>
  <c r="B22" i="56"/>
  <c r="F21" i="56"/>
  <c r="E21" i="56"/>
  <c r="D21" i="56"/>
  <c r="C21" i="56"/>
  <c r="B21" i="56"/>
  <c r="F20" i="56"/>
  <c r="E20" i="56"/>
  <c r="D20" i="56"/>
  <c r="C20" i="56"/>
  <c r="B20" i="56"/>
  <c r="F19" i="56"/>
  <c r="E19" i="56"/>
  <c r="D19" i="56"/>
  <c r="C19" i="56"/>
  <c r="B19" i="56"/>
  <c r="A132" i="56" s="1"/>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F7" i="56"/>
  <c r="E7" i="56"/>
  <c r="D7" i="56"/>
  <c r="C7" i="56"/>
  <c r="B7" i="56"/>
  <c r="F6" i="56"/>
  <c r="E6" i="56"/>
  <c r="D6" i="56"/>
  <c r="C6" i="56"/>
  <c r="B6" i="56"/>
  <c r="F5" i="56"/>
  <c r="E5" i="56"/>
  <c r="D5" i="56"/>
  <c r="C5" i="56"/>
  <c r="B5" i="56"/>
  <c r="F4" i="56"/>
  <c r="E4" i="56"/>
  <c r="D4" i="56"/>
  <c r="C4" i="56"/>
  <c r="E35" i="54"/>
  <c r="D35" i="54"/>
  <c r="C35" i="54"/>
  <c r="B35" i="54"/>
  <c r="E34" i="54"/>
  <c r="D34" i="54"/>
  <c r="C34" i="54"/>
  <c r="B34" i="54"/>
  <c r="E33" i="54"/>
  <c r="D33" i="54"/>
  <c r="C33" i="54"/>
  <c r="B33" i="54"/>
  <c r="E32" i="54"/>
  <c r="D32" i="54"/>
  <c r="C32" i="54"/>
  <c r="B32" i="54"/>
  <c r="E31" i="54"/>
  <c r="D31" i="54"/>
  <c r="C31" i="54"/>
  <c r="B31" i="54"/>
  <c r="E30" i="54"/>
  <c r="E37" i="54" s="1"/>
  <c r="D30" i="54"/>
  <c r="C30" i="54"/>
  <c r="B30" i="54"/>
  <c r="E29" i="54"/>
  <c r="D29" i="54"/>
  <c r="C29" i="54"/>
  <c r="B29" i="54"/>
  <c r="E28" i="54"/>
  <c r="D28" i="54"/>
  <c r="C28" i="54"/>
  <c r="B28" i="54"/>
  <c r="E27" i="54"/>
  <c r="D27" i="54"/>
  <c r="C27" i="54"/>
  <c r="B27" i="54"/>
  <c r="E26" i="54"/>
  <c r="D26" i="54"/>
  <c r="C26" i="54"/>
  <c r="B26" i="54"/>
  <c r="E25" i="54"/>
  <c r="D25" i="54"/>
  <c r="C25" i="54"/>
  <c r="B25" i="54"/>
  <c r="E24" i="54"/>
  <c r="D24" i="54"/>
  <c r="C24" i="54"/>
  <c r="B24" i="54"/>
  <c r="E23" i="54"/>
  <c r="D23" i="54"/>
  <c r="C23" i="54"/>
  <c r="B23" i="54"/>
  <c r="E22" i="54"/>
  <c r="D22" i="54"/>
  <c r="C22" i="54"/>
  <c r="B22" i="54"/>
  <c r="E21" i="54"/>
  <c r="D21" i="54"/>
  <c r="C21" i="54"/>
  <c r="B21" i="54"/>
  <c r="E20" i="54"/>
  <c r="D20" i="54"/>
  <c r="C20" i="54"/>
  <c r="B20" i="54"/>
  <c r="E19" i="54"/>
  <c r="D19" i="54"/>
  <c r="C19" i="54"/>
  <c r="B19" i="54"/>
  <c r="E18" i="54"/>
  <c r="D18" i="54"/>
  <c r="C18" i="54"/>
  <c r="B18" i="54"/>
  <c r="E17" i="54"/>
  <c r="D17" i="54"/>
  <c r="C17" i="54"/>
  <c r="B17" i="54"/>
  <c r="E16" i="54"/>
  <c r="D16" i="54"/>
  <c r="C16" i="54"/>
  <c r="B16" i="54"/>
  <c r="E15" i="54"/>
  <c r="D15" i="54"/>
  <c r="C15" i="54"/>
  <c r="B15" i="54"/>
  <c r="E14" i="54"/>
  <c r="D14" i="54"/>
  <c r="C14" i="54"/>
  <c r="B14" i="54"/>
  <c r="E13" i="54"/>
  <c r="D13" i="54"/>
  <c r="C13" i="54"/>
  <c r="B13" i="54"/>
  <c r="E12" i="54"/>
  <c r="D12" i="54"/>
  <c r="C12" i="54"/>
  <c r="B12" i="54"/>
  <c r="E11" i="54"/>
  <c r="D11" i="54"/>
  <c r="C11" i="54"/>
  <c r="B11" i="54"/>
  <c r="E10" i="54"/>
  <c r="D10" i="54"/>
  <c r="C10" i="54"/>
  <c r="B10" i="54"/>
  <c r="E9" i="54"/>
  <c r="D9" i="54"/>
  <c r="C9" i="54"/>
  <c r="B9" i="54"/>
  <c r="E8" i="54"/>
  <c r="D8" i="54"/>
  <c r="C8" i="54"/>
  <c r="B8" i="54"/>
  <c r="E7" i="54"/>
  <c r="D7" i="54"/>
  <c r="C7" i="54"/>
  <c r="B7" i="54"/>
  <c r="E6" i="54"/>
  <c r="D6" i="54"/>
  <c r="C6" i="54"/>
  <c r="B6" i="54"/>
  <c r="E5" i="54"/>
  <c r="D5" i="54"/>
  <c r="C5" i="54"/>
  <c r="B5" i="54"/>
  <c r="E4" i="54"/>
  <c r="D4" i="54"/>
  <c r="C4" i="54"/>
  <c r="B4" i="54"/>
  <c r="D35" i="53"/>
  <c r="C35" i="53"/>
  <c r="B35" i="53"/>
  <c r="D34" i="53"/>
  <c r="C34" i="53"/>
  <c r="B34" i="53"/>
  <c r="D33" i="53"/>
  <c r="C33" i="53"/>
  <c r="B33" i="53"/>
  <c r="D32" i="53"/>
  <c r="C32" i="53"/>
  <c r="B32" i="53"/>
  <c r="D31" i="53"/>
  <c r="C31" i="53"/>
  <c r="B31" i="53"/>
  <c r="D30" i="53"/>
  <c r="C30" i="53"/>
  <c r="B30" i="53"/>
  <c r="D29" i="53"/>
  <c r="C29" i="53"/>
  <c r="B29" i="53"/>
  <c r="D28" i="53"/>
  <c r="C28" i="53"/>
  <c r="B28" i="53"/>
  <c r="D27" i="53"/>
  <c r="C27" i="53"/>
  <c r="B27" i="53"/>
  <c r="D26" i="53"/>
  <c r="C26" i="53"/>
  <c r="B26" i="53"/>
  <c r="D25" i="53"/>
  <c r="C25" i="53"/>
  <c r="B25" i="53"/>
  <c r="D24" i="53"/>
  <c r="C24" i="53"/>
  <c r="B24" i="53"/>
  <c r="D23" i="53"/>
  <c r="C23" i="53"/>
  <c r="C125" i="53" s="1"/>
  <c r="B23" i="53"/>
  <c r="D22" i="53"/>
  <c r="C22" i="53"/>
  <c r="B22" i="53"/>
  <c r="D21" i="53"/>
  <c r="C21" i="53"/>
  <c r="B21" i="53"/>
  <c r="D20" i="53"/>
  <c r="D122" i="53" s="1"/>
  <c r="C20" i="53"/>
  <c r="B20" i="53"/>
  <c r="D19" i="53"/>
  <c r="C19" i="53"/>
  <c r="B19" i="53"/>
  <c r="D18" i="53"/>
  <c r="C18" i="53"/>
  <c r="B18" i="53"/>
  <c r="B120" i="53" s="1"/>
  <c r="D17" i="53"/>
  <c r="C17" i="53"/>
  <c r="B17" i="53"/>
  <c r="D16" i="53"/>
  <c r="C16" i="53"/>
  <c r="B16" i="53"/>
  <c r="D15" i="53"/>
  <c r="C15" i="53"/>
  <c r="B15" i="53"/>
  <c r="D14" i="53"/>
  <c r="C14" i="53"/>
  <c r="B14" i="53"/>
  <c r="D13" i="53"/>
  <c r="C13" i="53"/>
  <c r="B13" i="53"/>
  <c r="D12" i="53"/>
  <c r="C12" i="53"/>
  <c r="B12" i="53"/>
  <c r="D11" i="53"/>
  <c r="C11" i="53"/>
  <c r="B11" i="53"/>
  <c r="D10" i="53"/>
  <c r="C10" i="53"/>
  <c r="B10" i="53"/>
  <c r="D9" i="53"/>
  <c r="C9" i="53"/>
  <c r="B9" i="53"/>
  <c r="D8" i="53"/>
  <c r="C8" i="53"/>
  <c r="B8" i="53"/>
  <c r="D7" i="53"/>
  <c r="C7" i="53"/>
  <c r="B7" i="53"/>
  <c r="D6" i="53"/>
  <c r="C6" i="53"/>
  <c r="B6" i="53"/>
  <c r="D5" i="53"/>
  <c r="C5" i="53"/>
  <c r="B5" i="53"/>
  <c r="D4" i="53"/>
  <c r="C4" i="53"/>
  <c r="D35" i="52"/>
  <c r="C35" i="52"/>
  <c r="B35" i="52"/>
  <c r="D34" i="52"/>
  <c r="C34" i="52"/>
  <c r="B34" i="52"/>
  <c r="D33" i="52"/>
  <c r="C33" i="52"/>
  <c r="B33" i="52"/>
  <c r="D32" i="52"/>
  <c r="C32" i="52"/>
  <c r="B32" i="52"/>
  <c r="D31" i="52"/>
  <c r="C31" i="52"/>
  <c r="B31" i="52"/>
  <c r="D30" i="52"/>
  <c r="C30" i="52"/>
  <c r="B30" i="52"/>
  <c r="D29" i="52"/>
  <c r="C29" i="52"/>
  <c r="B29" i="52"/>
  <c r="D28" i="52"/>
  <c r="C28" i="52"/>
  <c r="B28" i="52"/>
  <c r="D27" i="52"/>
  <c r="C27" i="52"/>
  <c r="B27" i="52"/>
  <c r="D26" i="52"/>
  <c r="C26" i="52"/>
  <c r="B26" i="52"/>
  <c r="D25" i="52"/>
  <c r="C25" i="52"/>
  <c r="B25" i="52"/>
  <c r="D24" i="52"/>
  <c r="C24" i="52"/>
  <c r="B24" i="52"/>
  <c r="D23" i="52"/>
  <c r="C23" i="52"/>
  <c r="C94" i="52" s="1"/>
  <c r="B23" i="52"/>
  <c r="D22" i="52"/>
  <c r="C22" i="52"/>
  <c r="B22" i="52"/>
  <c r="D21" i="52"/>
  <c r="C21" i="52"/>
  <c r="B21" i="52"/>
  <c r="D20" i="52"/>
  <c r="D91" i="52" s="1"/>
  <c r="C20" i="52"/>
  <c r="B20" i="52"/>
  <c r="D19" i="52"/>
  <c r="C19" i="52"/>
  <c r="B19" i="52"/>
  <c r="D18" i="52"/>
  <c r="C18" i="52"/>
  <c r="B18" i="52"/>
  <c r="B89" i="52" s="1"/>
  <c r="D17" i="52"/>
  <c r="C17" i="52"/>
  <c r="B17" i="52"/>
  <c r="D16" i="52"/>
  <c r="C16" i="52"/>
  <c r="B16" i="52"/>
  <c r="D15" i="52"/>
  <c r="C15" i="52"/>
  <c r="B15" i="52"/>
  <c r="D14" i="52"/>
  <c r="C14" i="52"/>
  <c r="B14" i="52"/>
  <c r="D13" i="52"/>
  <c r="C13" i="52"/>
  <c r="B13" i="52"/>
  <c r="D12" i="52"/>
  <c r="C12" i="52"/>
  <c r="B12" i="52"/>
  <c r="D11" i="52"/>
  <c r="C11" i="52"/>
  <c r="B11" i="52"/>
  <c r="D10" i="52"/>
  <c r="C10" i="52"/>
  <c r="B10" i="52"/>
  <c r="D9" i="52"/>
  <c r="C9" i="52"/>
  <c r="B9" i="52"/>
  <c r="D8" i="52"/>
  <c r="C8" i="52"/>
  <c r="B8" i="52"/>
  <c r="D7" i="52"/>
  <c r="C7" i="52"/>
  <c r="B7" i="52"/>
  <c r="D6" i="52"/>
  <c r="C6" i="52"/>
  <c r="B6" i="52"/>
  <c r="D5" i="52"/>
  <c r="C5" i="52"/>
  <c r="B5" i="52"/>
  <c r="D4" i="52"/>
  <c r="C4" i="52"/>
  <c r="B4" i="52"/>
  <c r="C138" i="56" l="1"/>
  <c r="D137" i="56"/>
  <c r="C39" i="56"/>
  <c r="I37" i="56" s="1"/>
  <c r="I38" i="56" s="1"/>
  <c r="I39" i="56" s="1"/>
  <c r="D123" i="54"/>
  <c r="D125" i="54"/>
  <c r="D127" i="54"/>
  <c r="D129" i="54"/>
  <c r="D37" i="54"/>
  <c r="B36" i="54"/>
  <c r="B122" i="54"/>
  <c r="B55" i="54"/>
  <c r="B57" i="54" s="1"/>
  <c r="B124" i="54"/>
  <c r="B128" i="54"/>
  <c r="B130" i="54"/>
  <c r="B126" i="54"/>
  <c r="C36" i="54"/>
  <c r="C122" i="54"/>
  <c r="C124" i="54"/>
  <c r="C126" i="54"/>
  <c r="C128" i="54"/>
  <c r="C130" i="54"/>
  <c r="D124" i="54"/>
  <c r="D128" i="54"/>
  <c r="D130" i="54"/>
  <c r="D126" i="54"/>
  <c r="B123" i="54"/>
  <c r="B125" i="54"/>
  <c r="B127" i="54"/>
  <c r="B129" i="54"/>
  <c r="D36" i="54"/>
  <c r="D122" i="54"/>
  <c r="D55" i="54"/>
  <c r="D57" i="54" s="1"/>
  <c r="C123" i="54"/>
  <c r="C125" i="54"/>
  <c r="C127" i="54"/>
  <c r="C129" i="54"/>
  <c r="D120" i="53"/>
  <c r="C123" i="53"/>
  <c r="B126" i="53"/>
  <c r="B121" i="53"/>
  <c r="D123" i="53"/>
  <c r="C126" i="53"/>
  <c r="D125" i="53"/>
  <c r="D126" i="53"/>
  <c r="C121" i="53"/>
  <c r="B119" i="53"/>
  <c r="B55" i="53"/>
  <c r="B57" i="53" s="1"/>
  <c r="D121" i="53"/>
  <c r="C124" i="53"/>
  <c r="B127" i="53"/>
  <c r="B123" i="53"/>
  <c r="B124" i="53"/>
  <c r="C55" i="53"/>
  <c r="C57" i="53" s="1"/>
  <c r="C119" i="53"/>
  <c r="B122" i="53"/>
  <c r="D124" i="53"/>
  <c r="C127" i="53"/>
  <c r="C120" i="53"/>
  <c r="D55" i="53"/>
  <c r="D57" i="53" s="1"/>
  <c r="D119" i="53"/>
  <c r="C122" i="53"/>
  <c r="B125" i="53"/>
  <c r="D127" i="53"/>
  <c r="D88" i="52"/>
  <c r="C91" i="52"/>
  <c r="B94" i="52"/>
  <c r="D96" i="52"/>
  <c r="C89" i="52"/>
  <c r="B92" i="52"/>
  <c r="D94" i="52"/>
  <c r="D89" i="52"/>
  <c r="C92" i="52"/>
  <c r="B95" i="52"/>
  <c r="B90" i="52"/>
  <c r="D92" i="52"/>
  <c r="C95" i="52"/>
  <c r="C90" i="52"/>
  <c r="B93" i="52"/>
  <c r="D95" i="52"/>
  <c r="B88" i="52"/>
  <c r="F47" i="52"/>
  <c r="D90" i="52"/>
  <c r="C93" i="52"/>
  <c r="B96" i="52"/>
  <c r="C88" i="52"/>
  <c r="B91" i="52"/>
  <c r="D93" i="52"/>
  <c r="C96" i="52"/>
  <c r="E133" i="56"/>
  <c r="E130" i="56"/>
  <c r="F36" i="56"/>
  <c r="E138" i="56"/>
  <c r="E135" i="56"/>
  <c r="E132" i="56"/>
  <c r="E137" i="56"/>
  <c r="E134" i="56"/>
  <c r="E131" i="56"/>
  <c r="D133" i="56"/>
  <c r="D130" i="56"/>
  <c r="G43" i="56"/>
  <c r="E36" i="56"/>
  <c r="D138" i="56"/>
  <c r="D135" i="56"/>
  <c r="D132" i="56"/>
  <c r="D134" i="56"/>
  <c r="D131" i="56"/>
  <c r="D136" i="56"/>
  <c r="C130" i="56"/>
  <c r="D36" i="56"/>
  <c r="C135" i="56"/>
  <c r="C132" i="56"/>
  <c r="C137" i="56"/>
  <c r="C134" i="56"/>
  <c r="C131" i="56"/>
  <c r="C136" i="56"/>
  <c r="C133" i="56"/>
  <c r="B132" i="56"/>
  <c r="B137" i="56"/>
  <c r="B134" i="56"/>
  <c r="B131" i="56"/>
  <c r="B136" i="56"/>
  <c r="B133" i="56"/>
  <c r="B130" i="56"/>
  <c r="C36" i="56"/>
  <c r="B138" i="56"/>
  <c r="A134" i="56"/>
  <c r="A131" i="56"/>
  <c r="A136" i="56"/>
  <c r="A133" i="56"/>
  <c r="A130" i="56"/>
  <c r="B36" i="56"/>
  <c r="A138" i="56"/>
  <c r="A137" i="56"/>
  <c r="A135" i="56"/>
  <c r="E124" i="54"/>
  <c r="E127" i="54"/>
  <c r="E129" i="54"/>
  <c r="E123" i="54"/>
  <c r="E125" i="54"/>
  <c r="E130" i="54"/>
  <c r="E122" i="54"/>
  <c r="E55" i="54"/>
  <c r="E57" i="54" s="1"/>
  <c r="E36" i="54"/>
  <c r="E38" i="54" s="1"/>
  <c r="E128" i="54"/>
  <c r="E126" i="54"/>
  <c r="D36" i="53"/>
  <c r="C36" i="53"/>
  <c r="B36" i="53"/>
  <c r="B36" i="52"/>
  <c r="D36" i="52"/>
  <c r="C36" i="52"/>
  <c r="C37" i="54"/>
  <c r="B54" i="54"/>
  <c r="D54" i="54"/>
  <c r="D38" i="54"/>
  <c r="E54" i="54"/>
  <c r="B37" i="54"/>
  <c r="E37" i="56"/>
  <c r="B37" i="53"/>
  <c r="B38" i="53" s="1"/>
  <c r="B54" i="53"/>
  <c r="C37" i="52"/>
  <c r="C37" i="56"/>
  <c r="B37" i="56"/>
  <c r="D37" i="56"/>
  <c r="F37" i="56"/>
  <c r="C37" i="53"/>
  <c r="C38" i="53" s="1"/>
  <c r="C54" i="53"/>
  <c r="D54" i="53"/>
  <c r="B37" i="52"/>
  <c r="D37" i="52"/>
  <c r="D37" i="53"/>
  <c r="B6" i="51"/>
  <c r="C6" i="51"/>
  <c r="D6" i="51"/>
  <c r="E6" i="51"/>
  <c r="F6" i="51"/>
  <c r="G6" i="51"/>
  <c r="B7" i="51"/>
  <c r="C7" i="51"/>
  <c r="D7" i="51"/>
  <c r="E7" i="51"/>
  <c r="F7" i="51"/>
  <c r="G7" i="51"/>
  <c r="B8" i="51"/>
  <c r="C8" i="51"/>
  <c r="D8" i="51"/>
  <c r="E8" i="51"/>
  <c r="F8" i="51"/>
  <c r="G8" i="51"/>
  <c r="B9" i="51"/>
  <c r="C9" i="51"/>
  <c r="D9" i="51"/>
  <c r="E9" i="51"/>
  <c r="F9" i="51"/>
  <c r="G9" i="51"/>
  <c r="B10" i="51"/>
  <c r="C10" i="51"/>
  <c r="D10" i="51"/>
  <c r="E10" i="51"/>
  <c r="F10" i="51"/>
  <c r="G10" i="51"/>
  <c r="B11" i="51"/>
  <c r="C11" i="51"/>
  <c r="D11" i="51"/>
  <c r="E11" i="51"/>
  <c r="F11" i="51"/>
  <c r="G11" i="51"/>
  <c r="B12" i="51"/>
  <c r="C12" i="51"/>
  <c r="D12" i="51"/>
  <c r="E12" i="51"/>
  <c r="F12" i="51"/>
  <c r="G12" i="51"/>
  <c r="B13" i="51"/>
  <c r="C13" i="51"/>
  <c r="D13" i="51"/>
  <c r="E13" i="51"/>
  <c r="F13" i="51"/>
  <c r="G13" i="51"/>
  <c r="B14" i="51"/>
  <c r="C14" i="51"/>
  <c r="D14" i="51"/>
  <c r="E14" i="51"/>
  <c r="F14" i="51"/>
  <c r="G14" i="51"/>
  <c r="B15" i="51"/>
  <c r="C15" i="51"/>
  <c r="D15" i="51"/>
  <c r="E15" i="51"/>
  <c r="F15" i="51"/>
  <c r="G15" i="51"/>
  <c r="B16" i="51"/>
  <c r="C16" i="51"/>
  <c r="D16" i="51"/>
  <c r="E16" i="51"/>
  <c r="F16" i="51"/>
  <c r="G16" i="51"/>
  <c r="B17" i="51"/>
  <c r="C17" i="51"/>
  <c r="D17" i="51"/>
  <c r="E17" i="51"/>
  <c r="F17" i="51"/>
  <c r="G17" i="51"/>
  <c r="B18" i="51"/>
  <c r="C18" i="51"/>
  <c r="D18" i="51"/>
  <c r="E18" i="51"/>
  <c r="F18" i="51"/>
  <c r="G18" i="51"/>
  <c r="B19" i="51"/>
  <c r="C19" i="51"/>
  <c r="D19" i="51"/>
  <c r="E19" i="51"/>
  <c r="F19" i="51"/>
  <c r="G19" i="51"/>
  <c r="B20" i="51"/>
  <c r="C20" i="51"/>
  <c r="B139" i="51" s="1"/>
  <c r="D20" i="51"/>
  <c r="E20" i="51"/>
  <c r="F20" i="51"/>
  <c r="G20" i="51"/>
  <c r="B21" i="51"/>
  <c r="C21" i="51"/>
  <c r="D21" i="51"/>
  <c r="E21" i="51"/>
  <c r="D140" i="51" s="1"/>
  <c r="F21" i="51"/>
  <c r="G21" i="51"/>
  <c r="B22" i="51"/>
  <c r="C22" i="51"/>
  <c r="D22" i="51"/>
  <c r="E22" i="51"/>
  <c r="F22" i="51"/>
  <c r="G22" i="51"/>
  <c r="F141" i="51" s="1"/>
  <c r="B23" i="51"/>
  <c r="C23" i="51"/>
  <c r="D23" i="51"/>
  <c r="E23" i="51"/>
  <c r="F23" i="51"/>
  <c r="G23" i="51"/>
  <c r="B24" i="51"/>
  <c r="C24" i="51"/>
  <c r="B143" i="51" s="1"/>
  <c r="D24" i="51"/>
  <c r="E24" i="51"/>
  <c r="F24" i="51"/>
  <c r="G24" i="51"/>
  <c r="B25" i="51"/>
  <c r="A144" i="51" s="1"/>
  <c r="C25" i="51"/>
  <c r="D25" i="51"/>
  <c r="E25" i="51"/>
  <c r="D144" i="51" s="1"/>
  <c r="F25" i="51"/>
  <c r="G25" i="51"/>
  <c r="B26" i="51"/>
  <c r="C26" i="51"/>
  <c r="D26" i="51"/>
  <c r="C145" i="51" s="1"/>
  <c r="E26" i="51"/>
  <c r="F26" i="51"/>
  <c r="E145" i="51" s="1"/>
  <c r="G26" i="51"/>
  <c r="F145" i="51" s="1"/>
  <c r="B27" i="51"/>
  <c r="C27" i="51"/>
  <c r="D27" i="51"/>
  <c r="E27" i="51"/>
  <c r="F27" i="51"/>
  <c r="G27" i="51"/>
  <c r="B28" i="51"/>
  <c r="C28" i="51"/>
  <c r="D28" i="51"/>
  <c r="E28" i="51"/>
  <c r="F28" i="51"/>
  <c r="G28" i="51"/>
  <c r="B29" i="51"/>
  <c r="C29" i="51"/>
  <c r="D29" i="51"/>
  <c r="E29" i="51"/>
  <c r="F29" i="51"/>
  <c r="G29" i="51"/>
  <c r="B30" i="51"/>
  <c r="C30" i="51"/>
  <c r="D30" i="51"/>
  <c r="E30" i="51"/>
  <c r="F30" i="51"/>
  <c r="G30" i="51"/>
  <c r="B31" i="51"/>
  <c r="C31" i="51"/>
  <c r="D31" i="51"/>
  <c r="E31" i="51"/>
  <c r="F31" i="51"/>
  <c r="G31" i="51"/>
  <c r="B32" i="51"/>
  <c r="C32" i="51"/>
  <c r="D32" i="51"/>
  <c r="E32" i="51"/>
  <c r="F32" i="51"/>
  <c r="G32" i="51"/>
  <c r="B33" i="51"/>
  <c r="C33" i="51"/>
  <c r="D33" i="51"/>
  <c r="E33" i="51"/>
  <c r="F33" i="51"/>
  <c r="G33" i="51"/>
  <c r="B34" i="51"/>
  <c r="C34" i="51"/>
  <c r="D34" i="51"/>
  <c r="E34" i="51"/>
  <c r="F34" i="51"/>
  <c r="G34" i="51"/>
  <c r="B35" i="51"/>
  <c r="C35" i="51"/>
  <c r="D35" i="51"/>
  <c r="E35" i="51"/>
  <c r="F35" i="51"/>
  <c r="G35" i="51"/>
  <c r="B36" i="51"/>
  <c r="C36" i="51"/>
  <c r="D36" i="51"/>
  <c r="E36" i="51"/>
  <c r="F36" i="51"/>
  <c r="G36" i="51"/>
  <c r="G5" i="51"/>
  <c r="F5" i="51"/>
  <c r="E5" i="51"/>
  <c r="D5" i="51"/>
  <c r="C5" i="51"/>
  <c r="B5" i="51"/>
  <c r="C44" i="56" l="1"/>
  <c r="C46" i="56"/>
  <c r="C45" i="56"/>
  <c r="C47" i="56"/>
  <c r="C48" i="56"/>
  <c r="C43" i="56"/>
  <c r="E44" i="56"/>
  <c r="E45" i="56"/>
  <c r="E46" i="56"/>
  <c r="E47" i="56"/>
  <c r="E48" i="56"/>
  <c r="E43" i="56"/>
  <c r="B45" i="54"/>
  <c r="B46" i="54"/>
  <c r="B47" i="54"/>
  <c r="B44" i="54"/>
  <c r="B43" i="54"/>
  <c r="B42" i="54"/>
  <c r="C45" i="54"/>
  <c r="C46" i="54"/>
  <c r="C47" i="54"/>
  <c r="C44" i="54"/>
  <c r="C43" i="54"/>
  <c r="C42" i="54"/>
  <c r="D45" i="54"/>
  <c r="D46" i="54"/>
  <c r="D47" i="54"/>
  <c r="D44" i="54"/>
  <c r="D42" i="54"/>
  <c r="D43" i="54"/>
  <c r="D42" i="53"/>
  <c r="D44" i="53"/>
  <c r="D43" i="53"/>
  <c r="D47" i="53"/>
  <c r="D45" i="53"/>
  <c r="D46" i="53"/>
  <c r="B46" i="53"/>
  <c r="B45" i="53"/>
  <c r="B47" i="53"/>
  <c r="C42" i="53"/>
  <c r="C43" i="53"/>
  <c r="C44" i="53"/>
  <c r="B43" i="53"/>
  <c r="B42" i="53"/>
  <c r="B44" i="53"/>
  <c r="C45" i="53"/>
  <c r="C46" i="53"/>
  <c r="C47" i="53"/>
  <c r="C43" i="52"/>
  <c r="C44" i="52"/>
  <c r="C45" i="52"/>
  <c r="C46" i="52"/>
  <c r="C47" i="52"/>
  <c r="C48" i="52"/>
  <c r="F46" i="52"/>
  <c r="F49" i="52"/>
  <c r="D44" i="52"/>
  <c r="D45" i="52"/>
  <c r="D46" i="52"/>
  <c r="D47" i="52"/>
  <c r="D48" i="52"/>
  <c r="D43" i="52"/>
  <c r="A145" i="51"/>
  <c r="E144" i="51"/>
  <c r="C143" i="51"/>
  <c r="A142" i="51"/>
  <c r="E140" i="51"/>
  <c r="C139" i="51"/>
  <c r="A138" i="51"/>
  <c r="C144" i="51"/>
  <c r="A143" i="51"/>
  <c r="E141" i="51"/>
  <c r="C140" i="51"/>
  <c r="A139" i="51"/>
  <c r="E137" i="51"/>
  <c r="D145" i="51"/>
  <c r="B144" i="51"/>
  <c r="F142" i="51"/>
  <c r="D141" i="51"/>
  <c r="B140" i="51"/>
  <c r="F138" i="51"/>
  <c r="E37" i="51"/>
  <c r="D137" i="51"/>
  <c r="E142" i="51"/>
  <c r="C141" i="51"/>
  <c r="A140" i="51"/>
  <c r="E138" i="51"/>
  <c r="D37" i="51"/>
  <c r="C137" i="51"/>
  <c r="B145" i="51"/>
  <c r="F143" i="51"/>
  <c r="D142" i="51"/>
  <c r="B141" i="51"/>
  <c r="F139" i="51"/>
  <c r="D138" i="51"/>
  <c r="C37" i="51"/>
  <c r="B137" i="51"/>
  <c r="C57" i="51"/>
  <c r="C59" i="51" s="1"/>
  <c r="C56" i="51"/>
  <c r="E143" i="51"/>
  <c r="C142" i="51"/>
  <c r="A141" i="51"/>
  <c r="E139" i="51"/>
  <c r="C138" i="51"/>
  <c r="A137" i="51"/>
  <c r="B57" i="51"/>
  <c r="B59" i="51" s="1"/>
  <c r="B56" i="51"/>
  <c r="F137" i="51"/>
  <c r="F144" i="51"/>
  <c r="D143" i="51"/>
  <c r="B142" i="51"/>
  <c r="F140" i="51"/>
  <c r="D139" i="51"/>
  <c r="B138" i="51"/>
  <c r="F48" i="56"/>
  <c r="F47" i="56"/>
  <c r="F46" i="56"/>
  <c r="F45" i="56"/>
  <c r="F43" i="56"/>
  <c r="F44" i="56"/>
  <c r="D48" i="56"/>
  <c r="D45" i="56"/>
  <c r="D44" i="56"/>
  <c r="D46" i="56"/>
  <c r="D43" i="56"/>
  <c r="D47" i="56"/>
  <c r="B44" i="56"/>
  <c r="H31" i="56" s="1"/>
  <c r="B45" i="56"/>
  <c r="B46" i="56"/>
  <c r="B47" i="56"/>
  <c r="H34" i="56" s="1"/>
  <c r="B48" i="56"/>
  <c r="E46" i="54"/>
  <c r="E47" i="54"/>
  <c r="E45" i="54"/>
  <c r="E42" i="54"/>
  <c r="G30" i="54" s="1"/>
  <c r="E44" i="54"/>
  <c r="E43" i="54"/>
  <c r="F37" i="51"/>
  <c r="F38" i="56"/>
  <c r="E38" i="56"/>
  <c r="B38" i="52"/>
  <c r="C38" i="52"/>
  <c r="C38" i="54"/>
  <c r="B38" i="54"/>
  <c r="B38" i="56"/>
  <c r="D38" i="52"/>
  <c r="C38" i="56"/>
  <c r="D38" i="56"/>
  <c r="D38" i="53"/>
  <c r="E38" i="51"/>
  <c r="E39" i="51" s="1"/>
  <c r="D38" i="51"/>
  <c r="C38" i="51"/>
  <c r="B38" i="51"/>
  <c r="G38" i="51"/>
  <c r="F38" i="51"/>
  <c r="O32" i="54"/>
  <c r="O31" i="54"/>
  <c r="O34" i="54"/>
  <c r="O35" i="54"/>
  <c r="B44" i="52" l="1"/>
  <c r="B45" i="52"/>
  <c r="B46" i="52"/>
  <c r="B47" i="52"/>
  <c r="F34" i="52" s="1"/>
  <c r="B48" i="52"/>
  <c r="F35" i="52" s="1"/>
  <c r="B43" i="52"/>
  <c r="G44" i="51"/>
  <c r="G40" i="51" s="1"/>
  <c r="G49" i="51"/>
  <c r="G48" i="51"/>
  <c r="G46" i="51"/>
  <c r="G45" i="51"/>
  <c r="G47" i="51"/>
  <c r="B47" i="51"/>
  <c r="B48" i="51"/>
  <c r="B49" i="51"/>
  <c r="E48" i="51"/>
  <c r="E46" i="51"/>
  <c r="E44" i="51"/>
  <c r="E40" i="51" s="1"/>
  <c r="E45" i="51"/>
  <c r="E47" i="51"/>
  <c r="E49" i="51"/>
  <c r="F48" i="51"/>
  <c r="F46" i="51"/>
  <c r="F47" i="51"/>
  <c r="F45" i="51"/>
  <c r="F49" i="51"/>
  <c r="F44" i="51"/>
  <c r="F40" i="51" s="1"/>
  <c r="B45" i="51"/>
  <c r="B44" i="51"/>
  <c r="B40" i="51" s="1"/>
  <c r="B46" i="51"/>
  <c r="C47" i="51"/>
  <c r="C49" i="51"/>
  <c r="C48" i="51"/>
  <c r="C45" i="51"/>
  <c r="C46" i="51"/>
  <c r="C44" i="51"/>
  <c r="C40" i="51" s="1"/>
  <c r="D48" i="51"/>
  <c r="D46" i="51"/>
  <c r="D45" i="51"/>
  <c r="D47" i="51"/>
  <c r="D49" i="51"/>
  <c r="D44" i="51"/>
  <c r="D40" i="51" s="1"/>
  <c r="H30" i="56"/>
  <c r="H32" i="56"/>
  <c r="H33" i="56"/>
  <c r="H35" i="56"/>
  <c r="B39" i="51"/>
  <c r="F39" i="51"/>
  <c r="C39" i="51"/>
  <c r="D39" i="51"/>
  <c r="G39" i="51"/>
  <c r="N6" i="54"/>
  <c r="G35" i="56"/>
  <c r="G34" i="56"/>
  <c r="G34" i="54"/>
  <c r="G35" i="54"/>
  <c r="F35" i="54"/>
  <c r="F34" i="54"/>
  <c r="F35" i="53"/>
  <c r="E35" i="53"/>
  <c r="F34" i="53"/>
  <c r="E34" i="53"/>
  <c r="F32" i="52"/>
  <c r="F33" i="52"/>
  <c r="F31" i="52"/>
  <c r="F30" i="52"/>
  <c r="E35" i="52"/>
  <c r="E34" i="52"/>
  <c r="H35" i="51"/>
  <c r="H36" i="51"/>
  <c r="I35" i="51" l="1"/>
  <c r="I36" i="51"/>
  <c r="G31" i="54"/>
  <c r="G32" i="54"/>
  <c r="G33" i="54"/>
  <c r="F31" i="53"/>
  <c r="F32" i="53"/>
  <c r="F33" i="53"/>
  <c r="F30" i="53"/>
  <c r="I32" i="51"/>
  <c r="I33" i="51"/>
  <c r="I34" i="51"/>
  <c r="I31" i="51"/>
  <c r="H34" i="51" l="1"/>
  <c r="G33" i="56" l="1"/>
  <c r="F33" i="54"/>
  <c r="E33" i="53"/>
  <c r="E33" i="52"/>
  <c r="G32" i="56" l="1"/>
  <c r="F32" i="54"/>
  <c r="E32" i="53"/>
  <c r="E32" i="52"/>
  <c r="H33" i="51" l="1"/>
  <c r="G31" i="56" l="1"/>
  <c r="F31" i="54"/>
  <c r="E31" i="53"/>
  <c r="E31" i="52"/>
  <c r="H32" i="51" l="1"/>
  <c r="G30" i="56" l="1"/>
  <c r="F30" i="54"/>
  <c r="E30" i="53"/>
  <c r="E30" i="52"/>
  <c r="H31" i="51"/>
  <c r="H30" i="51" l="1"/>
  <c r="H29" i="51"/>
  <c r="H28" i="51"/>
  <c r="H27" i="51"/>
  <c r="H26" i="51"/>
  <c r="H25" i="51"/>
  <c r="H24" i="51"/>
  <c r="H23" i="51"/>
  <c r="H22" i="51"/>
  <c r="H21" i="51"/>
  <c r="H20" i="51"/>
  <c r="H19" i="51"/>
  <c r="H18" i="51"/>
  <c r="H17" i="51"/>
  <c r="H16" i="51"/>
  <c r="H15" i="51"/>
  <c r="H14" i="51"/>
  <c r="H13" i="51"/>
  <c r="H12" i="51"/>
  <c r="H11" i="51"/>
  <c r="H10" i="51"/>
  <c r="H9" i="51"/>
  <c r="H8" i="51"/>
  <c r="H7" i="51"/>
  <c r="H6" i="51"/>
  <c r="H5" i="51"/>
  <c r="G28" i="56" l="1"/>
  <c r="G29" i="56"/>
  <c r="F28" i="54"/>
  <c r="F29" i="54"/>
  <c r="E28" i="53"/>
  <c r="E29" i="53"/>
  <c r="E28" i="52"/>
  <c r="E29" i="52"/>
  <c r="G5" i="56" l="1"/>
  <c r="G6" i="56"/>
  <c r="G7" i="56"/>
  <c r="G8" i="56"/>
  <c r="G9" i="56"/>
  <c r="G10" i="56"/>
  <c r="G11" i="56"/>
  <c r="G12" i="56"/>
  <c r="G13" i="56"/>
  <c r="G14" i="56"/>
  <c r="G15" i="56"/>
  <c r="G16" i="56"/>
  <c r="G17" i="56"/>
  <c r="G18" i="56"/>
  <c r="G19" i="56"/>
  <c r="G20" i="56"/>
  <c r="G21" i="56"/>
  <c r="G22" i="56"/>
  <c r="G23" i="56"/>
  <c r="G24" i="56"/>
  <c r="G25" i="56"/>
  <c r="G26" i="56"/>
  <c r="G27" i="56"/>
  <c r="G4" i="56"/>
  <c r="F5" i="54"/>
  <c r="F6" i="54"/>
  <c r="F7" i="54"/>
  <c r="F8" i="54"/>
  <c r="F9" i="54"/>
  <c r="F10" i="54"/>
  <c r="F11" i="54"/>
  <c r="F12" i="54"/>
  <c r="F13" i="54"/>
  <c r="F14" i="54"/>
  <c r="F15" i="54"/>
  <c r="F16" i="54"/>
  <c r="F17" i="54"/>
  <c r="F18" i="54"/>
  <c r="F19" i="54"/>
  <c r="F20" i="54"/>
  <c r="F21" i="54"/>
  <c r="F22" i="54"/>
  <c r="F23" i="54"/>
  <c r="F24" i="54"/>
  <c r="F25" i="54"/>
  <c r="F26" i="54"/>
  <c r="F27" i="54"/>
  <c r="F4" i="54"/>
  <c r="E5" i="53"/>
  <c r="E6" i="53"/>
  <c r="E7" i="53"/>
  <c r="E8" i="53"/>
  <c r="E9" i="53"/>
  <c r="E10" i="53"/>
  <c r="E11" i="53"/>
  <c r="E12" i="53"/>
  <c r="E13" i="53"/>
  <c r="E14" i="53"/>
  <c r="E15" i="53"/>
  <c r="E16" i="53"/>
  <c r="E17" i="53"/>
  <c r="E18" i="53"/>
  <c r="E19" i="53"/>
  <c r="E20" i="53"/>
  <c r="E21" i="53"/>
  <c r="E22" i="53"/>
  <c r="E23" i="53"/>
  <c r="E24" i="53"/>
  <c r="E25" i="53"/>
  <c r="E26" i="53"/>
  <c r="E27" i="53"/>
  <c r="E4" i="53"/>
  <c r="E5" i="52"/>
  <c r="E6" i="52"/>
  <c r="E7" i="52"/>
  <c r="E8" i="52"/>
  <c r="E9" i="52"/>
  <c r="E10" i="52"/>
  <c r="E11" i="52"/>
  <c r="E12" i="52"/>
  <c r="E13" i="52"/>
  <c r="E14" i="52"/>
  <c r="E15" i="52"/>
  <c r="E16" i="52"/>
  <c r="E17" i="52"/>
  <c r="E18" i="52"/>
  <c r="E19" i="52"/>
  <c r="E20" i="52"/>
  <c r="E21" i="52"/>
  <c r="E22" i="52"/>
  <c r="E23" i="52"/>
  <c r="E24" i="52"/>
  <c r="E25" i="52"/>
  <c r="E26" i="52"/>
  <c r="E27" i="52"/>
  <c r="E4" i="52"/>
</calcChain>
</file>

<file path=xl/sharedStrings.xml><?xml version="1.0" encoding="utf-8"?>
<sst xmlns="http://schemas.openxmlformats.org/spreadsheetml/2006/main" count="2848" uniqueCount="371">
  <si>
    <t>Almaco Jack</t>
  </si>
  <si>
    <t>Commercial</t>
  </si>
  <si>
    <t>Atlantic Spadefish</t>
  </si>
  <si>
    <t>Banded Rudderfish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</si>
  <si>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</si>
  <si>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</si>
  <si>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</si>
  <si>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</si>
  <si>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</si>
  <si>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</si>
  <si>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</si>
  <si>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</si>
  <si>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</si>
  <si>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</si>
  <si>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</si>
  <si>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</si>
  <si>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</si>
  <si>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</si>
  <si>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</si>
  <si>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</si>
  <si>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</si>
  <si>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Graysby</t>
  </si>
  <si>
    <t>Saucereye Porgy</t>
  </si>
  <si>
    <t>Margate</t>
  </si>
  <si>
    <t>Coney</t>
  </si>
  <si>
    <t>Misty Grouper</t>
  </si>
  <si>
    <t>Blackfin Snapper</t>
  </si>
  <si>
    <t>Yellowmouth Grouper</t>
  </si>
  <si>
    <t>Queen Snapper</t>
  </si>
  <si>
    <t>Scup</t>
  </si>
  <si>
    <t>Sand Tilefish</t>
  </si>
  <si>
    <t>Yellowfin Grouper</t>
  </si>
  <si>
    <t>Deepwater Complex</t>
  </si>
  <si>
    <t>Jacks Complex</t>
  </si>
  <si>
    <t>Snappers Complex</t>
  </si>
  <si>
    <t>Grunts Complex</t>
  </si>
  <si>
    <t>Sailor's Choice</t>
  </si>
  <si>
    <t>Shallow-Water Complex</t>
  </si>
  <si>
    <t>Porgy Complex</t>
  </si>
  <si>
    <t>Bar Jack</t>
  </si>
  <si>
    <t>Comm</t>
  </si>
  <si>
    <t>ABC</t>
  </si>
  <si>
    <t>Dolphin</t>
  </si>
  <si>
    <t>Wahoo</t>
  </si>
  <si>
    <t>GA-NC Hogfish</t>
  </si>
  <si>
    <t>HB</t>
  </si>
  <si>
    <t>Commercial Landings</t>
  </si>
  <si>
    <t>Avg 12-14</t>
  </si>
  <si>
    <t>Total Old</t>
  </si>
  <si>
    <t>Old Rec</t>
  </si>
  <si>
    <t>New Rec</t>
  </si>
  <si>
    <t>Old ABC/ACL</t>
  </si>
  <si>
    <t>Associated Scalar</t>
  </si>
  <si>
    <t>Range of Years</t>
  </si>
  <si>
    <t>1999-2007</t>
  </si>
  <si>
    <t>Catch Statistic</t>
  </si>
  <si>
    <t>Statistic</t>
  </si>
  <si>
    <t>Risk of Overexplpoitation</t>
  </si>
  <si>
    <t>Year of Max</t>
  </si>
  <si>
    <t>Council Risk</t>
  </si>
  <si>
    <t>Old Stats for ORCS</t>
  </si>
  <si>
    <t>Old Landings</t>
  </si>
  <si>
    <t>New Landings</t>
  </si>
  <si>
    <t>Avg 86-08</t>
  </si>
  <si>
    <t>Avg 06-08</t>
  </si>
  <si>
    <t>Third Highest Rank</t>
  </si>
  <si>
    <t>Rank New</t>
  </si>
  <si>
    <t>New ABC/ACL</t>
  </si>
  <si>
    <t>Avg 15-17</t>
  </si>
  <si>
    <t>recent/3rd highest</t>
  </si>
  <si>
    <t>Avg 12-17</t>
  </si>
  <si>
    <t>Avg 99-07</t>
  </si>
  <si>
    <t>recent/ORCS</t>
  </si>
  <si>
    <t>Mod High</t>
  </si>
  <si>
    <t>Stats for ORCS</t>
  </si>
  <si>
    <t>Old Value</t>
  </si>
  <si>
    <t>New Value</t>
  </si>
  <si>
    <t>Low</t>
  </si>
  <si>
    <t>Moderate</t>
  </si>
  <si>
    <t>Risk Cat</t>
  </si>
  <si>
    <t>Scalar</t>
  </si>
  <si>
    <t>ORCS Yrs</t>
  </si>
  <si>
    <t>Max Year</t>
  </si>
  <si>
    <t>Catch Stat</t>
  </si>
  <si>
    <t>New Stats for ORCS</t>
  </si>
  <si>
    <t>recent/3rd</t>
  </si>
  <si>
    <t>ORCS Risk Categories and Associated Scalars</t>
  </si>
  <si>
    <t>Mod Low</t>
  </si>
  <si>
    <t>High</t>
  </si>
  <si>
    <t>Risk of Overexploitation</t>
  </si>
  <si>
    <t>Risk Tolerance Scalar</t>
  </si>
  <si>
    <t>Risk of Overexploitation Scalar</t>
  </si>
  <si>
    <t>Avg 12-14/17</t>
  </si>
  <si>
    <t>3rd Highest</t>
  </si>
  <si>
    <t>A</t>
  </si>
  <si>
    <t>B1</t>
  </si>
  <si>
    <t>AB1</t>
  </si>
  <si>
    <t>Diff New</t>
  </si>
  <si>
    <t>MRIP+HB</t>
  </si>
  <si>
    <t>% Diff New</t>
  </si>
  <si>
    <t>% Diff</t>
  </si>
  <si>
    <t>New MRIP</t>
  </si>
  <si>
    <t>% Diff of Avg</t>
  </si>
  <si>
    <t>% Diff Avg</t>
  </si>
  <si>
    <t>Avg</t>
  </si>
  <si>
    <t>No weights available from MRIP</t>
  </si>
  <si>
    <t>Fish with no weights</t>
  </si>
  <si>
    <t>Some fish with no weights</t>
  </si>
  <si>
    <t>No Wts</t>
  </si>
  <si>
    <t>Yellowfin Gouper</t>
  </si>
  <si>
    <t>Missing weights</t>
  </si>
  <si>
    <t>Total New MRIP</t>
  </si>
  <si>
    <t>Missing Wts</t>
  </si>
  <si>
    <t>missing wts</t>
  </si>
  <si>
    <t>Black Grouper</t>
  </si>
  <si>
    <t>Rank Old</t>
  </si>
  <si>
    <t>Old MRIP</t>
  </si>
  <si>
    <t>New Rec No HB</t>
  </si>
  <si>
    <t>Change New-Old</t>
  </si>
  <si>
    <t>% Change</t>
  </si>
  <si>
    <t>This is assumed since the Council never formally designated this in an amendment.</t>
  </si>
  <si>
    <t>Scup Median</t>
  </si>
  <si>
    <t>South Atlantic Historical Recreational Landings and Annual Catch Limits</t>
  </si>
  <si>
    <r>
      <t xml:space="preserve">This page provides only a summary of the information regarding the existing regulations. Any discrepancies between this information and the regulations as published in the </t>
    </r>
    <r>
      <rPr>
        <i/>
        <sz val="12"/>
        <color indexed="63"/>
        <rFont val="Calibri"/>
        <family val="2"/>
        <scheme val="minor"/>
      </rPr>
      <t xml:space="preserve">Federal Register  </t>
    </r>
    <r>
      <rPr>
        <sz val="12"/>
        <color indexed="63"/>
        <rFont val="Calibri"/>
        <family val="2"/>
        <scheme val="minor"/>
      </rPr>
      <t xml:space="preserve">will be resolved in favor of the </t>
    </r>
    <r>
      <rPr>
        <i/>
        <sz val="12"/>
        <color indexed="63"/>
        <rFont val="Calibri"/>
        <family val="2"/>
        <scheme val="minor"/>
      </rPr>
      <t xml:space="preserve">Federal Register </t>
    </r>
    <r>
      <rPr>
        <sz val="12"/>
        <color indexed="63"/>
        <rFont val="Calibri"/>
        <family val="2"/>
        <scheme val="minor"/>
      </rPr>
      <t>.</t>
    </r>
  </si>
  <si>
    <r>
      <t xml:space="preserve">There are no seasonal closures unless otherwise noted.  For a list of current seasonal closures, see the </t>
    </r>
    <r>
      <rPr>
        <u/>
        <sz val="12"/>
        <color indexed="63"/>
        <rFont val="Calibri"/>
        <family val="2"/>
        <scheme val="minor"/>
      </rPr>
      <t>South Atlantic Seasonal Closures page.</t>
    </r>
  </si>
  <si>
    <t>Goliath Grouper, Nassau Grouper, Speckled Hind, and Warsaw Grouper are closed to harvest.</t>
  </si>
  <si>
    <r>
      <t>a</t>
    </r>
    <r>
      <rPr>
        <sz val="12"/>
        <color rgb="FF333333"/>
        <rFont val="Calibri"/>
        <family val="2"/>
        <scheme val="minor"/>
      </rPr>
      <t>All of the most recent landings data are preliminary only.</t>
    </r>
  </si>
  <si>
    <t>King Mackerel</t>
  </si>
  <si>
    <t>Fishing Year</t>
  </si>
  <si>
    <t>Total Landings</t>
  </si>
  <si>
    <t>Units</t>
  </si>
  <si>
    <t>ACL</t>
  </si>
  <si>
    <t>ACL  %</t>
  </si>
  <si>
    <t>Closure Date</t>
  </si>
  <si>
    <t>Data Source</t>
  </si>
  <si>
    <r>
      <t>2019</t>
    </r>
    <r>
      <rPr>
        <vertAlign val="superscript"/>
        <sz val="12"/>
        <rFont val="Calibri"/>
        <family val="2"/>
        <scheme val="minor"/>
      </rPr>
      <t>a</t>
    </r>
  </si>
  <si>
    <t>Jan 1 - Dec 31</t>
  </si>
  <si>
    <t>ww</t>
  </si>
  <si>
    <t>MRIP-CHTS</t>
  </si>
  <si>
    <r>
      <t>2019-2020</t>
    </r>
    <r>
      <rPr>
        <vertAlign val="superscript"/>
        <sz val="12"/>
        <rFont val="Calibri"/>
        <family val="2"/>
        <scheme val="minor"/>
      </rPr>
      <t>a</t>
    </r>
  </si>
  <si>
    <t>Mar 1 - Feb 28/29</t>
  </si>
  <si>
    <t>2018-2019</t>
  </si>
  <si>
    <t>2017-2018</t>
  </si>
  <si>
    <t>MRFSS</t>
  </si>
  <si>
    <t>2016-2017</t>
  </si>
  <si>
    <t>2015-2016</t>
  </si>
  <si>
    <t>2014-2015</t>
  </si>
  <si>
    <t>2013-2014</t>
  </si>
  <si>
    <t>2012-2013</t>
  </si>
  <si>
    <t>Mutton Snapper</t>
  </si>
  <si>
    <t>Number of fish</t>
  </si>
  <si>
    <t>Porgies</t>
  </si>
  <si>
    <t>Seasonal Closure</t>
  </si>
  <si>
    <t>Jolthead, Knobbed, Saucereye, Whitebone, Scup</t>
  </si>
  <si>
    <t>Jan 1 - Apr 30</t>
  </si>
  <si>
    <t>*Black grouper was managed as a part of the Black, Gag, and Red Grouper Aggregate during 2011 and 2010.</t>
  </si>
  <si>
    <t>Red Grouper</t>
  </si>
  <si>
    <t>Black, Gag, and Red Grouper Aggregate</t>
  </si>
  <si>
    <t>gw</t>
  </si>
  <si>
    <t>*In 2012, these species were removed from an aggegate ACL and are managed under a species-specific ACL.</t>
  </si>
  <si>
    <t>Black Sea Bass</t>
  </si>
  <si>
    <t>Apr 1 - Mar 31</t>
  </si>
  <si>
    <t>Red Porgy</t>
  </si>
  <si>
    <t>Jun 1 - May 31*</t>
  </si>
  <si>
    <t>2011-2012</t>
  </si>
  <si>
    <t>2010-2011</t>
  </si>
  <si>
    <t>*The 2014-2015 fishing year only includes landings through March 31.</t>
  </si>
  <si>
    <t>Blueline Tilefish</t>
  </si>
  <si>
    <t>Red Snapper</t>
  </si>
  <si>
    <t>ACL %</t>
  </si>
  <si>
    <t>Sept 1 - Apr 30</t>
  </si>
  <si>
    <t>numbers of fish</t>
  </si>
  <si>
    <t>*See FB17- 061and FB17-
071 for more information</t>
  </si>
  <si>
    <t>Closed to Recreational Harvest</t>
  </si>
  <si>
    <t>Fishery Bulletin</t>
  </si>
  <si>
    <t>*Prior to 2014, blueline tilefish was managed as part of the deepwater complex.</t>
  </si>
  <si>
    <t>NA</t>
  </si>
  <si>
    <t>Yellowedge Grouper, Blueline Tilefish, Silk Snapper, Misty Grouper, Queen Snapper, Sand Tilefish, Blackfin Snapper</t>
  </si>
  <si>
    <t>2016*</t>
  </si>
  <si>
    <t>2014**</t>
  </si>
  <si>
    <t>*Black snapper was removed from the complex beginning June 22, 2016.</t>
  </si>
  <si>
    <t>Shallow Water Grouper</t>
  </si>
  <si>
    <t>**Blueline tilefish was removed from the complex beginning January 1, 2014 and is now managed under a species-specific ACL.</t>
  </si>
  <si>
    <t>Red Hind, Rock Hind, Coney, Graysby, Yellowfin Grouper, Yellowmouth Grouper</t>
  </si>
  <si>
    <t>Snappers</t>
  </si>
  <si>
    <t>Gray, Lane, Cubera Snapper</t>
  </si>
  <si>
    <t>Gag</t>
  </si>
  <si>
    <t>*Dog and Mahogany Snapper were part of the Snappers complex until June 22, 2016.  Landings of these species are included in reports prior to their removal.</t>
  </si>
  <si>
    <t>Snowy Grouper</t>
  </si>
  <si>
    <t>Golden Tilefish</t>
  </si>
  <si>
    <t>Jan 1 - Apr 30; Sept 1 -Dec 31</t>
  </si>
  <si>
    <t>number of fish</t>
  </si>
  <si>
    <t>Spanish Mackerel</t>
  </si>
  <si>
    <t>Vermilion Snapper</t>
  </si>
  <si>
    <t>Greater Amberjack</t>
  </si>
  <si>
    <t>May 1 - Apr 30*</t>
  </si>
  <si>
    <t>*The 2014-2015 fishing year only included landings through Feb 28, 2015.</t>
  </si>
  <si>
    <t>Grunts</t>
  </si>
  <si>
    <t>White Grunt, Margate, Sailor's Choice, Tomtate</t>
  </si>
  <si>
    <t>Wreckfish</t>
  </si>
  <si>
    <t>Hogfish Northern Zone - NC - GA</t>
  </si>
  <si>
    <t>Jan 1 - June 30;
Sep 1 -Dec 31</t>
  </si>
  <si>
    <t>numbers</t>
  </si>
  <si>
    <t>*Starting in 2017, Hogfish are managed with regional annual catch limits for Florida Keys through East Florida and New York through Georgia.</t>
  </si>
  <si>
    <t>Hogfish Southern Zone - FLK - EFL</t>
  </si>
  <si>
    <t>Yellowtail Snapper</t>
  </si>
  <si>
    <t>Aug 1 - Jul 31</t>
  </si>
  <si>
    <t>Hogfish</t>
  </si>
  <si>
    <t>*The 2016 fishing year only included landings through July.  The fishing season for yellowtail snapper was modified in Regulatory Amendment 25.</t>
  </si>
  <si>
    <t>Jacks</t>
  </si>
  <si>
    <t>Almaco Jack, Banded Rudderfish, Lesser Amberjack</t>
  </si>
  <si>
    <t>8/9/16; Reopened 12/2/16</t>
  </si>
  <si>
    <t>Historical South Atlantic Commercial Landings and Annual Catch Limits</t>
  </si>
  <si>
    <t>Landings reflected on this page are from dealer trip tickets reported to the Southeast Fisheries Science Center Commercial ACL dataset (Source: ACL_FILES_10232018, unless otherwise noted).  Landings for the most recent fishing year will become available within the following fishing year.</t>
  </si>
  <si>
    <r>
      <t xml:space="preserve">There are no seasonal closures unless otherwise noted.  For a list of current seasonal closures, see the </t>
    </r>
    <r>
      <rPr>
        <u/>
        <sz val="11"/>
        <color indexed="63"/>
        <rFont val="Calibri"/>
        <family val="2"/>
        <scheme val="minor"/>
      </rPr>
      <t>South Atlantic Seasonal Closures page</t>
    </r>
    <r>
      <rPr>
        <sz val="11"/>
        <color indexed="63"/>
        <rFont val="Calibri"/>
        <family val="2"/>
        <scheme val="minor"/>
      </rPr>
      <t>.</t>
    </r>
  </si>
  <si>
    <t>ACL_FILES _10232018</t>
  </si>
  <si>
    <t>  </t>
  </si>
  <si>
    <t>Seasonal</t>
  </si>
  <si>
    <t>10/20/12; Re-opened
11/13/12 - 11/21/12</t>
  </si>
  <si>
    <t>Jun 1 - Dec 31</t>
  </si>
  <si>
    <t>Jun 1 - May 31</t>
  </si>
  <si>
    <t>Jul 1 – May 31</t>
  </si>
  <si>
    <t>2009-2010</t>
  </si>
  <si>
    <t>2008-2009</t>
  </si>
  <si>
    <t>2007-2008</t>
  </si>
  <si>
    <t>Blueline Tilefish*</t>
  </si>
  <si>
    <t>7/18/17; Re-opened 10/24/17-11/1/17</t>
  </si>
  <si>
    <t>6/1/16; Re-opened
7/13/16; 8/30/16</t>
  </si>
  <si>
    <t>Yellowedge Grouper,Silk Snapper, Misty Grouper, Queen Snapper, Sand Tilefish*</t>
  </si>
  <si>
    <t>ACL_FILES_10232018</t>
  </si>
  <si>
    <t>Dolphin (Mahi-Mahi)</t>
  </si>
  <si>
    <t>Gag, Black, and Red Grouper (aggregate)</t>
  </si>
  <si>
    <t>Sector</t>
  </si>
  <si>
    <t>Hook-n-Line</t>
  </si>
  <si>
    <t>Longline</t>
  </si>
  <si>
    <t>Seasonal Landings</t>
  </si>
  <si>
    <t>Quota*</t>
  </si>
  <si>
    <t>Quota %</t>
  </si>
  <si>
    <t>Jan 1 - Jun 30</t>
  </si>
  <si>
    <t>Jul 1 - Dec 31</t>
  </si>
  <si>
    <t>* As stated in the federal regulations, any unused portions of the quota from the January 1 through June 30 season will be added to the July 1 to December 31 quota.</t>
  </si>
  <si>
    <t>2019-2020</t>
  </si>
  <si>
    <t>Apr 1 - Apr 30</t>
  </si>
  <si>
    <t>May 1 - Apr 31</t>
  </si>
  <si>
    <t>Hogfish (FL Keys/East Florida)</t>
  </si>
  <si>
    <t>Hogfish (GA through NC)</t>
  </si>
  <si>
    <t>Quota</t>
  </si>
  <si>
    <t>Northern</t>
  </si>
  <si>
    <t>as reported</t>
  </si>
  <si>
    <t>ACCSP as of 6/25/18</t>
  </si>
  <si>
    <t>Southern</t>
  </si>
  <si>
    <t>Mar 1 - Sep 30</t>
  </si>
  <si>
    <t>Oct 1 - Feb 28/29</t>
  </si>
  <si>
    <t>−</t>
  </si>
  <si>
    <t>2006-2007</t>
  </si>
  <si>
    <t>2005-2006</t>
  </si>
  <si>
    <t>2004-2005</t>
  </si>
  <si>
    <t>2003-2004</t>
  </si>
  <si>
    <t>2002-2003</t>
  </si>
  <si>
    <t>2001-2002</t>
  </si>
  <si>
    <t>2000-2001</t>
  </si>
  <si>
    <t xml:space="preserve">To view previous years please click here: http://sero.nmfs.noaa.gov/quotas/mackerel/HistoricalMackerelReports.htm </t>
  </si>
  <si>
    <t>Jan 1 - April 30</t>
  </si>
  <si>
    <t>None</t>
  </si>
  <si>
    <t>2019*</t>
  </si>
  <si>
    <t>2018*</t>
  </si>
  <si>
    <t>2017*</t>
  </si>
  <si>
    <t>**9/24/12; Re-opened 9/17/12-9/24/12 and
12/12/12-12/19/12</t>
  </si>
  <si>
    <t>*See South Atlantic Seasonal Closures and Harvest Limitations: https://www.fisheries.noaa.gov/content/south-atlantic-fishing-seasonal-closures</t>
  </si>
  <si>
    <t>**Commercial red snapper harvest was opened for short durations with a 50 pound trip limit.  For more information please visit: http://sero.nmfs.noaa.gov/sf/2012SARedSnapperSeason.htm.</t>
  </si>
  <si>
    <t>Jan 1 - Mar 31</t>
  </si>
  <si>
    <t>Gray, Lane, Cubera Snapper*</t>
  </si>
  <si>
    <t>*Snapper-Grouper Amendment 35 removed Dog Snapper and Mahogany Snapper from the FMP (effective June 22, 2016).</t>
  </si>
  <si>
    <t>2,880,000*</t>
  </si>
  <si>
    <t>CMP A20B</t>
  </si>
  <si>
    <t>*The adjusted quota is used to determine trip limit reductions.  At 75% of the adjusted quota (2,880,000 lbs ww), the trip limit it reduced to 1,500 lbs.  The 1,500 lb trip limit went into effect on January 6, 2013.  At 100% of the adjusted quota, the trip limit is
reduced to 500 lbs.</t>
  </si>
  <si>
    <t>Jan 1- Jun 30</t>
  </si>
  <si>
    <t>Jul 1- Dec 31</t>
  </si>
  <si>
    <t>10/11/16;               Re-opened 12/14/16-12/15/16</t>
  </si>
  <si>
    <t>3/10/11;                        Re-opened    5/1/11- 5/8/11</t>
  </si>
  <si>
    <t>*The 2016 fishing year only included landings through July. The fishing season for yellowtail snapper was modified in Regulatory Amendment 25.</t>
  </si>
  <si>
    <r>
      <t xml:space="preserve">Data Source
</t>
    </r>
    <r>
      <rPr>
        <sz val="11"/>
        <color indexed="63"/>
        <rFont val="Calibri"/>
        <family val="2"/>
        <scheme val="minor"/>
      </rPr>
      <t>ACL_FILES_10232018</t>
    </r>
  </si>
  <si>
    <t>Knobbed PSE</t>
  </si>
  <si>
    <t>Avg PSE</t>
  </si>
  <si>
    <t>Buffer</t>
  </si>
  <si>
    <t>Rounded ABC</t>
  </si>
  <si>
    <t>fish</t>
  </si>
  <si>
    <t>year</t>
  </si>
  <si>
    <t>collections</t>
  </si>
  <si>
    <t>CPUE</t>
  </si>
  <si>
    <t>Number</t>
  </si>
  <si>
    <t>of</t>
  </si>
  <si>
    <t>stations</t>
  </si>
  <si>
    <t>Nominal</t>
  </si>
  <si>
    <t>Coefficient</t>
  </si>
  <si>
    <t>with</t>
  </si>
  <si>
    <t>scaled</t>
  </si>
  <si>
    <t>index</t>
  </si>
  <si>
    <t>per</t>
  </si>
  <si>
    <t>Black</t>
  </si>
  <si>
    <t>station</t>
  </si>
  <si>
    <t>variation</t>
  </si>
  <si>
    <t>Grouper</t>
  </si>
  <si>
    <t>to mean</t>
  </si>
  <si>
    <t>FL RVC</t>
  </si>
  <si>
    <t>Total Orig FES</t>
  </si>
  <si>
    <t>Orig FES Rec</t>
  </si>
  <si>
    <t>Total New Est</t>
  </si>
  <si>
    <t>New Est Rec</t>
  </si>
  <si>
    <t>Orig Rec ABC</t>
  </si>
  <si>
    <t>New Est ABC</t>
  </si>
  <si>
    <t>Rank Orig</t>
  </si>
  <si>
    <t>3rd Highest Orig FES</t>
  </si>
  <si>
    <t>3rd Highest New Est</t>
  </si>
  <si>
    <t>Orig FES Value</t>
  </si>
  <si>
    <t>New Wgt Value</t>
  </si>
  <si>
    <t>Total New Wgt</t>
  </si>
  <si>
    <t>New Wgt ABC</t>
  </si>
  <si>
    <t>Avg 11-17</t>
  </si>
  <si>
    <t>Avg 11-13,15-17</t>
  </si>
  <si>
    <t>Buffer no 14</t>
  </si>
  <si>
    <t>ABC no 14</t>
  </si>
  <si>
    <t>New Wgt Rec</t>
  </si>
  <si>
    <t>New Wgt PSE</t>
  </si>
  <si>
    <t>Orig FES PSE</t>
  </si>
  <si>
    <t>MRIP Mon</t>
  </si>
  <si>
    <t>New Wgt Recreational Landings</t>
  </si>
  <si>
    <t>Orig FES Recreational Landings</t>
  </si>
  <si>
    <t>New Wgt ABC/ACL</t>
  </si>
  <si>
    <t>Orig FES ABC/ACL</t>
  </si>
  <si>
    <t>Third Highest Rank Orig FES</t>
  </si>
  <si>
    <t>Third Highest Rank New Wgt</t>
  </si>
  <si>
    <t>New Wgt Stats for ORCS</t>
  </si>
  <si>
    <t>Orig FES Stats for ORCS</t>
  </si>
  <si>
    <t>3rd High/Avg 99-07</t>
  </si>
  <si>
    <t>3rd/Avg 99-07</t>
  </si>
  <si>
    <t>FMP/Complex</t>
  </si>
  <si>
    <t>Stock</t>
  </si>
  <si>
    <t>Snapper - Grouper</t>
  </si>
  <si>
    <t>S-G          Deepwater Complex</t>
  </si>
  <si>
    <t>S-G                 Jacks Complex</t>
  </si>
  <si>
    <t>S-G             Snappers Complex</t>
  </si>
  <si>
    <t>S-G                Grunts Complex</t>
  </si>
  <si>
    <t>Sailors Choice</t>
  </si>
  <si>
    <t>S-G             Shallow-Water Groupers Complex</t>
  </si>
  <si>
    <t>S-G                 Porgy Complex</t>
  </si>
  <si>
    <t>Dolphin Wahoo</t>
  </si>
  <si>
    <t>3rd Highest/ Avg 99-07</t>
  </si>
  <si>
    <t>Rank New Wt</t>
  </si>
  <si>
    <t>Avg 94-97</t>
  </si>
  <si>
    <t>Possible Dolphin ABCs</t>
  </si>
  <si>
    <t>ABC Basis</t>
  </si>
  <si>
    <t>Value</t>
  </si>
  <si>
    <t>3rd High 94-97</t>
  </si>
  <si>
    <t>3rd High 99-07</t>
  </si>
  <si>
    <t>ORCS 94-97</t>
  </si>
  <si>
    <t>ORCS 99-07</t>
  </si>
  <si>
    <t>1994-1997</t>
  </si>
  <si>
    <t>Council Risk*</t>
  </si>
  <si>
    <t>* The Council never specified a Risk Tolerance scalar for Mod Low. Therefore, 0.85 was used here as it falls between the 0.9 used for Low and the 0.8 used for Moderate.</t>
  </si>
  <si>
    <t>3rd High 08-17</t>
  </si>
  <si>
    <t>Rank Orig FES</t>
  </si>
  <si>
    <t>Rank New Wgt</t>
  </si>
  <si>
    <r>
      <t>Range of Years</t>
    </r>
    <r>
      <rPr>
        <vertAlign val="superscript"/>
        <sz val="11"/>
        <color theme="1"/>
        <rFont val="Calibri"/>
        <family val="2"/>
        <scheme val="minor"/>
      </rPr>
      <t>a</t>
    </r>
  </si>
  <si>
    <t>1994-2003</t>
  </si>
  <si>
    <t>Possible Wahoo ABCs</t>
  </si>
  <si>
    <t>3rd High 94-03</t>
  </si>
  <si>
    <t>Attachment 5: SSC April 2020 Meeting</t>
  </si>
  <si>
    <t>Nominal CPUE</t>
  </si>
  <si>
    <t>95% Unc Int</t>
  </si>
  <si>
    <t>Stand GLM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</si>
</sst>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numFmt numFmtId="166" formatCode="0.0%"/>
    <numFmt numFmtId="167" formatCode="0.0"/>
    <numFmt numFmtId="168" formatCode="m/d/yyyy;@"/>
    <numFmt numFmtId="169" formatCode="#,##0.0"/>
  </numFmts>
  <fonts count="29" x14ac:knownFonts="1">
    <font>
      <sz val="11"/>
      <color theme="1"/>
      <name val="Calibri"/>
      <family val="2"/>
      <scheme val="minor"/>
    </font>
    <font>
      <b/>
      <sz val="11"/>
      <color theme="1"/>
      <name val="Calibri"/>
      <family val="2"/>
      <scheme val="minor"/>
    </font>
    <font>
      <sz val="10"/>
      <color rgb="FF000000"/>
      <name val="Arial"/>
      <family val="2"/>
    </font>
    <font>
      <sz val="11"/>
      <color theme="1"/>
      <name val="Calibri"/>
      <family val="2"/>
      <scheme val="minor"/>
    </font>
    <font>
      <b/>
      <sz val="12"/>
      <color indexed="63"/>
      <name val="Calibri"/>
      <family val="2"/>
      <scheme val="minor"/>
    </font>
    <font>
      <sz val="12"/>
      <color indexed="63"/>
      <name val="Calibri"/>
      <family val="2"/>
      <scheme val="minor"/>
    </font>
    <font>
      <i/>
      <sz val="12"/>
      <color indexed="63"/>
      <name val="Calibri"/>
      <family val="2"/>
      <scheme val="minor"/>
    </font>
    <font>
      <u/>
      <sz val="12"/>
      <color indexed="63"/>
      <name val="Calibri"/>
      <family val="2"/>
      <scheme val="minor"/>
    </font>
    <font>
      <vertAlign val="superscript"/>
      <sz val="12"/>
      <color indexed="63"/>
      <name val="Calibri"/>
      <family val="2"/>
      <scheme val="minor"/>
    </font>
    <font>
      <sz val="12"/>
      <color rgb="FF333333"/>
      <name val="Calibri"/>
      <family val="2"/>
      <scheme val="minor"/>
    </font>
    <font>
      <b/>
      <sz val="12"/>
      <color indexed="9"/>
      <name val="Calibri"/>
      <family val="2"/>
      <scheme val="minor"/>
    </font>
    <font>
      <sz val="12"/>
      <name val="Calibri"/>
      <family val="2"/>
      <scheme val="minor"/>
    </font>
    <font>
      <vertAlign val="superscript"/>
      <sz val="12"/>
      <name val="Calibri"/>
      <family val="2"/>
      <scheme val="minor"/>
    </font>
    <font>
      <sz val="11"/>
      <name val="Calibri"/>
      <family val="2"/>
      <scheme val="minor"/>
    </font>
    <font>
      <sz val="12"/>
      <color indexed="9"/>
      <name val="Calibri"/>
      <family val="2"/>
      <scheme val="minor"/>
    </font>
    <font>
      <u/>
      <sz val="11"/>
      <color theme="10"/>
      <name val="Calibri"/>
      <family val="2"/>
      <scheme val="minor"/>
    </font>
    <font>
      <u/>
      <sz val="12"/>
      <color indexed="12"/>
      <name val="Calibri"/>
      <family val="2"/>
      <scheme val="minor"/>
    </font>
    <font>
      <sz val="12"/>
      <color theme="1"/>
      <name val="Calibri"/>
      <family val="2"/>
      <scheme val="minor"/>
    </font>
    <font>
      <b/>
      <sz val="11"/>
      <color indexed="63"/>
      <name val="Calibri"/>
      <family val="2"/>
      <scheme val="minor"/>
    </font>
    <font>
      <sz val="11"/>
      <color indexed="63"/>
      <name val="Calibri"/>
      <family val="2"/>
      <scheme val="minor"/>
    </font>
    <font>
      <u/>
      <sz val="11"/>
      <color indexed="63"/>
      <name val="Calibri"/>
      <family val="2"/>
      <scheme val="minor"/>
    </font>
    <font>
      <b/>
      <sz val="11"/>
      <color indexed="9"/>
      <name val="Calibri"/>
      <family val="2"/>
      <scheme val="minor"/>
    </font>
    <font>
      <b/>
      <u/>
      <sz val="11"/>
      <color indexed="9"/>
      <name val="Calibri"/>
      <family val="2"/>
      <scheme val="minor"/>
    </font>
    <font>
      <b/>
      <sz val="11"/>
      <name val="Calibri"/>
      <family val="2"/>
      <scheme val="minor"/>
    </font>
    <font>
      <sz val="11"/>
      <color indexed="8"/>
      <name val="Calibri"/>
      <family val="2"/>
      <scheme val="minor"/>
    </font>
    <font>
      <sz val="10"/>
      <name val="Times New Roman"/>
      <family val="1"/>
      <charset val="204"/>
    </font>
    <font>
      <sz val="12"/>
      <color indexed="8"/>
      <name val="Arial"/>
      <family val="2"/>
    </font>
    <font>
      <sz val="12"/>
      <color indexed="8"/>
      <name val="Times New Roman"/>
      <family val="2"/>
    </font>
    <font>
      <vertAlign val="superscript"/>
      <sz val="11"/>
      <color theme="1"/>
      <name val="Calibri"/>
      <family val="2"/>
      <scheme val="minor"/>
    </font>
  </fonts>
  <fills count="15">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2B405A"/>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0" fontId="2" fillId="0" borderId="0"/>
    <xf numFmtId="9" fontId="3" fillId="0" borderId="0" applyFont="0" applyFill="0" applyBorder="0" applyAlignment="0" applyProtection="0"/>
    <xf numFmtId="0" fontId="15" fillId="0" borderId="0" applyNumberFormat="0" applyFill="0" applyBorder="0" applyAlignment="0" applyProtection="0"/>
  </cellStyleXfs>
  <cellXfs count="592">
    <xf numFmtId="0" fontId="0" fillId="0" borderId="0" xfId="0"/>
    <xf numFmtId="0" fontId="1" fillId="0" borderId="0" xfId="0" applyNumberFormat="1" applyFont="1" applyAlignment="1">
      <alignment horizontal="center"/>
    </xf>
    <xf numFmtId="0" fontId="1" fillId="0" borderId="0" xfId="0" applyFont="1"/>
    <xf numFmtId="3" fontId="0" fillId="2" borderId="0" xfId="0" applyNumberFormat="1" applyFill="1" applyAlignment="1">
      <alignment horizontal="center"/>
    </xf>
    <xf numFmtId="0" fontId="1" fillId="0" borderId="0" xfId="0" applyFont="1" applyAlignment="1">
      <alignment horizontal="center"/>
    </xf>
    <xf numFmtId="3" fontId="0" fillId="0" borderId="0" xfId="0" applyNumberFormat="1" applyAlignment="1">
      <alignment horizontal="center"/>
    </xf>
    <xf numFmtId="0" fontId="0" fillId="0" borderId="0" xfId="0"/>
    <xf numFmtId="3" fontId="0" fillId="0"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0" fontId="0" fillId="0" borderId="0" xfId="0"/>
    <xf numFmtId="0" fontId="1" fillId="0" borderId="0" xfId="0" applyNumberFormat="1" applyFont="1" applyAlignment="1">
      <alignment horizontal="center"/>
    </xf>
    <xf numFmtId="3" fontId="0" fillId="0" borderId="0" xfId="0" applyNumberFormat="1"/>
    <xf numFmtId="3" fontId="0" fillId="3" borderId="0" xfId="0" applyNumberFormat="1" applyFill="1" applyAlignment="1">
      <alignment horizontal="center"/>
    </xf>
    <xf numFmtId="3" fontId="0" fillId="2" borderId="0" xfId="0" applyNumberFormat="1" applyFill="1" applyAlignment="1">
      <alignment horizontal="center"/>
    </xf>
    <xf numFmtId="3" fontId="0" fillId="4" borderId="0" xfId="0" applyNumberFormat="1" applyFill="1" applyAlignment="1">
      <alignment horizontal="center"/>
    </xf>
    <xf numFmtId="0" fontId="1" fillId="0" borderId="0" xfId="0" applyFont="1"/>
    <xf numFmtId="3" fontId="0" fillId="0" borderId="1" xfId="0" applyNumberFormat="1" applyBorder="1" applyAlignment="1">
      <alignment horizontal="center"/>
    </xf>
    <xf numFmtId="0" fontId="0" fillId="0" borderId="0" xfId="0" applyFill="1"/>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0" fontId="0" fillId="6" borderId="0" xfId="0" applyFill="1" applyAlignment="1">
      <alignment horizontal="center"/>
    </xf>
    <xf numFmtId="3" fontId="0" fillId="6" borderId="0" xfId="0" applyNumberFormat="1" applyFill="1" applyAlignment="1">
      <alignment horizontal="center"/>
    </xf>
    <xf numFmtId="0" fontId="1" fillId="0" borderId="0" xfId="0" applyFont="1" applyBorder="1" applyAlignment="1">
      <alignment horizontal="center" vertical="center"/>
    </xf>
    <xf numFmtId="3" fontId="0" fillId="0" borderId="0" xfId="0" applyNumberFormat="1" applyBorder="1" applyAlignment="1">
      <alignment horizontal="center"/>
    </xf>
    <xf numFmtId="0" fontId="0" fillId="0" borderId="0" xfId="0" applyAlignment="1">
      <alignment horizontal="center"/>
    </xf>
    <xf numFmtId="0" fontId="0" fillId="0" borderId="0" xfId="0" applyFont="1" applyAlignment="1">
      <alignment horizontal="center"/>
    </xf>
    <xf numFmtId="0" fontId="0" fillId="0" borderId="0" xfId="0" applyFont="1" applyAlignment="1"/>
    <xf numFmtId="3" fontId="0" fillId="5" borderId="0" xfId="0" applyNumberFormat="1" applyFill="1" applyAlignment="1">
      <alignment horizontal="center"/>
    </xf>
    <xf numFmtId="0" fontId="1" fillId="0" borderId="0" xfId="0" applyNumberFormat="1" applyFont="1" applyBorder="1" applyAlignment="1">
      <alignment horizontal="center"/>
    </xf>
    <xf numFmtId="0" fontId="0" fillId="0" borderId="0" xfId="0" applyAlignment="1">
      <alignment horizontal="center"/>
    </xf>
    <xf numFmtId="166" fontId="0" fillId="0" borderId="0" xfId="2" applyNumberFormat="1" applyFont="1"/>
    <xf numFmtId="165" fontId="0" fillId="0" borderId="0" xfId="0" applyNumberFormat="1" applyFill="1" applyAlignment="1">
      <alignment horizontal="center"/>
    </xf>
    <xf numFmtId="0" fontId="0" fillId="0" borderId="0" xfId="0" applyAlignment="1">
      <alignment horizontal="center"/>
    </xf>
    <xf numFmtId="0" fontId="0" fillId="5" borderId="0" xfId="0" applyFill="1" applyAlignment="1">
      <alignment horizontal="center"/>
    </xf>
    <xf numFmtId="0" fontId="0" fillId="0" borderId="0" xfId="0" applyAlignment="1">
      <alignment horizontal="center"/>
    </xf>
    <xf numFmtId="0" fontId="0" fillId="0" borderId="1" xfId="0" applyBorder="1" applyAlignment="1">
      <alignment horizontal="center"/>
    </xf>
    <xf numFmtId="0" fontId="1" fillId="0" borderId="0" xfId="0" applyFont="1" applyFill="1" applyAlignment="1">
      <alignment horizontal="center"/>
    </xf>
    <xf numFmtId="0" fontId="0" fillId="0" borderId="0" xfId="0" applyNumberFormat="1" applyFont="1" applyFill="1" applyAlignment="1">
      <alignment horizontal="center"/>
    </xf>
    <xf numFmtId="3" fontId="0" fillId="0" borderId="1" xfId="0" applyNumberFormat="1" applyFill="1" applyBorder="1" applyAlignment="1">
      <alignment horizontal="center"/>
    </xf>
    <xf numFmtId="0" fontId="1" fillId="0" borderId="1" xfId="0"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Alignment="1">
      <alignment horizontal="center"/>
    </xf>
    <xf numFmtId="164" fontId="0" fillId="0" borderId="0" xfId="0" applyNumberFormat="1" applyFill="1" applyAlignment="1">
      <alignment horizontal="center"/>
    </xf>
    <xf numFmtId="0" fontId="1" fillId="0" borderId="1" xfId="0" applyFont="1" applyFill="1" applyBorder="1" applyAlignment="1">
      <alignment horizontal="center" vertical="center"/>
    </xf>
    <xf numFmtId="0" fontId="0" fillId="0" borderId="0" xfId="0" applyAlignment="1">
      <alignment horizontal="center"/>
    </xf>
    <xf numFmtId="3" fontId="0" fillId="0" borderId="0" xfId="0" applyNumberFormat="1"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xf>
    <xf numFmtId="0" fontId="0" fillId="0" borderId="0" xfId="0" applyBorder="1"/>
    <xf numFmtId="0" fontId="0" fillId="0" borderId="0" xfId="0" applyBorder="1" applyAlignment="1">
      <alignment horizontal="center"/>
    </xf>
    <xf numFmtId="0" fontId="0" fillId="7" borderId="0" xfId="0" applyFill="1" applyBorder="1" applyAlignment="1">
      <alignment horizontal="center"/>
    </xf>
    <xf numFmtId="3" fontId="0" fillId="7" borderId="0" xfId="0" applyNumberFormat="1" applyFill="1" applyBorder="1"/>
    <xf numFmtId="3" fontId="0" fillId="7" borderId="0" xfId="0" applyNumberFormat="1" applyFill="1" applyBorder="1" applyAlignment="1">
      <alignment horizontal="center"/>
    </xf>
    <xf numFmtId="0" fontId="0" fillId="8" borderId="0" xfId="0" applyFill="1" applyBorder="1" applyAlignment="1">
      <alignment horizontal="center"/>
    </xf>
    <xf numFmtId="166" fontId="0" fillId="8" borderId="0" xfId="2" applyNumberFormat="1" applyFont="1" applyFill="1" applyBorder="1" applyAlignment="1">
      <alignment horizontal="center"/>
    </xf>
    <xf numFmtId="0" fontId="1" fillId="8" borderId="0" xfId="0" applyFont="1" applyFill="1" applyBorder="1"/>
    <xf numFmtId="0" fontId="0" fillId="8" borderId="0" xfId="0" applyFill="1" applyBorder="1"/>
    <xf numFmtId="3" fontId="0" fillId="8" borderId="0" xfId="0" applyNumberFormat="1" applyFill="1" applyBorder="1" applyAlignment="1">
      <alignment horizontal="center"/>
    </xf>
    <xf numFmtId="2" fontId="0" fillId="0" borderId="0" xfId="0" applyNumberFormat="1" applyAlignment="1">
      <alignment horizontal="center"/>
    </xf>
    <xf numFmtId="0" fontId="1" fillId="0" borderId="2" xfId="0" applyFont="1" applyBorder="1" applyAlignment="1">
      <alignment horizontal="center"/>
    </xf>
    <xf numFmtId="0" fontId="0" fillId="0" borderId="0" xfId="0" applyNumberFormat="1"/>
    <xf numFmtId="0" fontId="1" fillId="0" borderId="0" xfId="0" applyFont="1" applyAlignment="1">
      <alignment horizontal="center"/>
    </xf>
    <xf numFmtId="0" fontId="1" fillId="0" borderId="2" xfId="0" applyFont="1" applyFill="1" applyBorder="1" applyAlignment="1">
      <alignment horizontal="center"/>
    </xf>
    <xf numFmtId="0" fontId="0" fillId="0" borderId="0" xfId="0" applyNumberFormat="1" applyAlignment="1">
      <alignment horizontal="center"/>
    </xf>
    <xf numFmtId="0" fontId="0" fillId="0" borderId="3" xfId="0" applyBorder="1" applyAlignment="1">
      <alignment horizontal="center"/>
    </xf>
    <xf numFmtId="0" fontId="1" fillId="0" borderId="0" xfId="0" applyFont="1" applyBorder="1" applyAlignment="1"/>
    <xf numFmtId="0" fontId="1" fillId="0" borderId="0" xfId="0" applyFont="1" applyFill="1" applyBorder="1" applyAlignment="1">
      <alignment horizontal="center" vertical="center"/>
    </xf>
    <xf numFmtId="0" fontId="1" fillId="0" borderId="6" xfId="0" applyFont="1" applyBorder="1" applyAlignment="1"/>
    <xf numFmtId="0" fontId="1" fillId="0" borderId="6" xfId="0" applyFont="1" applyFill="1" applyBorder="1" applyAlignment="1">
      <alignment horizontal="center" vertical="center"/>
    </xf>
    <xf numFmtId="0" fontId="0" fillId="0" borderId="6" xfId="0" applyBorder="1" applyAlignment="1">
      <alignment horizontal="center"/>
    </xf>
    <xf numFmtId="3" fontId="0" fillId="0" borderId="6" xfId="0" applyNumberFormat="1" applyBorder="1" applyAlignment="1">
      <alignment horizontal="center"/>
    </xf>
    <xf numFmtId="0" fontId="0" fillId="0" borderId="0" xfId="0" applyNumberFormat="1" applyFont="1" applyAlignment="1"/>
    <xf numFmtId="3" fontId="0" fillId="0" borderId="0" xfId="0" applyNumberFormat="1" applyFont="1" applyAlignment="1"/>
    <xf numFmtId="0" fontId="1" fillId="0" borderId="0" xfId="0" applyFont="1" applyAlignment="1">
      <alignment horizontal="center"/>
    </xf>
    <xf numFmtId="0" fontId="0" fillId="0" borderId="0" xfId="0" applyNumberFormat="1" applyFont="1"/>
    <xf numFmtId="166" fontId="1" fillId="0" borderId="0" xfId="2" applyNumberFormat="1" applyFont="1"/>
    <xf numFmtId="0" fontId="1" fillId="0" borderId="0" xfId="0" applyNumberFormat="1" applyFont="1"/>
    <xf numFmtId="166" fontId="0" fillId="0" borderId="0" xfId="2" applyNumberFormat="1" applyFont="1" applyAlignment="1">
      <alignment horizontal="center"/>
    </xf>
    <xf numFmtId="0" fontId="1" fillId="6" borderId="0" xfId="0" applyFont="1" applyFill="1" applyAlignment="1">
      <alignment horizontal="center"/>
    </xf>
    <xf numFmtId="3" fontId="0" fillId="6" borderId="0" xfId="0" applyNumberFormat="1" applyFill="1" applyBorder="1" applyAlignment="1">
      <alignment horizontal="center"/>
    </xf>
    <xf numFmtId="0" fontId="0" fillId="9" borderId="0" xfId="0" applyFont="1" applyFill="1" applyAlignment="1">
      <alignment horizontal="center"/>
    </xf>
    <xf numFmtId="3" fontId="0" fillId="9" borderId="0" xfId="0" applyNumberFormat="1" applyFont="1" applyFill="1" applyAlignment="1">
      <alignment horizontal="center"/>
    </xf>
    <xf numFmtId="3" fontId="0" fillId="9" borderId="0" xfId="0" applyNumberFormat="1" applyFill="1" applyAlignment="1">
      <alignment horizontal="center"/>
    </xf>
    <xf numFmtId="166" fontId="0" fillId="9" borderId="0" xfId="2" applyNumberFormat="1" applyFont="1" applyFill="1" applyAlignment="1">
      <alignment horizontal="center"/>
    </xf>
    <xf numFmtId="0" fontId="1" fillId="4" borderId="0" xfId="0" applyFont="1" applyFill="1" applyAlignment="1">
      <alignment horizontal="center"/>
    </xf>
    <xf numFmtId="0" fontId="0" fillId="9" borderId="0" xfId="0" applyNumberFormat="1" applyFont="1" applyFill="1" applyAlignment="1">
      <alignment horizontal="center"/>
    </xf>
    <xf numFmtId="3" fontId="0" fillId="11" borderId="0" xfId="0" applyNumberFormat="1" applyFill="1" applyAlignment="1">
      <alignment horizontal="center"/>
    </xf>
    <xf numFmtId="166" fontId="0" fillId="0" borderId="0" xfId="2" applyNumberFormat="1" applyFont="1" applyFill="1" applyAlignment="1">
      <alignment horizontal="center"/>
    </xf>
    <xf numFmtId="0" fontId="0" fillId="9" borderId="0" xfId="0" applyFill="1" applyAlignment="1">
      <alignment horizontal="center"/>
    </xf>
    <xf numFmtId="0" fontId="0" fillId="11" borderId="0" xfId="0" applyFill="1" applyAlignment="1">
      <alignment horizontal="center"/>
    </xf>
    <xf numFmtId="3" fontId="1" fillId="10" borderId="0" xfId="0" applyNumberFormat="1" applyFont="1" applyFill="1" applyAlignment="1">
      <alignment horizontal="center"/>
    </xf>
    <xf numFmtId="166" fontId="0" fillId="11" borderId="0" xfId="2" applyNumberFormat="1" applyFont="1" applyFill="1" applyAlignment="1">
      <alignment horizontal="center"/>
    </xf>
    <xf numFmtId="3" fontId="0" fillId="9" borderId="0" xfId="0" applyNumberFormat="1" applyFill="1" applyBorder="1" applyAlignment="1">
      <alignment horizontal="center"/>
    </xf>
    <xf numFmtId="0" fontId="0" fillId="0" borderId="0" xfId="0" applyFont="1" applyFill="1" applyAlignment="1">
      <alignment horizontal="center"/>
    </xf>
    <xf numFmtId="3" fontId="0" fillId="0" borderId="0" xfId="0" applyNumberFormat="1" applyFont="1" applyFill="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6" borderId="0" xfId="0" applyFont="1" applyFill="1" applyBorder="1" applyAlignment="1">
      <alignment horizontal="center"/>
    </xf>
    <xf numFmtId="0" fontId="1" fillId="0" borderId="10" xfId="0" applyFont="1" applyBorder="1" applyAlignment="1">
      <alignment horizontal="center"/>
    </xf>
    <xf numFmtId="0" fontId="0" fillId="0" borderId="6" xfId="0" applyFont="1" applyBorder="1" applyAlignment="1">
      <alignment horizontal="center"/>
    </xf>
    <xf numFmtId="166" fontId="0" fillId="0" borderId="0" xfId="2" applyNumberFormat="1" applyFont="1" applyBorder="1" applyAlignment="1">
      <alignment horizontal="center"/>
    </xf>
    <xf numFmtId="166" fontId="0" fillId="0" borderId="10" xfId="2" applyNumberFormat="1" applyFont="1" applyBorder="1" applyAlignment="1">
      <alignment horizontal="center"/>
    </xf>
    <xf numFmtId="0" fontId="0" fillId="0" borderId="6" xfId="0" applyFont="1" applyFill="1" applyBorder="1" applyAlignment="1">
      <alignment horizontal="center"/>
    </xf>
    <xf numFmtId="0" fontId="0" fillId="0" borderId="11" xfId="0" applyFont="1" applyFill="1" applyBorder="1" applyAlignment="1">
      <alignment horizontal="center"/>
    </xf>
    <xf numFmtId="0" fontId="0" fillId="0" borderId="12" xfId="0" applyBorder="1"/>
    <xf numFmtId="3" fontId="0" fillId="0" borderId="12" xfId="0" applyNumberFormat="1" applyFill="1" applyBorder="1" applyAlignment="1">
      <alignment horizontal="center"/>
    </xf>
    <xf numFmtId="0" fontId="0" fillId="0" borderId="13" xfId="0" applyBorder="1"/>
    <xf numFmtId="3" fontId="0" fillId="0" borderId="12" xfId="0" applyNumberFormat="1" applyBorder="1" applyAlignment="1">
      <alignment vertical="center"/>
    </xf>
    <xf numFmtId="3" fontId="0" fillId="6" borderId="12" xfId="0" applyNumberFormat="1" applyFill="1" applyBorder="1" applyAlignment="1">
      <alignment vertical="center"/>
    </xf>
    <xf numFmtId="0" fontId="0" fillId="9" borderId="6" xfId="0" applyFont="1" applyFill="1" applyBorder="1" applyAlignment="1">
      <alignment horizontal="center"/>
    </xf>
    <xf numFmtId="166" fontId="0" fillId="9" borderId="0" xfId="2" applyNumberFormat="1" applyFont="1" applyFill="1" applyBorder="1" applyAlignment="1">
      <alignment horizontal="center"/>
    </xf>
    <xf numFmtId="166" fontId="0" fillId="9" borderId="10" xfId="2" applyNumberFormat="1" applyFont="1" applyFill="1" applyBorder="1" applyAlignment="1">
      <alignment horizontal="center"/>
    </xf>
    <xf numFmtId="3" fontId="0" fillId="0" borderId="0" xfId="0" applyNumberFormat="1" applyFill="1" applyBorder="1" applyAlignment="1">
      <alignment horizontal="center"/>
    </xf>
    <xf numFmtId="166" fontId="0" fillId="0" borderId="0" xfId="2" applyNumberFormat="1" applyFont="1" applyFill="1" applyBorder="1" applyAlignment="1">
      <alignment horizontal="center"/>
    </xf>
    <xf numFmtId="166" fontId="0" fillId="0" borderId="10" xfId="2" applyNumberFormat="1" applyFont="1" applyFill="1" applyBorder="1" applyAlignment="1">
      <alignment horizontal="center"/>
    </xf>
    <xf numFmtId="0" fontId="1" fillId="0" borderId="0" xfId="0" applyFont="1" applyAlignment="1">
      <alignment horizontal="center"/>
    </xf>
    <xf numFmtId="0" fontId="1" fillId="0" borderId="0" xfId="0" applyFont="1" applyFill="1" applyBorder="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xf>
    <xf numFmtId="0" fontId="0" fillId="12" borderId="0" xfId="0" applyFill="1" applyAlignment="1">
      <alignment horizontal="center"/>
    </xf>
    <xf numFmtId="3" fontId="0" fillId="12" borderId="0" xfId="0" applyNumberFormat="1" applyFill="1" applyAlignment="1">
      <alignment horizontal="center"/>
    </xf>
    <xf numFmtId="0" fontId="0" fillId="10" borderId="0" xfId="0" applyFill="1"/>
    <xf numFmtId="3" fontId="0" fillId="10" borderId="0" xfId="0" applyNumberFormat="1" applyFill="1" applyAlignment="1">
      <alignment horizontal="center"/>
    </xf>
    <xf numFmtId="0" fontId="1" fillId="10" borderId="0" xfId="0" applyFont="1" applyFill="1"/>
    <xf numFmtId="0" fontId="0" fillId="0" borderId="0" xfId="0" applyAlignment="1">
      <alignment horizontal="center"/>
    </xf>
    <xf numFmtId="0" fontId="1" fillId="0" borderId="0" xfId="0" applyFont="1" applyAlignment="1">
      <alignment horizontal="center"/>
    </xf>
    <xf numFmtId="0" fontId="0" fillId="9" borderId="1" xfId="0" applyFill="1" applyBorder="1" applyAlignment="1">
      <alignment horizontal="center"/>
    </xf>
    <xf numFmtId="0" fontId="0" fillId="13" borderId="0" xfId="0" applyFill="1" applyAlignment="1">
      <alignment horizontal="center"/>
    </xf>
    <xf numFmtId="3" fontId="0" fillId="13" borderId="0" xfId="0" applyNumberFormat="1" applyFill="1" applyAlignment="1">
      <alignment horizontal="center"/>
    </xf>
    <xf numFmtId="9" fontId="0" fillId="13" borderId="0" xfId="2" applyFont="1" applyFill="1" applyAlignment="1">
      <alignment horizontal="center"/>
    </xf>
    <xf numFmtId="0" fontId="1" fillId="0" borderId="0" xfId="0" applyFont="1" applyAlignment="1">
      <alignment horizontal="center"/>
    </xf>
    <xf numFmtId="0" fontId="0" fillId="0" borderId="0" xfId="0" applyAlignment="1">
      <alignment horizontal="center" vertical="center"/>
    </xf>
    <xf numFmtId="0" fontId="5" fillId="0" borderId="0" xfId="0" applyFont="1" applyBorder="1" applyAlignment="1">
      <alignment horizontal="left" vertical="top" wrapText="1" indent="13"/>
    </xf>
    <xf numFmtId="0" fontId="10" fillId="14" borderId="15" xfId="0" applyFont="1" applyFill="1" applyBorder="1" applyAlignment="1">
      <alignment horizontal="center" vertical="center" wrapText="1"/>
    </xf>
    <xf numFmtId="0" fontId="10" fillId="14" borderId="16" xfId="0" applyFont="1" applyFill="1" applyBorder="1" applyAlignment="1">
      <alignment horizontal="center" vertical="center" wrapText="1"/>
    </xf>
    <xf numFmtId="0" fontId="10" fillId="14" borderId="18" xfId="0" applyFont="1" applyFill="1" applyBorder="1" applyAlignment="1">
      <alignment horizontal="center" vertical="center" wrapText="1"/>
    </xf>
    <xf numFmtId="0" fontId="11" fillId="0" borderId="15" xfId="0" applyFont="1" applyFill="1" applyBorder="1" applyAlignment="1">
      <alignment horizontal="center" vertical="center" wrapText="1"/>
    </xf>
    <xf numFmtId="3" fontId="11" fillId="0" borderId="15" xfId="0" applyNumberFormat="1" applyFont="1" applyFill="1" applyBorder="1" applyAlignment="1">
      <alignment horizontal="center" vertical="center" wrapText="1"/>
    </xf>
    <xf numFmtId="3" fontId="5" fillId="0" borderId="22" xfId="0" applyNumberFormat="1" applyFont="1" applyBorder="1" applyAlignment="1">
      <alignment horizontal="center" vertical="center" shrinkToFit="1"/>
    </xf>
    <xf numFmtId="0" fontId="11" fillId="0" borderId="15" xfId="2"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5" fillId="0" borderId="23" xfId="0" applyFont="1" applyBorder="1" applyAlignment="1">
      <alignment horizontal="center" vertical="center" wrapText="1"/>
    </xf>
    <xf numFmtId="0" fontId="13" fillId="0" borderId="0" xfId="0" applyFont="1" applyFill="1"/>
    <xf numFmtId="1" fontId="5" fillId="0" borderId="22" xfId="0" applyNumberFormat="1" applyFont="1" applyBorder="1" applyAlignment="1">
      <alignment horizontal="center" vertical="center" shrinkToFit="1"/>
    </xf>
    <xf numFmtId="167" fontId="5" fillId="0" borderId="22" xfId="0" applyNumberFormat="1" applyFont="1" applyBorder="1" applyAlignment="1">
      <alignment horizontal="center" vertical="center" shrinkToFit="1"/>
    </xf>
    <xf numFmtId="0" fontId="11"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5" fillId="0" borderId="28" xfId="0" applyFont="1" applyBorder="1" applyAlignment="1">
      <alignment horizontal="center" vertical="center" wrapText="1"/>
    </xf>
    <xf numFmtId="0" fontId="10" fillId="14" borderId="26" xfId="0" applyFont="1" applyFill="1" applyBorder="1" applyAlignment="1">
      <alignment horizontal="center" vertical="center" wrapText="1"/>
    </xf>
    <xf numFmtId="0" fontId="10" fillId="14" borderId="24" xfId="0" applyFont="1" applyFill="1" applyBorder="1" applyAlignment="1">
      <alignment horizontal="center" vertical="center" wrapText="1"/>
    </xf>
    <xf numFmtId="0" fontId="10" fillId="14" borderId="14" xfId="0" applyFont="1" applyFill="1" applyBorder="1" applyAlignment="1">
      <alignment horizontal="center" vertical="center" wrapText="1"/>
    </xf>
    <xf numFmtId="3" fontId="5" fillId="0" borderId="1" xfId="0" applyNumberFormat="1" applyFont="1" applyBorder="1" applyAlignment="1">
      <alignment horizontal="center" vertical="center" shrinkToFit="1"/>
    </xf>
    <xf numFmtId="16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22" xfId="0" applyFont="1" applyBorder="1" applyAlignment="1">
      <alignment horizontal="center" vertical="center"/>
    </xf>
    <xf numFmtId="167" fontId="11" fillId="0" borderId="15" xfId="0" applyNumberFormat="1" applyFont="1" applyFill="1" applyBorder="1" applyAlignment="1">
      <alignment horizontal="center" vertical="center" wrapText="1"/>
    </xf>
    <xf numFmtId="1" fontId="5" fillId="0" borderId="1" xfId="0" applyNumberFormat="1" applyFont="1" applyBorder="1" applyAlignment="1">
      <alignment horizontal="center" vertical="center" shrinkToFit="1"/>
    </xf>
    <xf numFmtId="167" fontId="5"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3" fontId="11" fillId="0" borderId="1" xfId="0" applyNumberFormat="1" applyFont="1" applyFill="1" applyBorder="1" applyAlignment="1">
      <alignment horizontal="center" vertical="center" wrapText="1"/>
    </xf>
    <xf numFmtId="3" fontId="5" fillId="0" borderId="30" xfId="0" applyNumberFormat="1" applyFont="1" applyBorder="1" applyAlignment="1">
      <alignment horizontal="center" vertical="center" shrinkToFit="1"/>
    </xf>
    <xf numFmtId="0" fontId="5" fillId="0" borderId="31" xfId="0" applyFont="1" applyBorder="1" applyAlignment="1">
      <alignment horizontal="center" vertical="center" wrapText="1"/>
    </xf>
    <xf numFmtId="1" fontId="5" fillId="0" borderId="32" xfId="0" applyNumberFormat="1" applyFont="1" applyBorder="1" applyAlignment="1">
      <alignment horizontal="center" vertical="center" shrinkToFit="1"/>
    </xf>
    <xf numFmtId="167" fontId="5" fillId="0" borderId="30" xfId="0" applyNumberFormat="1" applyFont="1" applyBorder="1" applyAlignment="1">
      <alignment horizontal="center" vertical="center" shrinkToFit="1"/>
    </xf>
    <xf numFmtId="0" fontId="11" fillId="0" borderId="30" xfId="0" applyFont="1" applyBorder="1" applyAlignment="1">
      <alignment horizontal="center" vertical="center" wrapText="1"/>
    </xf>
    <xf numFmtId="1" fontId="5" fillId="0" borderId="33" xfId="0" applyNumberFormat="1" applyFont="1" applyBorder="1" applyAlignment="1">
      <alignment horizontal="center" vertical="center" shrinkToFit="1"/>
    </xf>
    <xf numFmtId="0" fontId="5" fillId="0" borderId="34" xfId="0" applyFont="1" applyBorder="1" applyAlignment="1">
      <alignment horizontal="center" vertical="center" wrapText="1"/>
    </xf>
    <xf numFmtId="168" fontId="5" fillId="0" borderId="22" xfId="0" applyNumberFormat="1" applyFont="1" applyBorder="1" applyAlignment="1">
      <alignment horizontal="center" vertical="center" shrinkToFit="1"/>
    </xf>
    <xf numFmtId="1" fontId="5" fillId="0" borderId="35" xfId="0" applyNumberFormat="1" applyFont="1" applyBorder="1" applyAlignment="1">
      <alignment horizontal="center" vertical="center" shrinkToFit="1"/>
    </xf>
    <xf numFmtId="3" fontId="5" fillId="0" borderId="37" xfId="0" applyNumberFormat="1" applyFont="1" applyBorder="1" applyAlignment="1">
      <alignment horizontal="center" vertical="center" shrinkToFit="1"/>
    </xf>
    <xf numFmtId="167" fontId="5" fillId="0" borderId="37" xfId="0" applyNumberFormat="1" applyFont="1" applyBorder="1" applyAlignment="1">
      <alignment horizontal="center" vertical="center" shrinkToFit="1"/>
    </xf>
    <xf numFmtId="0" fontId="11" fillId="0" borderId="37" xfId="0" applyFont="1" applyBorder="1" applyAlignment="1">
      <alignment horizontal="center" vertical="center" wrapText="1"/>
    </xf>
    <xf numFmtId="0" fontId="5" fillId="0" borderId="38" xfId="0" applyFont="1" applyBorder="1" applyAlignment="1">
      <alignment horizontal="center" vertical="center" wrapText="1"/>
    </xf>
    <xf numFmtId="14" fontId="11" fillId="0" borderId="15" xfId="0" applyNumberFormat="1" applyFont="1" applyFill="1" applyBorder="1" applyAlignment="1">
      <alignment horizontal="center" vertical="center" wrapText="1"/>
    </xf>
    <xf numFmtId="1" fontId="5" fillId="0" borderId="43" xfId="0" applyNumberFormat="1" applyFont="1" applyBorder="1" applyAlignment="1">
      <alignment horizontal="center" vertical="center" shrinkToFit="1"/>
    </xf>
    <xf numFmtId="3" fontId="5" fillId="0" borderId="21" xfId="0" applyNumberFormat="1" applyFont="1" applyBorder="1" applyAlignment="1">
      <alignment horizontal="center" vertical="center" shrinkToFit="1"/>
    </xf>
    <xf numFmtId="167" fontId="5" fillId="0" borderId="21" xfId="0" applyNumberFormat="1" applyFont="1" applyBorder="1" applyAlignment="1">
      <alignment horizontal="center" vertical="center" shrinkToFit="1"/>
    </xf>
    <xf numFmtId="0" fontId="11" fillId="0" borderId="2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5" xfId="0" applyFont="1" applyBorder="1" applyAlignment="1">
      <alignment horizontal="center" vertical="center"/>
    </xf>
    <xf numFmtId="168" fontId="5" fillId="0" borderId="27" xfId="0" applyNumberFormat="1" applyFont="1" applyBorder="1" applyAlignment="1">
      <alignment horizontal="center" vertical="center" shrinkToFit="1"/>
    </xf>
    <xf numFmtId="0" fontId="5" fillId="0" borderId="21" xfId="0" applyFont="1" applyBorder="1" applyAlignment="1">
      <alignment horizontal="center" vertical="center" wrapText="1"/>
    </xf>
    <xf numFmtId="168" fontId="5" fillId="0" borderId="19" xfId="0" applyNumberFormat="1" applyFont="1" applyBorder="1" applyAlignment="1">
      <alignment horizontal="center" vertical="center" shrinkToFi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3" fontId="5" fillId="0" borderId="15" xfId="0" applyNumberFormat="1" applyFont="1" applyBorder="1" applyAlignment="1">
      <alignment horizontal="center" vertical="center" shrinkToFit="1"/>
    </xf>
    <xf numFmtId="1" fontId="5" fillId="0" borderId="19" xfId="0" applyNumberFormat="1" applyFont="1" applyBorder="1" applyAlignment="1">
      <alignment horizontal="center" vertical="center" shrinkToFit="1"/>
    </xf>
    <xf numFmtId="0" fontId="5" fillId="0" borderId="29" xfId="0" applyFont="1" applyBorder="1" applyAlignment="1">
      <alignment horizontal="center" vertical="center" wrapText="1"/>
    </xf>
    <xf numFmtId="3" fontId="17" fillId="0" borderId="22" xfId="0" applyNumberFormat="1" applyFont="1" applyBorder="1" applyAlignment="1">
      <alignment horizontal="center" vertical="center" shrinkToFit="1"/>
    </xf>
    <xf numFmtId="0" fontId="10" fillId="14" borderId="22" xfId="0" applyFont="1" applyFill="1" applyBorder="1" applyAlignment="1">
      <alignment horizontal="center" vertical="center" wrapText="1"/>
    </xf>
    <xf numFmtId="167"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 fontId="5" fillId="0" borderId="21" xfId="0" applyNumberFormat="1" applyFont="1" applyBorder="1" applyAlignment="1">
      <alignment horizontal="center" vertical="center" shrinkToFit="1"/>
    </xf>
    <xf numFmtId="0" fontId="11" fillId="0" borderId="29" xfId="0" applyFont="1" applyBorder="1" applyAlignment="1">
      <alignment horizontal="center" vertical="center" wrapText="1"/>
    </xf>
    <xf numFmtId="3" fontId="5" fillId="0" borderId="29" xfId="0" applyNumberFormat="1" applyFont="1" applyBorder="1" applyAlignment="1">
      <alignment horizontal="center" vertical="center" shrinkToFit="1"/>
    </xf>
    <xf numFmtId="167" fontId="5" fillId="0" borderId="29" xfId="0" applyNumberFormat="1" applyFont="1" applyBorder="1" applyAlignment="1">
      <alignment horizontal="center" vertical="center" shrinkToFit="1"/>
    </xf>
    <xf numFmtId="1" fontId="5" fillId="0" borderId="8" xfId="0" applyNumberFormat="1" applyFont="1" applyBorder="1" applyAlignment="1">
      <alignment horizontal="center" vertical="center" shrinkToFit="1"/>
    </xf>
    <xf numFmtId="0" fontId="5" fillId="0" borderId="8" xfId="0" applyFont="1" applyBorder="1" applyAlignment="1">
      <alignment horizontal="center" vertical="center" wrapText="1"/>
    </xf>
    <xf numFmtId="3" fontId="5" fillId="0" borderId="8" xfId="0" applyNumberFormat="1" applyFont="1" applyBorder="1" applyAlignment="1">
      <alignment horizontal="center" vertical="center" shrinkToFit="1"/>
    </xf>
    <xf numFmtId="167" fontId="5" fillId="0" borderId="8" xfId="0" applyNumberFormat="1" applyFont="1" applyBorder="1" applyAlignment="1">
      <alignment horizontal="center" vertical="center" shrinkToFit="1"/>
    </xf>
    <xf numFmtId="0" fontId="11"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10" fillId="14" borderId="27" xfId="0" applyFont="1" applyFill="1" applyBorder="1" applyAlignment="1">
      <alignment horizontal="center" vertical="center" wrapText="1"/>
    </xf>
    <xf numFmtId="1" fontId="5" fillId="0" borderId="26" xfId="0" applyNumberFormat="1" applyFont="1" applyBorder="1" applyAlignment="1">
      <alignment horizontal="center" vertical="center" shrinkToFit="1"/>
    </xf>
    <xf numFmtId="3" fontId="5" fillId="0" borderId="26" xfId="0" applyNumberFormat="1" applyFont="1" applyBorder="1" applyAlignment="1">
      <alignment horizontal="center" vertical="center" shrinkToFit="1"/>
    </xf>
    <xf numFmtId="167" fontId="5" fillId="0" borderId="26" xfId="0" applyNumberFormat="1" applyFont="1" applyBorder="1" applyAlignment="1">
      <alignment horizontal="center" vertical="center" shrinkToFit="1"/>
    </xf>
    <xf numFmtId="168" fontId="5" fillId="0" borderId="26" xfId="0" applyNumberFormat="1" applyFont="1" applyBorder="1" applyAlignment="1">
      <alignment horizontal="center" vertical="center" shrinkToFit="1"/>
    </xf>
    <xf numFmtId="0" fontId="11" fillId="0" borderId="27" xfId="0" applyFont="1" applyFill="1" applyBorder="1" applyAlignment="1">
      <alignment horizontal="center" vertical="center" wrapText="1"/>
    </xf>
    <xf numFmtId="0" fontId="11" fillId="0" borderId="19" xfId="0" applyFont="1" applyBorder="1" applyAlignment="1">
      <alignment horizontal="center" vertical="center" wrapText="1"/>
    </xf>
    <xf numFmtId="0" fontId="13" fillId="0" borderId="0" xfId="0" applyFont="1" applyAlignment="1">
      <alignment vertical="top" wrapText="1"/>
    </xf>
    <xf numFmtId="0" fontId="21" fillId="0" borderId="0" xfId="0" applyFont="1" applyAlignment="1">
      <alignment horizontal="center" vertical="center" wrapText="1"/>
    </xf>
    <xf numFmtId="0" fontId="21" fillId="1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9" fillId="0" borderId="1" xfId="0" applyNumberFormat="1" applyFont="1" applyBorder="1" applyAlignment="1">
      <alignment horizontal="center" vertical="center" shrinkToFit="1"/>
    </xf>
    <xf numFmtId="167" fontId="13" fillId="0" borderId="1"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1" fontId="19" fillId="0" borderId="1" xfId="0" applyNumberFormat="1" applyFont="1" applyBorder="1" applyAlignment="1">
      <alignment horizontal="center" vertical="center" shrinkToFit="1"/>
    </xf>
    <xf numFmtId="167" fontId="19" fillId="0" borderId="1" xfId="0" applyNumberFormat="1" applyFont="1" applyBorder="1" applyAlignment="1">
      <alignment horizontal="center" vertical="center" shrinkToFit="1"/>
    </xf>
    <xf numFmtId="0" fontId="21" fillId="0" borderId="1" xfId="0" applyFont="1" applyBorder="1" applyAlignment="1">
      <alignment horizontal="center" vertical="center" wrapText="1"/>
    </xf>
    <xf numFmtId="0" fontId="13"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1" fontId="19" fillId="0" borderId="24" xfId="0" applyNumberFormat="1" applyFont="1" applyBorder="1" applyAlignment="1">
      <alignment vertical="center" shrinkToFit="1"/>
    </xf>
    <xf numFmtId="0" fontId="13" fillId="0" borderId="0" xfId="0" applyFont="1" applyBorder="1" applyAlignment="1">
      <alignment vertical="center" wrapText="1"/>
    </xf>
    <xf numFmtId="0" fontId="21" fillId="0" borderId="0" xfId="0" applyFont="1" applyBorder="1" applyAlignment="1">
      <alignment vertical="center" wrapText="1"/>
    </xf>
    <xf numFmtId="3" fontId="19" fillId="0" borderId="0" xfId="0" applyNumberFormat="1" applyFont="1" applyBorder="1" applyAlignment="1">
      <alignment horizontal="center" vertical="center" shrinkToFit="1"/>
    </xf>
    <xf numFmtId="167" fontId="19" fillId="0" borderId="0" xfId="0" applyNumberFormat="1" applyFont="1" applyBorder="1" applyAlignment="1">
      <alignment horizontal="center" vertical="center" shrinkToFit="1"/>
    </xf>
    <xf numFmtId="0" fontId="13" fillId="0" borderId="0" xfId="0" applyFont="1" applyBorder="1" applyAlignment="1">
      <alignment horizontal="center" vertical="center" wrapText="1"/>
    </xf>
    <xf numFmtId="0" fontId="22" fillId="0" borderId="0" xfId="0" applyFont="1" applyAlignment="1">
      <alignment vertical="top" wrapText="1"/>
    </xf>
    <xf numFmtId="0" fontId="0" fillId="0" borderId="0" xfId="0" applyFont="1"/>
    <xf numFmtId="0" fontId="13" fillId="0" borderId="0" xfId="0" applyFont="1" applyAlignment="1">
      <alignment horizontal="center" vertical="center" wrapText="1"/>
    </xf>
    <xf numFmtId="0" fontId="19" fillId="0" borderId="1" xfId="0" applyFont="1" applyBorder="1" applyAlignment="1">
      <alignment horizontal="center" vertical="center" wrapText="1"/>
    </xf>
    <xf numFmtId="168" fontId="19" fillId="0" borderId="1" xfId="0" applyNumberFormat="1" applyFont="1" applyBorder="1" applyAlignment="1">
      <alignment horizontal="center" vertical="center" shrinkToFit="1"/>
    </xf>
    <xf numFmtId="14" fontId="13" fillId="0" borderId="1" xfId="0" applyNumberFormat="1" applyFont="1" applyFill="1" applyBorder="1" applyAlignment="1">
      <alignment horizontal="center" vertical="center" wrapText="1"/>
    </xf>
    <xf numFmtId="14" fontId="19" fillId="0" borderId="1" xfId="0" applyNumberFormat="1" applyFont="1" applyBorder="1" applyAlignment="1">
      <alignment horizontal="center" vertical="center" wrapText="1"/>
    </xf>
    <xf numFmtId="0" fontId="13" fillId="0" borderId="39" xfId="0" applyFont="1" applyBorder="1" applyAlignment="1">
      <alignment horizontal="center" vertical="center" wrapText="1"/>
    </xf>
    <xf numFmtId="0" fontId="23" fillId="0" borderId="14" xfId="0" applyFont="1" applyFill="1" applyBorder="1" applyAlignment="1">
      <alignment horizontal="center" vertical="center" wrapText="1"/>
    </xf>
    <xf numFmtId="0" fontId="13" fillId="0" borderId="0" xfId="0" applyFont="1" applyFill="1" applyAlignment="1">
      <alignment vertical="top" wrapText="1"/>
    </xf>
    <xf numFmtId="0" fontId="13" fillId="0"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shrinkToFit="1"/>
    </xf>
    <xf numFmtId="0" fontId="13" fillId="0" borderId="1" xfId="0" applyNumberFormat="1" applyFont="1" applyBorder="1" applyAlignment="1">
      <alignment horizontal="center" vertical="center" wrapText="1"/>
    </xf>
    <xf numFmtId="0" fontId="19" fillId="0" borderId="6" xfId="0" applyFont="1" applyBorder="1" applyAlignment="1">
      <alignment vertical="center" wrapText="1"/>
    </xf>
    <xf numFmtId="0" fontId="19" fillId="0" borderId="0" xfId="0" applyFont="1" applyBorder="1" applyAlignment="1">
      <alignment vertical="center" wrapText="1"/>
    </xf>
    <xf numFmtId="0" fontId="19" fillId="0" borderId="16" xfId="0" applyFont="1" applyBorder="1" applyAlignment="1">
      <alignment vertical="center" wrapText="1"/>
    </xf>
    <xf numFmtId="0" fontId="19" fillId="0" borderId="39" xfId="0" applyFont="1" applyBorder="1" applyAlignment="1">
      <alignment vertical="center" wrapText="1"/>
    </xf>
    <xf numFmtId="0" fontId="19" fillId="0" borderId="39" xfId="0" applyFont="1" applyBorder="1" applyAlignment="1">
      <alignment horizontal="center" vertical="center" wrapText="1"/>
    </xf>
    <xf numFmtId="3" fontId="24" fillId="0" borderId="1" xfId="0" applyNumberFormat="1" applyFont="1" applyBorder="1" applyAlignment="1">
      <alignment horizontal="center" vertical="center" shrinkToFit="1"/>
    </xf>
    <xf numFmtId="0" fontId="21" fillId="14" borderId="24" xfId="0" applyFont="1" applyFill="1" applyBorder="1" applyAlignment="1">
      <alignment horizontal="center" vertical="center" wrapText="1"/>
    </xf>
    <xf numFmtId="0" fontId="21" fillId="14" borderId="26" xfId="0" applyFont="1" applyFill="1" applyBorder="1" applyAlignment="1">
      <alignment horizontal="center" vertical="center" wrapText="1"/>
    </xf>
    <xf numFmtId="0" fontId="21" fillId="14" borderId="49" xfId="0" applyFont="1" applyFill="1" applyBorder="1" applyAlignment="1">
      <alignment horizontal="center" vertical="center" wrapText="1"/>
    </xf>
    <xf numFmtId="0" fontId="13" fillId="0" borderId="39" xfId="0" applyFont="1" applyBorder="1" applyAlignment="1">
      <alignment vertical="center" wrapText="1"/>
    </xf>
    <xf numFmtId="0" fontId="21" fillId="14" borderId="19" xfId="0" applyFont="1" applyFill="1" applyBorder="1" applyAlignment="1">
      <alignment horizontal="center" vertical="center" wrapText="1"/>
    </xf>
    <xf numFmtId="0" fontId="21" fillId="14" borderId="21" xfId="0" applyFont="1" applyFill="1" applyBorder="1" applyAlignment="1">
      <alignment horizontal="center" vertical="center" wrapText="1"/>
    </xf>
    <xf numFmtId="1" fontId="19" fillId="0" borderId="16" xfId="0" applyNumberFormat="1" applyFont="1" applyBorder="1" applyAlignment="1">
      <alignment vertical="center" shrinkToFit="1"/>
    </xf>
    <xf numFmtId="3" fontId="19" fillId="0" borderId="39" xfId="0" applyNumberFormat="1" applyFont="1" applyBorder="1" applyAlignment="1">
      <alignment vertical="center" shrinkToFit="1"/>
    </xf>
    <xf numFmtId="3" fontId="19" fillId="0" borderId="39" xfId="0" applyNumberFormat="1" applyFont="1" applyBorder="1" applyAlignment="1">
      <alignment horizontal="center" vertical="center" shrinkToFit="1"/>
    </xf>
    <xf numFmtId="167" fontId="19" fillId="0" borderId="39" xfId="0" applyNumberFormat="1" applyFont="1" applyBorder="1" applyAlignment="1">
      <alignment horizontal="center" vertical="center" shrinkToFit="1"/>
    </xf>
    <xf numFmtId="168" fontId="19" fillId="0" borderId="39" xfId="0" applyNumberFormat="1" applyFont="1" applyBorder="1" applyAlignment="1">
      <alignment horizontal="center" vertical="center" shrinkToFit="1"/>
    </xf>
    <xf numFmtId="0" fontId="19" fillId="0" borderId="24" xfId="0" applyFont="1" applyBorder="1" applyAlignment="1">
      <alignment vertical="center" wrapText="1"/>
    </xf>
    <xf numFmtId="0" fontId="19" fillId="0" borderId="0" xfId="0" applyFont="1" applyBorder="1" applyAlignment="1">
      <alignment horizontal="center" vertical="center" wrapText="1"/>
    </xf>
    <xf numFmtId="0" fontId="21" fillId="0" borderId="0" xfId="0" applyFont="1" applyAlignment="1">
      <alignment vertical="top" wrapText="1"/>
    </xf>
    <xf numFmtId="0" fontId="19" fillId="0" borderId="0" xfId="0" applyFont="1" applyAlignment="1">
      <alignment vertical="top" wrapText="1"/>
    </xf>
    <xf numFmtId="0" fontId="21" fillId="14" borderId="16" xfId="0" applyFont="1" applyFill="1" applyBorder="1" applyAlignment="1">
      <alignment horizontal="center" vertical="center" wrapText="1"/>
    </xf>
    <xf numFmtId="0" fontId="21" fillId="14" borderId="15" xfId="0" applyFont="1" applyFill="1" applyBorder="1" applyAlignment="1">
      <alignment horizontal="center" vertical="center" wrapText="1"/>
    </xf>
    <xf numFmtId="0" fontId="21" fillId="14" borderId="2" xfId="0" applyFont="1" applyFill="1" applyBorder="1" applyAlignment="1">
      <alignment horizontal="center" vertical="center" wrapText="1"/>
    </xf>
    <xf numFmtId="0" fontId="19" fillId="0" borderId="27" xfId="0" applyFont="1" applyBorder="1" applyAlignment="1">
      <alignment horizontal="center" vertical="center" wrapText="1"/>
    </xf>
    <xf numFmtId="3" fontId="19" fillId="0" borderId="3" xfId="0" applyNumberFormat="1" applyFont="1" applyBorder="1" applyAlignment="1">
      <alignment horizontal="center" vertical="center" shrinkToFit="1"/>
    </xf>
    <xf numFmtId="2" fontId="13" fillId="0" borderId="45"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3" fontId="19" fillId="0" borderId="27" xfId="0" applyNumberFormat="1" applyFont="1" applyBorder="1" applyAlignment="1">
      <alignment horizontal="center" vertical="center" shrinkToFit="1"/>
    </xf>
    <xf numFmtId="2" fontId="19" fillId="0" borderId="45" xfId="0" applyNumberFormat="1" applyFont="1" applyBorder="1" applyAlignment="1">
      <alignment horizontal="center" vertical="center" shrinkToFit="1"/>
    </xf>
    <xf numFmtId="168" fontId="19" fillId="0" borderId="22" xfId="0" applyNumberFormat="1" applyFont="1" applyBorder="1" applyAlignment="1">
      <alignment horizontal="center" vertical="center" shrinkToFit="1"/>
    </xf>
    <xf numFmtId="0" fontId="19" fillId="0" borderId="22" xfId="0" applyFont="1" applyBorder="1" applyAlignment="1">
      <alignment horizontal="center" vertical="center" wrapText="1"/>
    </xf>
    <xf numFmtId="1" fontId="19" fillId="0" borderId="19" xfId="0" applyNumberFormat="1" applyFont="1" applyBorder="1" applyAlignment="1">
      <alignment horizontal="center" vertical="center" shrinkToFit="1"/>
    </xf>
    <xf numFmtId="0" fontId="13" fillId="0" borderId="22" xfId="0" applyFont="1" applyBorder="1" applyAlignment="1">
      <alignment horizontal="center" vertical="center" wrapText="1"/>
    </xf>
    <xf numFmtId="1" fontId="19" fillId="0" borderId="16" xfId="0" applyNumberFormat="1" applyFont="1" applyBorder="1" applyAlignment="1">
      <alignment horizontal="center" vertical="center" shrinkToFit="1"/>
    </xf>
    <xf numFmtId="1" fontId="19" fillId="0" borderId="27" xfId="0" applyNumberFormat="1" applyFont="1" applyBorder="1" applyAlignment="1">
      <alignment horizontal="center" vertical="center" shrinkToFit="1"/>
    </xf>
    <xf numFmtId="3" fontId="19" fillId="0" borderId="22" xfId="0" applyNumberFormat="1" applyFont="1" applyBorder="1" applyAlignment="1">
      <alignment horizontal="center" vertical="center" shrinkToFit="1"/>
    </xf>
    <xf numFmtId="167" fontId="19" fillId="0" borderId="27" xfId="0" applyNumberFormat="1" applyFont="1" applyBorder="1" applyAlignment="1">
      <alignment horizontal="center" vertical="center" shrinkToFit="1"/>
    </xf>
    <xf numFmtId="0" fontId="13" fillId="0" borderId="27" xfId="0" applyFont="1" applyBorder="1" applyAlignment="1">
      <alignment horizontal="center" vertical="center" wrapText="1"/>
    </xf>
    <xf numFmtId="0" fontId="13" fillId="0" borderId="21" xfId="0" applyFont="1" applyBorder="1" applyAlignment="1">
      <alignment horizontal="center" vertical="center" wrapText="1"/>
    </xf>
    <xf numFmtId="3" fontId="19" fillId="0" borderId="21" xfId="0" applyNumberFormat="1" applyFont="1" applyBorder="1" applyAlignment="1">
      <alignment horizontal="center" vertical="center" shrinkToFit="1"/>
    </xf>
    <xf numFmtId="0" fontId="19" fillId="0" borderId="21" xfId="0" applyFont="1" applyBorder="1" applyAlignment="1">
      <alignment horizontal="center" vertical="center" wrapText="1"/>
    </xf>
    <xf numFmtId="0" fontId="13" fillId="0" borderId="19" xfId="0" applyFont="1" applyBorder="1" applyAlignment="1">
      <alignment horizontal="center" vertical="center" wrapText="1"/>
    </xf>
    <xf numFmtId="0" fontId="21" fillId="14" borderId="27" xfId="0" applyFont="1" applyFill="1" applyBorder="1" applyAlignment="1">
      <alignment horizontal="center" vertical="center" wrapText="1"/>
    </xf>
    <xf numFmtId="0" fontId="21" fillId="14" borderId="22" xfId="0" applyFont="1" applyFill="1" applyBorder="1" applyAlignment="1">
      <alignment horizontal="center" vertical="center" wrapText="1"/>
    </xf>
    <xf numFmtId="0" fontId="13" fillId="0" borderId="3" xfId="0" applyFont="1" applyFill="1" applyBorder="1" applyAlignment="1">
      <alignment horizontal="center" vertical="center" wrapText="1"/>
    </xf>
    <xf numFmtId="3" fontId="19" fillId="0" borderId="4" xfId="0" applyNumberFormat="1" applyFont="1" applyBorder="1" applyAlignment="1">
      <alignment horizontal="center" vertical="center" shrinkToFit="1"/>
    </xf>
    <xf numFmtId="3" fontId="19" fillId="0" borderId="45" xfId="0" applyNumberFormat="1" applyFont="1" applyBorder="1" applyAlignment="1">
      <alignment horizontal="center" vertical="center" shrinkToFit="1"/>
    </xf>
    <xf numFmtId="3" fontId="19" fillId="0" borderId="46" xfId="0" applyNumberFormat="1" applyFont="1" applyBorder="1" applyAlignment="1">
      <alignment horizontal="center" vertical="center" shrinkToFit="1"/>
    </xf>
    <xf numFmtId="167" fontId="19" fillId="0" borderId="22" xfId="0" applyNumberFormat="1" applyFont="1" applyBorder="1" applyAlignment="1">
      <alignment horizontal="center" vertical="center" shrinkToFit="1"/>
    </xf>
    <xf numFmtId="168" fontId="19" fillId="0" borderId="27" xfId="0" applyNumberFormat="1" applyFont="1" applyBorder="1" applyAlignment="1">
      <alignment horizontal="center" vertical="center" shrinkToFit="1"/>
    </xf>
    <xf numFmtId="0" fontId="13" fillId="0" borderId="24" xfId="0" applyFont="1" applyBorder="1" applyAlignment="1">
      <alignment vertical="center" wrapText="1"/>
    </xf>
    <xf numFmtId="0" fontId="13" fillId="0" borderId="0" xfId="0" applyFont="1" applyAlignment="1">
      <alignment vertical="center" wrapText="1"/>
    </xf>
    <xf numFmtId="14" fontId="13" fillId="0" borderId="1" xfId="0" applyNumberFormat="1" applyFont="1" applyBorder="1" applyAlignment="1">
      <alignment horizontal="center" vertical="center" wrapText="1"/>
    </xf>
    <xf numFmtId="0" fontId="1" fillId="0" borderId="0" xfId="0" applyNumberFormat="1" applyFont="1" applyFill="1" applyBorder="1" applyAlignment="1">
      <alignment horizontal="center"/>
    </xf>
    <xf numFmtId="166" fontId="0" fillId="0" borderId="0" xfId="0" applyNumberFormat="1" applyAlignment="1">
      <alignment horizontal="center"/>
    </xf>
    <xf numFmtId="1" fontId="26" fillId="0" borderId="29" xfId="0" applyNumberFormat="1" applyFont="1" applyBorder="1" applyAlignment="1">
      <alignment horizontal="left" vertical="top" shrinkToFit="1"/>
    </xf>
    <xf numFmtId="164" fontId="26" fillId="0" borderId="29" xfId="0" applyNumberFormat="1" applyFont="1" applyBorder="1" applyAlignment="1">
      <alignment horizontal="left" vertical="top" indent="1" shrinkToFit="1"/>
    </xf>
    <xf numFmtId="164" fontId="26" fillId="0" borderId="29" xfId="0" applyNumberFormat="1" applyFont="1" applyBorder="1" applyAlignment="1">
      <alignment horizontal="left" vertical="top" shrinkToFit="1"/>
    </xf>
    <xf numFmtId="1" fontId="26" fillId="0" borderId="0" xfId="0" applyNumberFormat="1" applyFont="1" applyAlignment="1">
      <alignment horizontal="left" vertical="top" shrinkToFit="1"/>
    </xf>
    <xf numFmtId="164" fontId="26" fillId="0" borderId="0" xfId="0" applyNumberFormat="1" applyFont="1" applyAlignment="1">
      <alignment horizontal="left" vertical="top" indent="1" shrinkToFit="1"/>
    </xf>
    <xf numFmtId="164" fontId="26" fillId="0" borderId="0" xfId="0" applyNumberFormat="1" applyFont="1" applyAlignment="1">
      <alignment horizontal="left" vertical="top" shrinkToFit="1"/>
    </xf>
    <xf numFmtId="1" fontId="26" fillId="0" borderId="39" xfId="0" applyNumberFormat="1" applyFont="1" applyBorder="1" applyAlignment="1">
      <alignment horizontal="left" vertical="top" shrinkToFit="1"/>
    </xf>
    <xf numFmtId="164" fontId="26" fillId="0" borderId="39" xfId="0" applyNumberFormat="1" applyFont="1" applyBorder="1" applyAlignment="1">
      <alignment horizontal="left" vertical="top" indent="1" shrinkToFit="1"/>
    </xf>
    <xf numFmtId="164" fontId="26" fillId="0" borderId="39" xfId="0" applyNumberFormat="1" applyFont="1" applyBorder="1" applyAlignment="1">
      <alignment horizontal="left" vertical="top" shrinkToFit="1"/>
    </xf>
    <xf numFmtId="0" fontId="27" fillId="0" borderId="0" xfId="0" applyFont="1" applyAlignment="1">
      <alignment horizontal="left" vertical="top"/>
    </xf>
    <xf numFmtId="0" fontId="25" fillId="0" borderId="0" xfId="0" applyFont="1" applyAlignment="1">
      <alignment horizontal="left"/>
    </xf>
    <xf numFmtId="0" fontId="27" fillId="0" borderId="0" xfId="0" applyFont="1" applyAlignment="1">
      <alignment horizontal="left" vertical="top" indent="1"/>
    </xf>
    <xf numFmtId="0" fontId="27" fillId="0" borderId="39" xfId="0" applyFont="1" applyBorder="1" applyAlignment="1">
      <alignment horizontal="left" vertical="top"/>
    </xf>
    <xf numFmtId="0" fontId="27" fillId="0" borderId="39" xfId="0" applyFont="1" applyBorder="1" applyAlignment="1">
      <alignment horizontal="left" vertical="top" indent="1"/>
    </xf>
    <xf numFmtId="0" fontId="25" fillId="0" borderId="0" xfId="0" applyFont="1" applyAlignment="1"/>
    <xf numFmtId="0" fontId="1" fillId="0" borderId="1"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vertical="center"/>
    </xf>
    <xf numFmtId="4" fontId="0" fillId="4" borderId="0" xfId="0" applyNumberFormat="1" applyFill="1" applyAlignment="1">
      <alignment horizontal="center"/>
    </xf>
    <xf numFmtId="4" fontId="0" fillId="0" borderId="0" xfId="0" applyNumberFormat="1" applyAlignment="1">
      <alignment horizontal="center"/>
    </xf>
    <xf numFmtId="4" fontId="0" fillId="6" borderId="0" xfId="0" applyNumberFormat="1" applyFill="1" applyAlignment="1">
      <alignment horizontal="center"/>
    </xf>
    <xf numFmtId="0" fontId="0" fillId="0" borderId="0" xfId="0" applyFont="1" applyBorder="1" applyAlignment="1"/>
    <xf numFmtId="0" fontId="0" fillId="0" borderId="0" xfId="0" applyFont="1" applyBorder="1" applyAlignment="1">
      <alignment horizontal="center"/>
    </xf>
    <xf numFmtId="3" fontId="0" fillId="0" borderId="0" xfId="0" applyNumberFormat="1"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17" fillId="0" borderId="0" xfId="0" applyFont="1"/>
    <xf numFmtId="0" fontId="0" fillId="0" borderId="57" xfId="0" applyBorder="1" applyAlignment="1">
      <alignment horizontal="center"/>
    </xf>
    <xf numFmtId="0" fontId="0" fillId="0" borderId="59" xfId="0" applyBorder="1" applyAlignment="1">
      <alignment horizontal="center"/>
    </xf>
    <xf numFmtId="0" fontId="1" fillId="0" borderId="70" xfId="0" applyFont="1" applyBorder="1" applyAlignment="1">
      <alignment horizontal="center" vertical="center"/>
    </xf>
    <xf numFmtId="0" fontId="0" fillId="0" borderId="71" xfId="0" applyFont="1" applyBorder="1" applyAlignment="1">
      <alignment horizontal="center" vertical="center"/>
    </xf>
    <xf numFmtId="2" fontId="0" fillId="0" borderId="72" xfId="0" applyNumberFormat="1" applyBorder="1" applyAlignment="1">
      <alignment horizontal="center"/>
    </xf>
    <xf numFmtId="4" fontId="0" fillId="0" borderId="67" xfId="0" applyNumberFormat="1" applyBorder="1" applyAlignment="1">
      <alignment horizontal="center"/>
    </xf>
    <xf numFmtId="4" fontId="0" fillId="0" borderId="73" xfId="0" applyNumberFormat="1" applyBorder="1" applyAlignment="1">
      <alignment horizontal="center"/>
    </xf>
    <xf numFmtId="4" fontId="0" fillId="0" borderId="74" xfId="0" applyNumberFormat="1" applyBorder="1" applyAlignment="1">
      <alignment horizontal="center"/>
    </xf>
    <xf numFmtId="0" fontId="0" fillId="9" borderId="3" xfId="0" applyFill="1" applyBorder="1" applyAlignment="1">
      <alignment horizontal="center"/>
    </xf>
    <xf numFmtId="4" fontId="0" fillId="9" borderId="73" xfId="0" applyNumberFormat="1" applyFill="1" applyBorder="1" applyAlignment="1">
      <alignment horizontal="center"/>
    </xf>
    <xf numFmtId="0" fontId="0" fillId="9" borderId="59" xfId="0" applyFill="1" applyBorder="1" applyAlignment="1">
      <alignment horizontal="center"/>
    </xf>
    <xf numFmtId="4" fontId="0" fillId="9" borderId="74" xfId="0" applyNumberFormat="1" applyFill="1" applyBorder="1" applyAlignment="1">
      <alignment horizontal="center"/>
    </xf>
    <xf numFmtId="0" fontId="0" fillId="0" borderId="61" xfId="0" applyBorder="1" applyAlignment="1">
      <alignment horizontal="center"/>
    </xf>
    <xf numFmtId="0" fontId="0" fillId="0" borderId="73" xfId="0" applyBorder="1" applyAlignment="1">
      <alignment horizontal="center"/>
    </xf>
    <xf numFmtId="3" fontId="0" fillId="0" borderId="61" xfId="0" applyNumberFormat="1" applyBorder="1" applyAlignment="1">
      <alignment horizontal="center"/>
    </xf>
    <xf numFmtId="3" fontId="0" fillId="0" borderId="73" xfId="0" applyNumberFormat="1" applyBorder="1" applyAlignment="1">
      <alignment horizontal="center"/>
    </xf>
    <xf numFmtId="3" fontId="0" fillId="0" borderId="62" xfId="0" applyNumberFormat="1" applyBorder="1" applyAlignment="1">
      <alignment horizontal="center"/>
    </xf>
    <xf numFmtId="3" fontId="0" fillId="0" borderId="74" xfId="0" applyNumberFormat="1" applyBorder="1" applyAlignment="1">
      <alignment horizontal="center"/>
    </xf>
    <xf numFmtId="0" fontId="0" fillId="0" borderId="0" xfId="0" applyAlignment="1">
      <alignment horizontal="center"/>
    </xf>
    <xf numFmtId="164" fontId="0" fillId="0" borderId="0" xfId="0" applyNumberFormat="1" applyAlignment="1">
      <alignment horizontal="center" vertical="center" wrapText="1"/>
    </xf>
    <xf numFmtId="2" fontId="0" fillId="0" borderId="0" xfId="0" applyNumberFormat="1" applyAlignment="1">
      <alignment horizontal="center" vertical="center"/>
    </xf>
    <xf numFmtId="0" fontId="1" fillId="0" borderId="1"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64" xfId="0" applyBorder="1" applyAlignment="1">
      <alignment horizontal="center" vertical="center" wrapText="1"/>
    </xf>
    <xf numFmtId="0" fontId="0" fillId="0" borderId="82" xfId="0"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65" xfId="0" applyBorder="1" applyAlignment="1">
      <alignment horizontal="center" vertical="center" wrapText="1"/>
    </xf>
    <xf numFmtId="0" fontId="1" fillId="0" borderId="56"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0" fillId="0" borderId="61" xfId="0" applyBorder="1" applyAlignment="1">
      <alignment horizontal="center"/>
    </xf>
    <xf numFmtId="0" fontId="0" fillId="0" borderId="73" xfId="0" applyBorder="1" applyAlignment="1">
      <alignment horizontal="center"/>
    </xf>
    <xf numFmtId="0" fontId="0" fillId="0" borderId="62" xfId="0" applyBorder="1" applyAlignment="1">
      <alignment horizontal="center"/>
    </xf>
    <xf numFmtId="0" fontId="0" fillId="0" borderId="74" xfId="0" applyBorder="1" applyAlignment="1">
      <alignment horizontal="center"/>
    </xf>
    <xf numFmtId="0" fontId="1" fillId="0" borderId="56" xfId="0" applyFont="1" applyBorder="1" applyAlignment="1">
      <alignment horizontal="center" vertical="center"/>
    </xf>
    <xf numFmtId="0" fontId="1" fillId="0" borderId="63" xfId="0" applyFont="1" applyBorder="1" applyAlignment="1">
      <alignment horizontal="center" vertical="center"/>
    </xf>
    <xf numFmtId="0" fontId="1" fillId="0" borderId="57" xfId="0" applyFont="1" applyBorder="1" applyAlignment="1">
      <alignment horizontal="center" vertical="center"/>
    </xf>
    <xf numFmtId="0" fontId="1" fillId="0" borderId="7" xfId="0" applyFont="1" applyBorder="1" applyAlignment="1">
      <alignment horizontal="center" vertical="center"/>
    </xf>
    <xf numFmtId="0" fontId="1" fillId="0" borderId="75" xfId="0" applyFont="1" applyBorder="1" applyAlignment="1">
      <alignment horizontal="center"/>
    </xf>
    <xf numFmtId="0" fontId="1" fillId="0" borderId="76" xfId="0" applyFont="1" applyBorder="1" applyAlignment="1">
      <alignment horizontal="center"/>
    </xf>
    <xf numFmtId="0" fontId="1" fillId="0" borderId="77" xfId="0" applyFont="1" applyBorder="1" applyAlignment="1">
      <alignment horizontal="center"/>
    </xf>
    <xf numFmtId="0" fontId="1" fillId="0" borderId="60" xfId="0" applyFont="1" applyBorder="1" applyAlignment="1">
      <alignment horizontal="center"/>
    </xf>
    <xf numFmtId="0" fontId="1" fillId="0" borderId="67" xfId="0" applyFont="1" applyBorder="1" applyAlignment="1">
      <alignment horizontal="center"/>
    </xf>
    <xf numFmtId="0" fontId="1" fillId="0" borderId="78" xfId="0" applyFont="1" applyBorder="1" applyAlignment="1">
      <alignment horizontal="center"/>
    </xf>
    <xf numFmtId="0" fontId="1" fillId="0" borderId="79" xfId="0" applyFont="1" applyBorder="1" applyAlignment="1">
      <alignment horizontal="center"/>
    </xf>
    <xf numFmtId="0" fontId="0" fillId="0" borderId="0" xfId="0" applyAlignment="1">
      <alignment horizontal="center"/>
    </xf>
    <xf numFmtId="0" fontId="1" fillId="0" borderId="1" xfId="0" applyFont="1" applyBorder="1" applyAlignment="1">
      <alignment horizontal="center" vertical="center" wrapText="1"/>
    </xf>
    <xf numFmtId="0" fontId="0" fillId="9" borderId="1" xfId="0" applyFill="1" applyBorder="1" applyAlignment="1">
      <alignment vertical="center" wrapText="1"/>
    </xf>
    <xf numFmtId="0" fontId="10" fillId="14" borderId="16" xfId="0" applyFont="1" applyFill="1" applyBorder="1" applyAlignment="1">
      <alignment horizontal="center" vertical="center" wrapText="1"/>
    </xf>
    <xf numFmtId="0" fontId="10" fillId="14" borderId="17"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Border="1" applyAlignment="1">
      <alignment horizontal="center" vertical="top" wrapText="1"/>
    </xf>
    <xf numFmtId="0" fontId="8" fillId="0" borderId="0" xfId="0" applyFont="1" applyBorder="1" applyAlignment="1">
      <alignment horizontal="center" vertical="top" wrapText="1"/>
    </xf>
    <xf numFmtId="0" fontId="10" fillId="14" borderId="3"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9" xfId="0"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14" borderId="24" xfId="0" applyFont="1" applyFill="1" applyBorder="1" applyAlignment="1">
      <alignment horizontal="center" vertical="center" wrapText="1"/>
    </xf>
    <xf numFmtId="0" fontId="10" fillId="14" borderId="25" xfId="0" applyFont="1" applyFill="1" applyBorder="1" applyAlignment="1">
      <alignment horizontal="center" vertical="center" wrapText="1"/>
    </xf>
    <xf numFmtId="0" fontId="10" fillId="14" borderId="7" xfId="0" applyFont="1" applyFill="1" applyBorder="1" applyAlignment="1">
      <alignment horizontal="center" vertical="center" wrapText="1"/>
    </xf>
    <xf numFmtId="0" fontId="10" fillId="14" borderId="8"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2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5" fillId="0" borderId="27" xfId="3" applyBorder="1" applyAlignment="1">
      <alignment horizontal="center" vertical="center" wrapText="1"/>
    </xf>
    <xf numFmtId="0" fontId="15" fillId="0" borderId="46" xfId="3" applyBorder="1" applyAlignment="1">
      <alignment horizontal="center" vertical="center" wrapText="1"/>
    </xf>
    <xf numFmtId="0" fontId="15" fillId="0" borderId="45" xfId="3" applyBorder="1" applyAlignment="1">
      <alignment horizontal="center" vertical="center" wrapText="1"/>
    </xf>
    <xf numFmtId="0" fontId="5" fillId="0" borderId="27" xfId="0" applyFont="1" applyBorder="1" applyAlignment="1">
      <alignment vertical="center" wrapText="1"/>
    </xf>
    <xf numFmtId="0" fontId="5" fillId="0" borderId="46" xfId="0" applyFont="1" applyBorder="1" applyAlignment="1">
      <alignment vertical="center" wrapText="1"/>
    </xf>
    <xf numFmtId="0" fontId="5" fillId="0" borderId="45" xfId="0" applyFont="1" applyBorder="1" applyAlignment="1">
      <alignment vertical="center" wrapText="1"/>
    </xf>
    <xf numFmtId="0" fontId="16" fillId="0" borderId="2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5" xfId="0" applyFont="1" applyBorder="1" applyAlignment="1">
      <alignment horizontal="center" vertical="center" wrapText="1"/>
    </xf>
    <xf numFmtId="0" fontId="14" fillId="14" borderId="6" xfId="0" applyFont="1" applyFill="1" applyBorder="1" applyAlignment="1">
      <alignment horizontal="center" vertical="center" wrapText="1"/>
    </xf>
    <xf numFmtId="0" fontId="14" fillId="14" borderId="0"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29" xfId="0" applyFont="1" applyFill="1" applyBorder="1" applyAlignment="1">
      <alignment horizontal="center" vertical="center" wrapText="1"/>
    </xf>
    <xf numFmtId="0" fontId="14" fillId="14" borderId="16" xfId="0" applyFont="1" applyFill="1" applyBorder="1" applyAlignment="1">
      <alignment horizontal="center" vertical="center" wrapText="1"/>
    </xf>
    <xf numFmtId="0" fontId="14" fillId="14" borderId="39" xfId="0" applyFont="1" applyFill="1" applyBorder="1" applyAlignment="1">
      <alignment horizontal="center" vertical="center" wrapText="1"/>
    </xf>
    <xf numFmtId="0" fontId="10" fillId="14" borderId="27" xfId="0" applyFont="1" applyFill="1" applyBorder="1" applyAlignment="1">
      <alignment horizontal="center" vertical="center" wrapText="1"/>
    </xf>
    <xf numFmtId="0" fontId="10" fillId="14" borderId="45" xfId="0" applyFont="1" applyFill="1" applyBorder="1" applyAlignment="1">
      <alignment horizontal="center" vertical="center" wrapText="1"/>
    </xf>
    <xf numFmtId="0" fontId="5" fillId="0" borderId="19" xfId="0" applyFont="1" applyBorder="1" applyAlignment="1">
      <alignment vertical="center" wrapText="1"/>
    </xf>
    <xf numFmtId="0" fontId="5" fillId="0" borderId="29"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 xfId="0" applyFont="1" applyBorder="1" applyAlignment="1">
      <alignment vertical="center" wrapText="1"/>
    </xf>
    <xf numFmtId="0" fontId="10" fillId="14" borderId="13" xfId="0" applyFont="1" applyFill="1" applyBorder="1" applyAlignment="1">
      <alignment horizontal="center" vertical="center" wrapText="1"/>
    </xf>
    <xf numFmtId="0" fontId="5" fillId="0" borderId="48" xfId="0" applyFont="1" applyBorder="1" applyAlignment="1">
      <alignment horizontal="center" vertical="center" wrapText="1"/>
    </xf>
    <xf numFmtId="0" fontId="11" fillId="0" borderId="39" xfId="0" applyFont="1" applyBorder="1" applyAlignment="1">
      <alignment horizontal="center" vertical="center" wrapText="1"/>
    </xf>
    <xf numFmtId="0" fontId="5" fillId="0" borderId="8" xfId="0" applyFont="1" applyBorder="1" applyAlignment="1">
      <alignment horizontal="center" vertical="center" wrapText="1"/>
    </xf>
    <xf numFmtId="0" fontId="10" fillId="14" borderId="46" xfId="0" applyFont="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1" fillId="14" borderId="19"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4" borderId="5"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21" fillId="14" borderId="27" xfId="0" applyFont="1" applyFill="1" applyBorder="1" applyAlignment="1">
      <alignment horizontal="center" vertical="center" wrapText="1"/>
    </xf>
    <xf numFmtId="0" fontId="21" fillId="14" borderId="46"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1" fillId="14" borderId="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1" fontId="19" fillId="0" borderId="1" xfId="0" applyNumberFormat="1" applyFont="1" applyBorder="1" applyAlignment="1">
      <alignment horizontal="center" vertical="center" shrinkToFit="1"/>
    </xf>
    <xf numFmtId="3" fontId="19" fillId="0" borderId="14" xfId="0" applyNumberFormat="1" applyFont="1" applyBorder="1" applyAlignment="1">
      <alignment horizontal="center" vertical="center" shrinkToFit="1"/>
    </xf>
    <xf numFmtId="3" fontId="19" fillId="0" borderId="2" xfId="0" applyNumberFormat="1" applyFont="1" applyBorder="1" applyAlignment="1">
      <alignment horizontal="center" vertical="center" shrinkToFit="1"/>
    </xf>
    <xf numFmtId="3" fontId="13" fillId="0" borderId="14" xfId="0" applyNumberFormat="1" applyFont="1" applyFill="1" applyBorder="1" applyAlignment="1">
      <alignment horizontal="center" vertical="center" wrapText="1"/>
    </xf>
    <xf numFmtId="167" fontId="13" fillId="0" borderId="14" xfId="0" applyNumberFormat="1" applyFont="1" applyFill="1" applyBorder="1" applyAlignment="1">
      <alignment horizontal="center" vertical="center" wrapText="1"/>
    </xf>
    <xf numFmtId="167" fontId="13" fillId="0" borderId="2" xfId="0" applyNumberFormat="1" applyFont="1" applyFill="1" applyBorder="1" applyAlignment="1">
      <alignment horizontal="center" vertical="center" wrapText="1"/>
    </xf>
    <xf numFmtId="1" fontId="19" fillId="0" borderId="14" xfId="0" applyNumberFormat="1" applyFont="1" applyBorder="1" applyAlignment="1">
      <alignment horizontal="center" vertical="center" shrinkToFit="1"/>
    </xf>
    <xf numFmtId="1" fontId="19" fillId="0" borderId="2" xfId="0" applyNumberFormat="1" applyFont="1" applyBorder="1" applyAlignment="1">
      <alignment horizontal="center" vertical="center" shrinkToFit="1"/>
    </xf>
    <xf numFmtId="167" fontId="19" fillId="0" borderId="14" xfId="0" applyNumberFormat="1" applyFont="1" applyBorder="1" applyAlignment="1">
      <alignment horizontal="center" vertical="center" shrinkToFit="1"/>
    </xf>
    <xf numFmtId="167" fontId="19" fillId="0" borderId="2" xfId="0" applyNumberFormat="1" applyFont="1" applyBorder="1" applyAlignment="1">
      <alignment horizontal="center" vertical="center" shrinkToFit="1"/>
    </xf>
    <xf numFmtId="0" fontId="21" fillId="14" borderId="24" xfId="0" applyFont="1" applyFill="1" applyBorder="1" applyAlignment="1">
      <alignment horizontal="center" vertical="center" wrapText="1"/>
    </xf>
    <xf numFmtId="0" fontId="21" fillId="14" borderId="25" xfId="0" applyFont="1" applyFill="1" applyBorder="1" applyAlignment="1">
      <alignment horizontal="center" vertical="center" wrapText="1"/>
    </xf>
    <xf numFmtId="3" fontId="13" fillId="0" borderId="49"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169" fontId="13" fillId="0" borderId="14" xfId="0" applyNumberFormat="1" applyFont="1" applyFill="1" applyBorder="1" applyAlignment="1">
      <alignment horizontal="center" vertical="center" wrapText="1"/>
    </xf>
    <xf numFmtId="169" fontId="13" fillId="0" borderId="49" xfId="0" applyNumberFormat="1" applyFont="1" applyFill="1" applyBorder="1" applyAlignment="1">
      <alignment horizontal="center" vertical="center" wrapText="1"/>
    </xf>
    <xf numFmtId="169" fontId="13" fillId="0" borderId="2" xfId="0" applyNumberFormat="1" applyFont="1" applyFill="1" applyBorder="1" applyAlignment="1">
      <alignment horizontal="center" vertical="center" wrapText="1"/>
    </xf>
    <xf numFmtId="0" fontId="13" fillId="0" borderId="49" xfId="0" applyFont="1" applyFill="1" applyBorder="1" applyAlignment="1">
      <alignment horizontal="center" vertical="center" wrapText="1"/>
    </xf>
    <xf numFmtId="0" fontId="21" fillId="14" borderId="50" xfId="0" applyFont="1" applyFill="1" applyBorder="1" applyAlignment="1">
      <alignment horizontal="center" vertical="center" wrapText="1"/>
    </xf>
    <xf numFmtId="0" fontId="21" fillId="14" borderId="51" xfId="0" applyFont="1" applyFill="1" applyBorder="1" applyAlignment="1">
      <alignment horizontal="center"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169" fontId="19" fillId="0" borderId="14" xfId="0" applyNumberFormat="1" applyFont="1" applyBorder="1" applyAlignment="1">
      <alignment horizontal="center" vertical="center" shrinkToFit="1"/>
    </xf>
    <xf numFmtId="169" fontId="19" fillId="0" borderId="2" xfId="0" applyNumberFormat="1" applyFont="1" applyBorder="1" applyAlignment="1">
      <alignment horizontal="center" vertical="center" shrinkToFit="1"/>
    </xf>
    <xf numFmtId="0" fontId="21" fillId="14" borderId="20" xfId="0" applyFont="1" applyFill="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14" fontId="13" fillId="0" borderId="14" xfId="0" applyNumberFormat="1" applyFont="1" applyFill="1" applyBorder="1" applyAlignment="1">
      <alignment horizontal="center" vertical="center" wrapText="1"/>
    </xf>
    <xf numFmtId="3" fontId="13" fillId="0" borderId="44" xfId="0" applyNumberFormat="1" applyFont="1" applyFill="1" applyBorder="1" applyAlignment="1">
      <alignment horizontal="center" vertical="center" wrapText="1"/>
    </xf>
    <xf numFmtId="0" fontId="13" fillId="0" borderId="53" xfId="0" applyFont="1" applyFill="1" applyBorder="1" applyAlignment="1">
      <alignment horizontal="center" vertical="center" wrapText="1"/>
    </xf>
    <xf numFmtId="2" fontId="13" fillId="0" borderId="14" xfId="0" applyNumberFormat="1" applyFont="1" applyFill="1" applyBorder="1" applyAlignment="1">
      <alignment horizontal="center" vertical="center" wrapText="1"/>
    </xf>
    <xf numFmtId="2" fontId="13" fillId="0" borderId="54" xfId="0" applyNumberFormat="1" applyFont="1" applyFill="1" applyBorder="1" applyAlignment="1">
      <alignment horizontal="center" vertical="center" wrapText="1"/>
    </xf>
    <xf numFmtId="1" fontId="19" fillId="0" borderId="21" xfId="0" applyNumberFormat="1" applyFont="1" applyBorder="1" applyAlignment="1">
      <alignment horizontal="center" vertical="center" shrinkToFit="1"/>
    </xf>
    <xf numFmtId="1" fontId="19" fillId="0" borderId="15" xfId="0" applyNumberFormat="1" applyFont="1" applyBorder="1" applyAlignment="1">
      <alignment horizontal="center" vertical="center" shrinkToFit="1"/>
    </xf>
    <xf numFmtId="3" fontId="19" fillId="0" borderId="21" xfId="0" applyNumberFormat="1" applyFont="1" applyBorder="1" applyAlignment="1">
      <alignment horizontal="center" vertical="center" shrinkToFit="1"/>
    </xf>
    <xf numFmtId="3" fontId="19" fillId="0" borderId="15" xfId="0" applyNumberFormat="1" applyFont="1" applyBorder="1" applyAlignment="1">
      <alignment horizontal="center" vertical="center" shrinkToFit="1"/>
    </xf>
    <xf numFmtId="2" fontId="19" fillId="0" borderId="44" xfId="0" applyNumberFormat="1" applyFont="1" applyBorder="1" applyAlignment="1">
      <alignment horizontal="center" vertical="center" shrinkToFit="1"/>
    </xf>
    <xf numFmtId="2" fontId="19" fillId="0" borderId="53" xfId="0" applyNumberFormat="1" applyFont="1" applyBorder="1" applyAlignment="1">
      <alignment horizontal="center" vertical="center" shrinkToFit="1"/>
    </xf>
    <xf numFmtId="0" fontId="13" fillId="0" borderId="2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6" xfId="0" applyFont="1" applyBorder="1" applyAlignment="1">
      <alignment horizontal="center" vertical="center" wrapText="1"/>
    </xf>
    <xf numFmtId="3" fontId="19" fillId="0" borderId="36" xfId="0" applyNumberFormat="1" applyFont="1" applyBorder="1" applyAlignment="1">
      <alignment horizontal="center" vertical="center" shrinkToFit="1"/>
    </xf>
    <xf numFmtId="2" fontId="13" fillId="0" borderId="52" xfId="0" applyNumberFormat="1"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3" fontId="19" fillId="0" borderId="42" xfId="0" applyNumberFormat="1" applyFont="1" applyBorder="1" applyAlignment="1">
      <alignment horizontal="center" vertical="center" shrinkToFit="1"/>
    </xf>
    <xf numFmtId="0" fontId="19" fillId="0" borderId="2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6" xfId="0" applyFont="1" applyBorder="1" applyAlignment="1">
      <alignment horizontal="center" vertical="center" wrapText="1"/>
    </xf>
    <xf numFmtId="3" fontId="13" fillId="0" borderId="19" xfId="0" applyNumberFormat="1" applyFont="1" applyBorder="1" applyAlignment="1">
      <alignment horizontal="center" vertical="center" wrapText="1"/>
    </xf>
    <xf numFmtId="3" fontId="13" fillId="0" borderId="24" xfId="0" applyNumberFormat="1" applyFont="1" applyBorder="1" applyAlignment="1">
      <alignment horizontal="center" vertical="center" wrapText="1"/>
    </xf>
    <xf numFmtId="3" fontId="13" fillId="0" borderId="48" xfId="0" applyNumberFormat="1" applyFont="1" applyBorder="1" applyAlignment="1">
      <alignment horizontal="center" vertical="center" wrapText="1"/>
    </xf>
    <xf numFmtId="3" fontId="13" fillId="0" borderId="14" xfId="0" applyNumberFormat="1" applyFont="1" applyBorder="1" applyAlignment="1">
      <alignment horizontal="center" vertical="center" wrapText="1"/>
    </xf>
    <xf numFmtId="3" fontId="13" fillId="0" borderId="49"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7" xfId="0" applyFont="1" applyBorder="1" applyAlignment="1">
      <alignment horizontal="center" vertical="center" wrapText="1"/>
    </xf>
    <xf numFmtId="0" fontId="21" fillId="14" borderId="55" xfId="0" applyFont="1" applyFill="1" applyBorder="1" applyAlignment="1">
      <alignment horizontal="center" vertical="center" wrapText="1"/>
    </xf>
  </cellXfs>
  <cellStyles count="4">
    <cellStyle name="Hyperlink" xfId="3" builtinId="8"/>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FE5EF3"/>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8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8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 Spadefish'!$D$3</c:f>
              <c:strCache>
                <c:ptCount val="1"/>
                <c:pt idx="0">
                  <c:v>Total New Est</c:v>
                </c:pt>
              </c:strCache>
            </c:strRef>
          </c:tx>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Spadefish'!$D$4:$D$35</c:f>
              <c:numCache>
                <c:formatCode>#,##0</c:formatCode>
                <c:ptCount val="32"/>
                <c:pt idx="0">
                  <c:v>799986.2186778899</c:v>
                </c:pt>
                <c:pt idx="1">
                  <c:v>234696.17478251003</c:v>
                </c:pt>
                <c:pt idx="2">
                  <c:v>904692.01305404003</c:v>
                </c:pt>
                <c:pt idx="3">
                  <c:v>264521.05617355899</c:v>
                </c:pt>
                <c:pt idx="4">
                  <c:v>404489.00020713394</c:v>
                </c:pt>
                <c:pt idx="5">
                  <c:v>405214.28919985011</c:v>
                </c:pt>
                <c:pt idx="6">
                  <c:v>674889.27557613014</c:v>
                </c:pt>
                <c:pt idx="7">
                  <c:v>1070322.7128289002</c:v>
                </c:pt>
                <c:pt idx="8">
                  <c:v>826088.61507139972</c:v>
                </c:pt>
                <c:pt idx="9">
                  <c:v>890984.01286073984</c:v>
                </c:pt>
                <c:pt idx="10">
                  <c:v>637417.50533585018</c:v>
                </c:pt>
                <c:pt idx="11">
                  <c:v>925543.2031375902</c:v>
                </c:pt>
                <c:pt idx="12">
                  <c:v>718827.8357033201</c:v>
                </c:pt>
                <c:pt idx="13">
                  <c:v>1016657.610147409</c:v>
                </c:pt>
                <c:pt idx="14">
                  <c:v>936224.66505469999</c:v>
                </c:pt>
                <c:pt idx="15">
                  <c:v>1118793.8968728716</c:v>
                </c:pt>
                <c:pt idx="16">
                  <c:v>1646747.5841152712</c:v>
                </c:pt>
                <c:pt idx="17">
                  <c:v>809203.46537677001</c:v>
                </c:pt>
                <c:pt idx="18">
                  <c:v>205472.39917210003</c:v>
                </c:pt>
                <c:pt idx="19">
                  <c:v>234322.75791027502</c:v>
                </c:pt>
                <c:pt idx="20">
                  <c:v>462495.87617857993</c:v>
                </c:pt>
                <c:pt idx="21">
                  <c:v>620686.04364256014</c:v>
                </c:pt>
                <c:pt idx="22">
                  <c:v>617578.04964047961</c:v>
                </c:pt>
                <c:pt idx="23">
                  <c:v>780714.60906358727</c:v>
                </c:pt>
                <c:pt idx="24">
                  <c:v>1522686.1562669398</c:v>
                </c:pt>
                <c:pt idx="25">
                  <c:v>218470.01476784993</c:v>
                </c:pt>
                <c:pt idx="26">
                  <c:v>279817.45306961704</c:v>
                </c:pt>
                <c:pt idx="27">
                  <c:v>259849.10692592</c:v>
                </c:pt>
                <c:pt idx="28">
                  <c:v>1602882.8500904306</c:v>
                </c:pt>
                <c:pt idx="29">
                  <c:v>603473.33676759992</c:v>
                </c:pt>
                <c:pt idx="30">
                  <c:v>119005.74475593997</c:v>
                </c:pt>
                <c:pt idx="31">
                  <c:v>407050.31574049796</c:v>
                </c:pt>
              </c:numCache>
            </c:numRef>
          </c:yVal>
          <c:smooth val="0"/>
          <c:extLst>
            <c:ext xmlns:c16="http://schemas.microsoft.com/office/drawing/2014/chart" uri="{C3380CC4-5D6E-409C-BE32-E72D297353CC}">
              <c16:uniqueId val="{00000000-A6CD-45E1-99CD-8C4BC61D4F47}"/>
            </c:ext>
          </c:extLst>
        </c:ser>
        <c:ser>
          <c:idx val="3"/>
          <c:order val="1"/>
          <c:tx>
            <c:strRef>
              <c:f>'A Spadefish'!$G$3</c:f>
              <c:strCache>
                <c:ptCount val="1"/>
                <c:pt idx="0">
                  <c:v>Total Orig FES</c:v>
                </c:pt>
              </c:strCache>
            </c:strRef>
          </c:tx>
          <c:spPr>
            <a:ln>
              <a:solidFill>
                <a:schemeClr val="accent2"/>
              </a:solidFill>
            </a:ln>
          </c:spPr>
          <c:marker>
            <c:spPr>
              <a:ln>
                <a:solidFill>
                  <a:schemeClr val="accent2"/>
                </a:solidFill>
              </a:ln>
            </c:spPr>
          </c:marker>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Spadefish'!$G$4:$G$35</c:f>
              <c:numCache>
                <c:formatCode>#,##0</c:formatCode>
                <c:ptCount val="32"/>
                <c:pt idx="0">
                  <c:v>867472.70079889975</c:v>
                </c:pt>
                <c:pt idx="1">
                  <c:v>237512.15550850998</c:v>
                </c:pt>
                <c:pt idx="2">
                  <c:v>430987.12370220001</c:v>
                </c:pt>
                <c:pt idx="3">
                  <c:v>402656.41971081891</c:v>
                </c:pt>
                <c:pt idx="4">
                  <c:v>386261.31592813897</c:v>
                </c:pt>
                <c:pt idx="5">
                  <c:v>408885.93285009009</c:v>
                </c:pt>
                <c:pt idx="6">
                  <c:v>893781.2833650501</c:v>
                </c:pt>
                <c:pt idx="7">
                  <c:v>1016883.0073949002</c:v>
                </c:pt>
                <c:pt idx="8">
                  <c:v>806645.06726375979</c:v>
                </c:pt>
                <c:pt idx="9">
                  <c:v>878920.69030102983</c:v>
                </c:pt>
                <c:pt idx="10">
                  <c:v>722512.25898853049</c:v>
                </c:pt>
                <c:pt idx="11">
                  <c:v>897031.62327695009</c:v>
                </c:pt>
                <c:pt idx="12">
                  <c:v>717811.84020892985</c:v>
                </c:pt>
                <c:pt idx="13">
                  <c:v>1073094.9696777593</c:v>
                </c:pt>
                <c:pt idx="14">
                  <c:v>990242.67552726006</c:v>
                </c:pt>
                <c:pt idx="15">
                  <c:v>1081688.1712453109</c:v>
                </c:pt>
                <c:pt idx="16">
                  <c:v>941539.58255214978</c:v>
                </c:pt>
                <c:pt idx="17">
                  <c:v>1052662.8264524401</c:v>
                </c:pt>
                <c:pt idx="18">
                  <c:v>278178.62386070006</c:v>
                </c:pt>
                <c:pt idx="19">
                  <c:v>280864.01555687498</c:v>
                </c:pt>
                <c:pt idx="20">
                  <c:v>505715.75705140992</c:v>
                </c:pt>
                <c:pt idx="21">
                  <c:v>691302.32464310015</c:v>
                </c:pt>
                <c:pt idx="22">
                  <c:v>636976.85951145936</c:v>
                </c:pt>
                <c:pt idx="23">
                  <c:v>578813.36186510732</c:v>
                </c:pt>
                <c:pt idx="24">
                  <c:v>1462944.86756202</c:v>
                </c:pt>
                <c:pt idx="25">
                  <c:v>208999.79216110491</c:v>
                </c:pt>
                <c:pt idx="26">
                  <c:v>285414.95643334696</c:v>
                </c:pt>
                <c:pt idx="27">
                  <c:v>204532.78026919003</c:v>
                </c:pt>
                <c:pt idx="28">
                  <c:v>3827435.9661587398</c:v>
                </c:pt>
                <c:pt idx="29">
                  <c:v>1698539.2625120007</c:v>
                </c:pt>
                <c:pt idx="30">
                  <c:v>132113.40932104999</c:v>
                </c:pt>
                <c:pt idx="31">
                  <c:v>660306.05269400787</c:v>
                </c:pt>
              </c:numCache>
            </c:numRef>
          </c:yVal>
          <c:smooth val="0"/>
          <c:extLst>
            <c:ext xmlns:c16="http://schemas.microsoft.com/office/drawing/2014/chart" uri="{C3380CC4-5D6E-409C-BE32-E72D297353CC}">
              <c16:uniqueId val="{00000003-A6CD-45E1-99CD-8C4BC61D4F47}"/>
            </c:ext>
          </c:extLst>
        </c:ser>
        <c:ser>
          <c:idx val="4"/>
          <c:order val="2"/>
          <c:tx>
            <c:strRef>
              <c:f>'A Spadefish'!$I$3</c:f>
              <c:strCache>
                <c:ptCount val="1"/>
                <c:pt idx="0">
                  <c:v>New Est ABC</c:v>
                </c:pt>
              </c:strCache>
            </c:strRef>
          </c:tx>
          <c:spPr>
            <a:ln>
              <a:solidFill>
                <a:schemeClr val="tx1"/>
              </a:solidFill>
            </a:ln>
          </c:spPr>
          <c:marker>
            <c:symbol val="none"/>
          </c:marker>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Spadefish'!$I$4:$I$35</c:f>
              <c:numCache>
                <c:formatCode>#,##0</c:formatCode>
                <c:ptCount val="32"/>
                <c:pt idx="26">
                  <c:v>1016657.610147409</c:v>
                </c:pt>
                <c:pt idx="27">
                  <c:v>1016657.610147409</c:v>
                </c:pt>
                <c:pt idx="28">
                  <c:v>1016657.610147409</c:v>
                </c:pt>
                <c:pt idx="29">
                  <c:v>1976097.1009383255</c:v>
                </c:pt>
                <c:pt idx="30">
                  <c:v>1976097.1009383255</c:v>
                </c:pt>
                <c:pt idx="31">
                  <c:v>1976097.1009383255</c:v>
                </c:pt>
              </c:numCache>
            </c:numRef>
          </c:yVal>
          <c:smooth val="0"/>
          <c:extLst>
            <c:ext xmlns:c16="http://schemas.microsoft.com/office/drawing/2014/chart" uri="{C3380CC4-5D6E-409C-BE32-E72D297353CC}">
              <c16:uniqueId val="{00000005-A6CD-45E1-99CD-8C4BC61D4F47}"/>
            </c:ext>
          </c:extLst>
        </c:ser>
        <c:ser>
          <c:idx val="6"/>
          <c:order val="3"/>
          <c:tx>
            <c:strRef>
              <c:f>'A Spadefish'!$J$3</c:f>
              <c:strCache>
                <c:ptCount val="1"/>
                <c:pt idx="0">
                  <c:v>Orig Rec ABC</c:v>
                </c:pt>
              </c:strCache>
            </c:strRef>
          </c:tx>
          <c:spPr>
            <a:ln w="31750">
              <a:solidFill>
                <a:srgbClr val="7030A0"/>
              </a:solidFill>
            </a:ln>
          </c:spPr>
          <c:marker>
            <c:symbol val="none"/>
          </c:marker>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Spadefish'!$J$4:$J$35</c:f>
              <c:numCache>
                <c:formatCode>General</c:formatCode>
                <c:ptCount val="32"/>
                <c:pt idx="26" formatCode="#,##0">
                  <c:v>1052662.8264524401</c:v>
                </c:pt>
                <c:pt idx="27" formatCode="#,##0">
                  <c:v>1052662.8264524401</c:v>
                </c:pt>
                <c:pt idx="28" formatCode="#,##0">
                  <c:v>1052662.8264524401</c:v>
                </c:pt>
                <c:pt idx="29" formatCode="#,##0">
                  <c:v>1298025.8054943732</c:v>
                </c:pt>
                <c:pt idx="30" formatCode="#,##0">
                  <c:v>1298025.8054943732</c:v>
                </c:pt>
                <c:pt idx="31" formatCode="#,##0">
                  <c:v>1298025.8054943732</c:v>
                </c:pt>
              </c:numCache>
            </c:numRef>
          </c:yVal>
          <c:smooth val="0"/>
          <c:extLst>
            <c:ext xmlns:c16="http://schemas.microsoft.com/office/drawing/2014/chart" uri="{C3380CC4-5D6E-409C-BE32-E72D297353CC}">
              <c16:uniqueId val="{00000000-80A0-4244-B754-16D38BFB7944}"/>
            </c:ext>
          </c:extLst>
        </c:ser>
        <c:dLbls>
          <c:showLegendKey val="0"/>
          <c:showVal val="0"/>
          <c:showCatName val="0"/>
          <c:showSerName val="0"/>
          <c:showPercent val="0"/>
          <c:showBubbleSize val="0"/>
        </c:dLbls>
        <c:axId val="338367552"/>
        <c:axId val="338368128"/>
      </c:scatterChart>
      <c:valAx>
        <c:axId val="338367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368128"/>
        <c:crosses val="autoZero"/>
        <c:crossBetween val="midCat"/>
      </c:valAx>
      <c:valAx>
        <c:axId val="338368128"/>
        <c:scaling>
          <c:orientation val="minMax"/>
          <c:max val="4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367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3"/>
          <c:tx>
            <c:strRef>
              <c:f>'GA-NC Hogfish'!$F$2</c:f>
              <c:strCache>
                <c:ptCount val="1"/>
                <c:pt idx="0">
                  <c:v>Commercial</c:v>
                </c:pt>
              </c:strCache>
            </c:strRef>
          </c:tx>
          <c:spPr>
            <a:solidFill>
              <a:schemeClr val="accent3">
                <a:alpha val="75000"/>
              </a:schemeClr>
            </a:solidFill>
            <a:ln>
              <a:solidFill>
                <a:schemeClr val="accent3"/>
              </a:solidFill>
            </a:ln>
          </c:spPr>
          <c:cat>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'GA-NC Hogfish'!$F$3:$F$34</c:f>
              <c:numCache>
                <c:formatCode>#,##0</c:formatCode>
                <c:ptCount val="32"/>
                <c:pt idx="0">
                  <c:v>8040</c:v>
                </c:pt>
                <c:pt idx="1">
                  <c:v>9295</c:v>
                </c:pt>
                <c:pt idx="2">
                  <c:v>10186</c:v>
                </c:pt>
                <c:pt idx="3">
                  <c:v>15177</c:v>
                </c:pt>
                <c:pt idx="4">
                  <c:v>27862</c:v>
                </c:pt>
                <c:pt idx="5">
                  <c:v>23886</c:v>
                </c:pt>
                <c:pt idx="6">
                  <c:v>32274</c:v>
                </c:pt>
                <c:pt idx="7">
                  <c:v>31739</c:v>
                </c:pt>
                <c:pt idx="8">
                  <c:v>23063</c:v>
                </c:pt>
                <c:pt idx="9">
                  <c:v>36903</c:v>
                </c:pt>
                <c:pt idx="10">
                  <c:v>17471</c:v>
                </c:pt>
                <c:pt idx="11">
                  <c:v>25394</c:v>
                </c:pt>
                <c:pt idx="12">
                  <c:v>21959</c:v>
                </c:pt>
                <c:pt idx="13">
                  <c:v>29186</c:v>
                </c:pt>
                <c:pt idx="14">
                  <c:v>24104</c:v>
                </c:pt>
                <c:pt idx="15">
                  <c:v>14193</c:v>
                </c:pt>
                <c:pt idx="16">
                  <c:v>20557</c:v>
                </c:pt>
                <c:pt idx="17">
                  <c:v>17337</c:v>
                </c:pt>
                <c:pt idx="18">
                  <c:v>19293</c:v>
                </c:pt>
                <c:pt idx="19">
                  <c:v>19256</c:v>
                </c:pt>
                <c:pt idx="20">
                  <c:v>23597</c:v>
                </c:pt>
                <c:pt idx="21">
                  <c:v>21201</c:v>
                </c:pt>
                <c:pt idx="22">
                  <c:v>30376</c:v>
                </c:pt>
                <c:pt idx="23">
                  <c:v>34244</c:v>
                </c:pt>
                <c:pt idx="24">
                  <c:v>41897</c:v>
                </c:pt>
                <c:pt idx="25">
                  <c:v>35956</c:v>
                </c:pt>
                <c:pt idx="26">
                  <c:v>20629</c:v>
                </c:pt>
                <c:pt idx="27">
                  <c:v>21003</c:v>
                </c:pt>
                <c:pt idx="28">
                  <c:v>21345</c:v>
                </c:pt>
                <c:pt idx="29">
                  <c:v>14642</c:v>
                </c:pt>
                <c:pt idx="30">
                  <c:v>16939</c:v>
                </c:pt>
                <c:pt idx="31">
                  <c:v>15933</c:v>
                </c:pt>
              </c:numCache>
            </c:numRef>
          </c:val>
          <c:extLst>
            <c:ext xmlns:c16="http://schemas.microsoft.com/office/drawing/2014/chart" uri="{C3380CC4-5D6E-409C-BE32-E72D297353CC}">
              <c16:uniqueId val="{00000001-C24F-493F-B687-B71506F08421}"/>
            </c:ext>
          </c:extLst>
        </c:ser>
        <c:dLbls>
          <c:showLegendKey val="0"/>
          <c:showVal val="0"/>
          <c:showCatName val="0"/>
          <c:showSerName val="0"/>
          <c:showPercent val="0"/>
          <c:showBubbleSize val="0"/>
        </c:dLbls>
        <c:axId val="339800576"/>
        <c:axId val="339801152"/>
      </c:areaChart>
      <c:lineChart>
        <c:grouping val="standard"/>
        <c:varyColors val="0"/>
        <c:ser>
          <c:idx val="1"/>
          <c:order val="0"/>
          <c:tx>
            <c:strRef>
              <c:f>'GA-NC Hogfish'!$E$2</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'GA-NC Hogfish'!$E$3:$E$34</c:f>
              <c:numCache>
                <c:formatCode>#,##0</c:formatCode>
                <c:ptCount val="32"/>
                <c:pt idx="0">
                  <c:v>31944.325427800002</c:v>
                </c:pt>
                <c:pt idx="1">
                  <c:v>3997.6617300299999</c:v>
                </c:pt>
                <c:pt idx="2">
                  <c:v>3947.7751026000001</c:v>
                </c:pt>
                <c:pt idx="3">
                  <c:v>967.67644379000012</c:v>
                </c:pt>
                <c:pt idx="4">
                  <c:v>7500.9058689799995</c:v>
                </c:pt>
                <c:pt idx="5">
                  <c:v>3181.1496160000006</c:v>
                </c:pt>
                <c:pt idx="6">
                  <c:v>2797.0155817229997</c:v>
                </c:pt>
                <c:pt idx="7">
                  <c:v>5685.0745324</c:v>
                </c:pt>
                <c:pt idx="8">
                  <c:v>1283.35430879</c:v>
                </c:pt>
                <c:pt idx="9">
                  <c:v>71001.015895600009</c:v>
                </c:pt>
                <c:pt idx="10">
                  <c:v>690.67913400000009</c:v>
                </c:pt>
                <c:pt idx="11">
                  <c:v>1719.4649448199998</c:v>
                </c:pt>
                <c:pt idx="12">
                  <c:v>5407.6943792000002</c:v>
                </c:pt>
                <c:pt idx="13">
                  <c:v>3542.1024917700001</c:v>
                </c:pt>
                <c:pt idx="14">
                  <c:v>2430.9917680750009</c:v>
                </c:pt>
                <c:pt idx="15">
                  <c:v>1372.165086</c:v>
                </c:pt>
                <c:pt idx="16">
                  <c:v>9267.2554932900002</c:v>
                </c:pt>
                <c:pt idx="17">
                  <c:v>677.453414049</c:v>
                </c:pt>
                <c:pt idx="18">
                  <c:v>1676.5639679999999</c:v>
                </c:pt>
                <c:pt idx="19">
                  <c:v>5942.0843694999994</c:v>
                </c:pt>
                <c:pt idx="20">
                  <c:v>9037.8918617300005</c:v>
                </c:pt>
                <c:pt idx="21">
                  <c:v>4954.5311781020009</c:v>
                </c:pt>
                <c:pt idx="22">
                  <c:v>2802.8162663839998</c:v>
                </c:pt>
                <c:pt idx="23">
                  <c:v>1107.9918753489999</c:v>
                </c:pt>
                <c:pt idx="24">
                  <c:v>7111.1700356000001</c:v>
                </c:pt>
                <c:pt idx="25">
                  <c:v>635.86264720999998</c:v>
                </c:pt>
                <c:pt idx="26">
                  <c:v>6128.3999392799997</c:v>
                </c:pt>
                <c:pt idx="27">
                  <c:v>1449.1154326800001</c:v>
                </c:pt>
                <c:pt idx="28">
                  <c:v>23.809680000000004</c:v>
                </c:pt>
                <c:pt idx="29">
                  <c:v>11.073705799999999</c:v>
                </c:pt>
                <c:pt idx="30">
                  <c:v>171.04819517999999</c:v>
                </c:pt>
                <c:pt idx="31">
                  <c:v>7903.5395202</c:v>
                </c:pt>
              </c:numCache>
            </c:numRef>
          </c:val>
          <c:smooth val="0"/>
          <c:extLst>
            <c:ext xmlns:c16="http://schemas.microsoft.com/office/drawing/2014/chart" uri="{C3380CC4-5D6E-409C-BE32-E72D297353CC}">
              <c16:uniqueId val="{00000002-C24F-493F-B687-B71506F08421}"/>
            </c:ext>
          </c:extLst>
        </c:ser>
        <c:ser>
          <c:idx val="5"/>
          <c:order val="1"/>
          <c:tx>
            <c:strRef>
              <c:f>'GA-NC Hogfish'!$H$2</c:f>
              <c:strCache>
                <c:ptCount val="1"/>
                <c:pt idx="0">
                  <c:v>Orig FES Rec</c:v>
                </c:pt>
              </c:strCache>
            </c:strRef>
          </c:tx>
          <c:cat>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'GA-NC Hogfish'!$H$3:$H$34</c:f>
              <c:numCache>
                <c:formatCode>#,##0</c:formatCode>
                <c:ptCount val="32"/>
                <c:pt idx="0">
                  <c:v>30247.684454799994</c:v>
                </c:pt>
                <c:pt idx="1">
                  <c:v>3997.6617300299999</c:v>
                </c:pt>
                <c:pt idx="2">
                  <c:v>3947.4636434999998</c:v>
                </c:pt>
                <c:pt idx="3">
                  <c:v>967.60048994999988</c:v>
                </c:pt>
                <c:pt idx="4">
                  <c:v>7500.3035704300009</c:v>
                </c:pt>
                <c:pt idx="5">
                  <c:v>3181.1496160000006</c:v>
                </c:pt>
                <c:pt idx="6">
                  <c:v>2797.0155817229997</c:v>
                </c:pt>
                <c:pt idx="7">
                  <c:v>5685.0745324</c:v>
                </c:pt>
                <c:pt idx="8">
                  <c:v>1283.3543087900002</c:v>
                </c:pt>
                <c:pt idx="9">
                  <c:v>69211.591849599994</c:v>
                </c:pt>
                <c:pt idx="10">
                  <c:v>663.849152</c:v>
                </c:pt>
                <c:pt idx="11">
                  <c:v>1586.3732428199996</c:v>
                </c:pt>
                <c:pt idx="12">
                  <c:v>5407.6943791999965</c:v>
                </c:pt>
                <c:pt idx="13">
                  <c:v>3542.1024917700001</c:v>
                </c:pt>
                <c:pt idx="14">
                  <c:v>2389.7159746320008</c:v>
                </c:pt>
                <c:pt idx="15">
                  <c:v>1298.972366</c:v>
                </c:pt>
                <c:pt idx="16">
                  <c:v>9006.1647152899968</c:v>
                </c:pt>
                <c:pt idx="17">
                  <c:v>677.45341404900023</c:v>
                </c:pt>
                <c:pt idx="18">
                  <c:v>1676.5639679999997</c:v>
                </c:pt>
                <c:pt idx="19">
                  <c:v>5942.0843694999994</c:v>
                </c:pt>
                <c:pt idx="20">
                  <c:v>9037.8918617299969</c:v>
                </c:pt>
                <c:pt idx="21">
                  <c:v>4954.5311781019991</c:v>
                </c:pt>
                <c:pt idx="22">
                  <c:v>2802.8162663839998</c:v>
                </c:pt>
                <c:pt idx="23">
                  <c:v>1107.9918753490001</c:v>
                </c:pt>
                <c:pt idx="24">
                  <c:v>7111.1700355999965</c:v>
                </c:pt>
                <c:pt idx="25">
                  <c:v>635.86264720999986</c:v>
                </c:pt>
                <c:pt idx="26">
                  <c:v>6128.3999392799988</c:v>
                </c:pt>
                <c:pt idx="27">
                  <c:v>1449.1154326800001</c:v>
                </c:pt>
                <c:pt idx="28">
                  <c:v>23.809680000000004</c:v>
                </c:pt>
                <c:pt idx="29">
                  <c:v>11.073705799999999</c:v>
                </c:pt>
                <c:pt idx="30">
                  <c:v>171.04819517999999</c:v>
                </c:pt>
                <c:pt idx="31">
                  <c:v>7903.5395202</c:v>
                </c:pt>
              </c:numCache>
            </c:numRef>
          </c:val>
          <c:smooth val="0"/>
          <c:extLst>
            <c:ext xmlns:c16="http://schemas.microsoft.com/office/drawing/2014/chart" uri="{C3380CC4-5D6E-409C-BE32-E72D297353CC}">
              <c16:uniqueId val="{00000004-C24F-493F-B687-B71506F08421}"/>
            </c:ext>
          </c:extLst>
        </c:ser>
        <c:ser>
          <c:idx val="0"/>
          <c:order val="2"/>
          <c:tx>
            <c:strRef>
              <c:f>'GA-NC Hogfish'!$AE$31</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cat>
            <c:numRef>
              <c:f>'GA-NC Hogfish'!$Y$32:$Y$63</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cat>
          <c:val>
            <c:numRef>
              <c:f>'GA-NC Hogfish'!$AE$32:$AE$63</c:f>
              <c:numCache>
                <c:formatCode>#,##0</c:formatCode>
                <c:ptCount val="32"/>
                <c:pt idx="0">
                  <c:v>16462.41534378516</c:v>
                </c:pt>
                <c:pt idx="1">
                  <c:v>3238.8884181749954</c:v>
                </c:pt>
                <c:pt idx="2">
                  <c:v>4667.4065672773149</c:v>
                </c:pt>
                <c:pt idx="3">
                  <c:v>4483.2985610640708</c:v>
                </c:pt>
                <c:pt idx="4">
                  <c:v>24623.038104602754</c:v>
                </c:pt>
                <c:pt idx="5">
                  <c:v>3181.1496160000006</c:v>
                </c:pt>
                <c:pt idx="6">
                  <c:v>6545.6678332074007</c:v>
                </c:pt>
                <c:pt idx="7">
                  <c:v>10393.951725832476</c:v>
                </c:pt>
                <c:pt idx="8">
                  <c:v>1375.3749001450872</c:v>
                </c:pt>
                <c:pt idx="9">
                  <c:v>89735.988669084341</c:v>
                </c:pt>
                <c:pt idx="10">
                  <c:v>690.67913400000009</c:v>
                </c:pt>
                <c:pt idx="11">
                  <c:v>2474.1464459943945</c:v>
                </c:pt>
                <c:pt idx="12">
                  <c:v>14620.048843586228</c:v>
                </c:pt>
                <c:pt idx="13">
                  <c:v>3297.4180734370043</c:v>
                </c:pt>
                <c:pt idx="14">
                  <c:v>2827.3560389628096</c:v>
                </c:pt>
                <c:pt idx="15">
                  <c:v>1372.165086</c:v>
                </c:pt>
                <c:pt idx="16">
                  <c:v>13455.860933446929</c:v>
                </c:pt>
                <c:pt idx="17">
                  <c:v>1875.8159800934075</c:v>
                </c:pt>
                <c:pt idx="18">
                  <c:v>1516.8219925362964</c:v>
                </c:pt>
                <c:pt idx="19">
                  <c:v>19411.936499320287</c:v>
                </c:pt>
                <c:pt idx="20">
                  <c:v>19873.12799812949</c:v>
                </c:pt>
                <c:pt idx="21">
                  <c:v>4056.5160239799702</c:v>
                </c:pt>
                <c:pt idx="22">
                  <c:v>2539.0703518495125</c:v>
                </c:pt>
                <c:pt idx="23">
                  <c:v>5476.7281454938675</c:v>
                </c:pt>
                <c:pt idx="24">
                  <c:v>13084.734744209592</c:v>
                </c:pt>
                <c:pt idx="25">
                  <c:v>2523.4489538902722</c:v>
                </c:pt>
                <c:pt idx="26">
                  <c:v>24425.497120640543</c:v>
                </c:pt>
                <c:pt idx="27">
                  <c:v>7124.3553048916528</c:v>
                </c:pt>
                <c:pt idx="28">
                  <c:v>23.809680000000004</c:v>
                </c:pt>
                <c:pt idx="29">
                  <c:v>11.073705799999999</c:v>
                </c:pt>
                <c:pt idx="30">
                  <c:v>470.76253985953844</c:v>
                </c:pt>
                <c:pt idx="31">
                  <c:v>45106.024160584282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4193-4DFA-A08F-E46C471C386E}"/>
            </c:ext>
          </c:extLst>
        </c:ser>
        <c:dLbls>
          <c:showLegendKey val="0"/>
          <c:showVal val="0"/>
          <c:showCatName val="0"/>
          <c:showSerName val="0"/>
          <c:showPercent val="0"/>
          <c:showBubbleSize val="0"/>
        </c:dLbls>
        <c:marker val="1"/>
        <c:smooth val="0"/>
        <c:axId val="339800576"/>
        <c:axId val="339801152"/>
        <c:extLst/>
      </c:lineChart>
      <c:catAx>
        <c:axId val="33980057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39801152"/>
        <c:crosses val="autoZero"/>
        <c:auto val="1"/>
        <c:lblAlgn val="ctr"/>
        <c:lblOffset val="100"/>
        <c:noMultiLvlLbl val="1"/>
      </c:catAx>
      <c:valAx>
        <c:axId val="339801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0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Scamp!$D$3</c:f>
              <c:strCache>
                <c:ptCount val="1"/>
                <c:pt idx="0">
                  <c:v>Total New Wgt</c:v>
                </c:pt>
              </c:strCache>
            </c:strRef>
          </c:tx>
          <c:xVal>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Scamp!$D$4:$D$35</c:f>
              <c:numCache>
                <c:formatCode>#,##0</c:formatCode>
                <c:ptCount val="32"/>
                <c:pt idx="0">
                  <c:v>330014.3225833</c:v>
                </c:pt>
                <c:pt idx="1">
                  <c:v>386342.47975064605</c:v>
                </c:pt>
                <c:pt idx="2">
                  <c:v>434445.90408756002</c:v>
                </c:pt>
                <c:pt idx="3">
                  <c:v>494436.44433168898</c:v>
                </c:pt>
                <c:pt idx="4">
                  <c:v>616511.26069972001</c:v>
                </c:pt>
                <c:pt idx="5">
                  <c:v>613207.04606521991</c:v>
                </c:pt>
                <c:pt idx="6">
                  <c:v>400581.17364747002</c:v>
                </c:pt>
                <c:pt idx="7">
                  <c:v>423617.67012919998</c:v>
                </c:pt>
                <c:pt idx="8">
                  <c:v>479093.13188761997</c:v>
                </c:pt>
                <c:pt idx="9">
                  <c:v>454240.65081273997</c:v>
                </c:pt>
                <c:pt idx="10">
                  <c:v>389321.36457613</c:v>
                </c:pt>
                <c:pt idx="11">
                  <c:v>393121.42608177004</c:v>
                </c:pt>
                <c:pt idx="12">
                  <c:v>393435.71147025004</c:v>
                </c:pt>
                <c:pt idx="13">
                  <c:v>609071.84973529086</c:v>
                </c:pt>
                <c:pt idx="14">
                  <c:v>671923.21018169005</c:v>
                </c:pt>
                <c:pt idx="15">
                  <c:v>417973.87976291002</c:v>
                </c:pt>
                <c:pt idx="16">
                  <c:v>673047.95668317005</c:v>
                </c:pt>
                <c:pt idx="17">
                  <c:v>551542.97469314002</c:v>
                </c:pt>
                <c:pt idx="18">
                  <c:v>571233.82360161003</c:v>
                </c:pt>
                <c:pt idx="19">
                  <c:v>493606.18404144899</c:v>
                </c:pt>
                <c:pt idx="20">
                  <c:v>715125.373354426</c:v>
                </c:pt>
                <c:pt idx="21">
                  <c:v>716402.28843603004</c:v>
                </c:pt>
                <c:pt idx="22">
                  <c:v>451562.09684147802</c:v>
                </c:pt>
                <c:pt idx="23">
                  <c:v>411037.55838433304</c:v>
                </c:pt>
                <c:pt idx="24">
                  <c:v>284285.98230797</c:v>
                </c:pt>
                <c:pt idx="25">
                  <c:v>231681.16337064002</c:v>
                </c:pt>
                <c:pt idx="26">
                  <c:v>265935.68964821001</c:v>
                </c:pt>
                <c:pt idx="27">
                  <c:v>249956.73521225998</c:v>
                </c:pt>
                <c:pt idx="28">
                  <c:v>596144.89527908294</c:v>
                </c:pt>
                <c:pt idx="29">
                  <c:v>190972.9661357</c:v>
                </c:pt>
                <c:pt idx="30">
                  <c:v>190721.30727757001</c:v>
                </c:pt>
                <c:pt idx="31">
                  <c:v>158966.48852638999</c:v>
                </c:pt>
              </c:numCache>
            </c:numRef>
          </c:yVal>
          <c:smooth val="0"/>
          <c:extLst>
            <c:ext xmlns:c16="http://schemas.microsoft.com/office/drawing/2014/chart" uri="{C3380CC4-5D6E-409C-BE32-E72D297353CC}">
              <c16:uniqueId val="{00000000-3413-4ABC-A103-562218D906F1}"/>
            </c:ext>
          </c:extLst>
        </c:ser>
        <c:ser>
          <c:idx val="3"/>
          <c:order val="1"/>
          <c:tx>
            <c:strRef>
              <c:f>Scamp!$H$3</c:f>
              <c:strCache>
                <c:ptCount val="1"/>
                <c:pt idx="0">
                  <c:v>Total Orig FES</c:v>
                </c:pt>
              </c:strCache>
            </c:strRef>
          </c:tx>
          <c:spPr>
            <a:ln>
              <a:solidFill>
                <a:schemeClr val="accent2"/>
              </a:solidFill>
            </a:ln>
          </c:spPr>
          <c:marker>
            <c:spPr>
              <a:ln>
                <a:solidFill>
                  <a:schemeClr val="accent2"/>
                </a:solidFill>
              </a:ln>
            </c:spPr>
          </c:marker>
          <c:xVal>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Scamp!$H$4:$H$35</c:f>
              <c:numCache>
                <c:formatCode>#,##0</c:formatCode>
                <c:ptCount val="32"/>
                <c:pt idx="0">
                  <c:v>329991.12718409998</c:v>
                </c:pt>
                <c:pt idx="1">
                  <c:v>386330.28554792004</c:v>
                </c:pt>
                <c:pt idx="2">
                  <c:v>483637.61235550011</c:v>
                </c:pt>
                <c:pt idx="3">
                  <c:v>506147.52685018902</c:v>
                </c:pt>
                <c:pt idx="4">
                  <c:v>620553.80704048998</c:v>
                </c:pt>
                <c:pt idx="5">
                  <c:v>612606.69434793992</c:v>
                </c:pt>
                <c:pt idx="6">
                  <c:v>400012.51566947001</c:v>
                </c:pt>
                <c:pt idx="7">
                  <c:v>422995.52628539997</c:v>
                </c:pt>
                <c:pt idx="8">
                  <c:v>479557.59136962006</c:v>
                </c:pt>
                <c:pt idx="9">
                  <c:v>454239.89115519996</c:v>
                </c:pt>
                <c:pt idx="10">
                  <c:v>415976.8992321</c:v>
                </c:pt>
                <c:pt idx="11">
                  <c:v>392289.12607602001</c:v>
                </c:pt>
                <c:pt idx="12">
                  <c:v>393607.17313022004</c:v>
                </c:pt>
                <c:pt idx="13">
                  <c:v>598616.57401141617</c:v>
                </c:pt>
                <c:pt idx="14">
                  <c:v>666674.24158585572</c:v>
                </c:pt>
                <c:pt idx="15">
                  <c:v>423768.53953720012</c:v>
                </c:pt>
                <c:pt idx="16">
                  <c:v>675620.93567342032</c:v>
                </c:pt>
                <c:pt idx="17">
                  <c:v>550061.98474094004</c:v>
                </c:pt>
                <c:pt idx="18">
                  <c:v>570966.37304928014</c:v>
                </c:pt>
                <c:pt idx="19">
                  <c:v>490465.23002031608</c:v>
                </c:pt>
                <c:pt idx="20">
                  <c:v>669040.16903717013</c:v>
                </c:pt>
                <c:pt idx="21">
                  <c:v>716011.17360323016</c:v>
                </c:pt>
                <c:pt idx="22">
                  <c:v>456011.06073783792</c:v>
                </c:pt>
                <c:pt idx="23">
                  <c:v>411491.96098799189</c:v>
                </c:pt>
                <c:pt idx="24">
                  <c:v>284019.95316806994</c:v>
                </c:pt>
                <c:pt idx="25">
                  <c:v>231768.45917394001</c:v>
                </c:pt>
                <c:pt idx="26">
                  <c:v>238737.95868010996</c:v>
                </c:pt>
                <c:pt idx="27">
                  <c:v>248502.89413522999</c:v>
                </c:pt>
                <c:pt idx="28">
                  <c:v>550480.04133802303</c:v>
                </c:pt>
                <c:pt idx="29">
                  <c:v>187261.96777578999</c:v>
                </c:pt>
                <c:pt idx="30">
                  <c:v>177581.96213232999</c:v>
                </c:pt>
                <c:pt idx="31">
                  <c:v>158870.69937284</c:v>
                </c:pt>
              </c:numCache>
            </c:numRef>
          </c:yVal>
          <c:smooth val="0"/>
          <c:extLst>
            <c:ext xmlns:c16="http://schemas.microsoft.com/office/drawing/2014/chart" uri="{C3380CC4-5D6E-409C-BE32-E72D297353CC}">
              <c16:uniqueId val="{00000003-3413-4ABC-A103-562218D906F1}"/>
            </c:ext>
          </c:extLst>
        </c:ser>
        <c:ser>
          <c:idx val="4"/>
          <c:order val="2"/>
          <c:tx>
            <c:strRef>
              <c:f>Scamp!$K$3</c:f>
              <c:strCache>
                <c:ptCount val="1"/>
                <c:pt idx="0">
                  <c:v>New Wgt ABC</c:v>
                </c:pt>
              </c:strCache>
            </c:strRef>
          </c:tx>
          <c:spPr>
            <a:ln w="34925">
              <a:solidFill>
                <a:schemeClr val="tx1"/>
              </a:solidFill>
            </a:ln>
          </c:spPr>
          <c:marker>
            <c:symbol val="none"/>
          </c:marker>
          <c:xVal>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Scamp!$K$4:$K$35</c:f>
              <c:numCache>
                <c:formatCode>#,##0</c:formatCode>
                <c:ptCount val="32"/>
                <c:pt idx="26">
                  <c:v>413025.16522717185</c:v>
                </c:pt>
                <c:pt idx="27">
                  <c:v>413025.16522717185</c:v>
                </c:pt>
                <c:pt idx="28">
                  <c:v>413025.16522717185</c:v>
                </c:pt>
                <c:pt idx="29">
                  <c:v>314293.3971541631</c:v>
                </c:pt>
                <c:pt idx="30">
                  <c:v>314293.3971541631</c:v>
                </c:pt>
                <c:pt idx="31">
                  <c:v>314293.3971541631</c:v>
                </c:pt>
              </c:numCache>
            </c:numRef>
          </c:yVal>
          <c:smooth val="0"/>
          <c:extLst>
            <c:ext xmlns:c16="http://schemas.microsoft.com/office/drawing/2014/chart" uri="{C3380CC4-5D6E-409C-BE32-E72D297353CC}">
              <c16:uniqueId val="{00000005-3413-4ABC-A103-562218D906F1}"/>
            </c:ext>
          </c:extLst>
        </c:ser>
        <c:ser>
          <c:idx val="7"/>
          <c:order val="3"/>
          <c:tx>
            <c:strRef>
              <c:f>Scamp!$L$3</c:f>
              <c:strCache>
                <c:ptCount val="1"/>
                <c:pt idx="0">
                  <c:v>Orig Rec ABC</c:v>
                </c:pt>
              </c:strCache>
            </c:strRef>
          </c:tx>
          <c:spPr>
            <a:ln w="31750">
              <a:solidFill>
                <a:srgbClr val="7030A0"/>
              </a:solidFill>
            </a:ln>
          </c:spPr>
          <c:marker>
            <c:symbol val="none"/>
          </c:marker>
          <c:xVal>
            <c:numRef>
              <c:f>Scamp!$C$30:$C$35</c:f>
              <c:numCache>
                <c:formatCode>General</c:formatCode>
                <c:ptCount val="6"/>
                <c:pt idx="0">
                  <c:v>2012</c:v>
                </c:pt>
                <c:pt idx="1">
                  <c:v>2013</c:v>
                </c:pt>
                <c:pt idx="2">
                  <c:v>2014</c:v>
                </c:pt>
                <c:pt idx="3">
                  <c:v>2015</c:v>
                </c:pt>
                <c:pt idx="4">
                  <c:v>2016</c:v>
                </c:pt>
                <c:pt idx="5">
                  <c:v>2017</c:v>
                </c:pt>
              </c:numCache>
            </c:numRef>
          </c:xVal>
          <c:yVal>
            <c:numRef>
              <c:f>Scamp!$L$30:$L$35</c:f>
              <c:numCache>
                <c:formatCode>#,##0</c:formatCode>
                <c:ptCount val="6"/>
                <c:pt idx="0">
                  <c:v>393041.03618801513</c:v>
                </c:pt>
                <c:pt idx="1">
                  <c:v>393041.03618801513</c:v>
                </c:pt>
                <c:pt idx="2">
                  <c:v>393041.03618801513</c:v>
                </c:pt>
                <c:pt idx="3">
                  <c:v>303190.12156045885</c:v>
                </c:pt>
                <c:pt idx="4">
                  <c:v>303190.12156045885</c:v>
                </c:pt>
                <c:pt idx="5">
                  <c:v>303190.12156045885</c:v>
                </c:pt>
              </c:numCache>
            </c:numRef>
          </c:yVal>
          <c:smooth val="0"/>
          <c:extLst>
            <c:ext xmlns:c16="http://schemas.microsoft.com/office/drawing/2014/chart" uri="{C3380CC4-5D6E-409C-BE32-E72D297353CC}">
              <c16:uniqueId val="{00000000-8FEA-4760-BC2D-C22AED6EB4DE}"/>
            </c:ext>
          </c:extLst>
        </c:ser>
        <c:dLbls>
          <c:showLegendKey val="0"/>
          <c:showVal val="0"/>
          <c:showCatName val="0"/>
          <c:showSerName val="0"/>
          <c:showPercent val="0"/>
          <c:showBubbleSize val="0"/>
        </c:dLbls>
        <c:axId val="341027648"/>
        <c:axId val="341028224"/>
      </c:scatterChart>
      <c:valAx>
        <c:axId val="34102764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028224"/>
        <c:crosses val="autoZero"/>
        <c:crossBetween val="midCat"/>
      </c:valAx>
      <c:valAx>
        <c:axId val="341028224"/>
        <c:scaling>
          <c:orientation val="minMax"/>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1027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3"/>
          <c:tx>
            <c:strRef>
              <c:f>Scamp!$G$3</c:f>
              <c:strCache>
                <c:ptCount val="1"/>
                <c:pt idx="0">
                  <c:v>Commercial</c:v>
                </c:pt>
              </c:strCache>
            </c:strRef>
          </c:tx>
          <c:spPr>
            <a:solidFill>
              <a:schemeClr val="accent3">
                <a:alpha val="75000"/>
              </a:schemeClr>
            </a:solidFill>
            <a:ln>
              <a:solidFill>
                <a:schemeClr val="accent3"/>
              </a:solidFill>
            </a:ln>
          </c:spPr>
          <c:cat>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Scamp!$G$4:$G$35</c:f>
              <c:numCache>
                <c:formatCode>#,##0</c:formatCode>
                <c:ptCount val="32"/>
                <c:pt idx="0">
                  <c:v>273134</c:v>
                </c:pt>
                <c:pt idx="1">
                  <c:v>322506</c:v>
                </c:pt>
                <c:pt idx="2">
                  <c:v>301390</c:v>
                </c:pt>
                <c:pt idx="3">
                  <c:v>380439</c:v>
                </c:pt>
                <c:pt idx="4">
                  <c:v>492009</c:v>
                </c:pt>
                <c:pt idx="5">
                  <c:v>406360</c:v>
                </c:pt>
                <c:pt idx="6">
                  <c:v>294485</c:v>
                </c:pt>
                <c:pt idx="7">
                  <c:v>316471</c:v>
                </c:pt>
                <c:pt idx="8">
                  <c:v>335951</c:v>
                </c:pt>
                <c:pt idx="9">
                  <c:v>375275</c:v>
                </c:pt>
                <c:pt idx="10">
                  <c:v>307006</c:v>
                </c:pt>
                <c:pt idx="11">
                  <c:v>312363</c:v>
                </c:pt>
                <c:pt idx="12">
                  <c:v>293870</c:v>
                </c:pt>
                <c:pt idx="13">
                  <c:v>415084</c:v>
                </c:pt>
                <c:pt idx="14">
                  <c:v>327124</c:v>
                </c:pt>
                <c:pt idx="15">
                  <c:v>252164</c:v>
                </c:pt>
                <c:pt idx="16">
                  <c:v>267534</c:v>
                </c:pt>
                <c:pt idx="17">
                  <c:v>292156</c:v>
                </c:pt>
                <c:pt idx="18">
                  <c:v>289005</c:v>
                </c:pt>
                <c:pt idx="19">
                  <c:v>307215</c:v>
                </c:pt>
                <c:pt idx="20">
                  <c:v>355556</c:v>
                </c:pt>
                <c:pt idx="21">
                  <c:v>379561</c:v>
                </c:pt>
                <c:pt idx="22">
                  <c:v>283893</c:v>
                </c:pt>
                <c:pt idx="23">
                  <c:v>283632</c:v>
                </c:pt>
                <c:pt idx="24">
                  <c:v>202402</c:v>
                </c:pt>
                <c:pt idx="25">
                  <c:v>168729</c:v>
                </c:pt>
                <c:pt idx="26">
                  <c:v>177424</c:v>
                </c:pt>
                <c:pt idx="27">
                  <c:v>151181</c:v>
                </c:pt>
                <c:pt idx="28">
                  <c:v>177660</c:v>
                </c:pt>
                <c:pt idx="29">
                  <c:v>138818</c:v>
                </c:pt>
                <c:pt idx="30">
                  <c:v>120018</c:v>
                </c:pt>
                <c:pt idx="31">
                  <c:v>62136</c:v>
                </c:pt>
              </c:numCache>
            </c:numRef>
          </c:val>
          <c:extLst>
            <c:ext xmlns:c16="http://schemas.microsoft.com/office/drawing/2014/chart" uri="{C3380CC4-5D6E-409C-BE32-E72D297353CC}">
              <c16:uniqueId val="{00000001-20D9-4D04-A682-2B9F6C022CB2}"/>
            </c:ext>
          </c:extLst>
        </c:ser>
        <c:dLbls>
          <c:showLegendKey val="0"/>
          <c:showVal val="0"/>
          <c:showCatName val="0"/>
          <c:showSerName val="0"/>
          <c:showPercent val="0"/>
          <c:showBubbleSize val="0"/>
        </c:dLbls>
        <c:axId val="341027648"/>
        <c:axId val="341028224"/>
      </c:areaChart>
      <c:lineChart>
        <c:grouping val="standard"/>
        <c:varyColors val="0"/>
        <c:ser>
          <c:idx val="1"/>
          <c:order val="0"/>
          <c:tx>
            <c:strRef>
              <c:f>Scamp!$E$3</c:f>
              <c:strCache>
                <c:ptCount val="1"/>
                <c:pt idx="0">
                  <c:v>New Wgt Rec</c:v>
                </c:pt>
              </c:strCache>
            </c:strRef>
          </c:tx>
          <c:spPr>
            <a:ln>
              <a:solidFill>
                <a:schemeClr val="accent5"/>
              </a:solidFill>
            </a:ln>
          </c:spPr>
          <c:marker>
            <c:spPr>
              <a:solidFill>
                <a:schemeClr val="accent5"/>
              </a:solidFill>
              <a:ln>
                <a:solidFill>
                  <a:schemeClr val="accent5"/>
                </a:solidFill>
              </a:ln>
            </c:spPr>
          </c:marker>
          <c:cat>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Scamp!$E$4:$E$35</c:f>
              <c:numCache>
                <c:formatCode>#,##0</c:formatCode>
                <c:ptCount val="32"/>
                <c:pt idx="0">
                  <c:v>56880.322583299989</c:v>
                </c:pt>
                <c:pt idx="1">
                  <c:v>63836.479750646024</c:v>
                </c:pt>
                <c:pt idx="2">
                  <c:v>133055.90408755999</c:v>
                </c:pt>
                <c:pt idx="3">
                  <c:v>113997.44433168898</c:v>
                </c:pt>
                <c:pt idx="4">
                  <c:v>124502.26069971999</c:v>
                </c:pt>
                <c:pt idx="5">
                  <c:v>206847.04606521997</c:v>
                </c:pt>
                <c:pt idx="6">
                  <c:v>106096.17364747</c:v>
                </c:pt>
                <c:pt idx="7">
                  <c:v>107146.67012920001</c:v>
                </c:pt>
                <c:pt idx="8">
                  <c:v>143142.13188761997</c:v>
                </c:pt>
                <c:pt idx="9">
                  <c:v>78965.650812739987</c:v>
                </c:pt>
                <c:pt idx="10">
                  <c:v>82315.364576129985</c:v>
                </c:pt>
                <c:pt idx="11">
                  <c:v>80758.426081770027</c:v>
                </c:pt>
                <c:pt idx="12">
                  <c:v>99565.711470250011</c:v>
                </c:pt>
                <c:pt idx="13">
                  <c:v>193987.84973529089</c:v>
                </c:pt>
                <c:pt idx="14">
                  <c:v>344799.21018169005</c:v>
                </c:pt>
                <c:pt idx="15">
                  <c:v>165809.87976291002</c:v>
                </c:pt>
                <c:pt idx="16">
                  <c:v>405513.95668316999</c:v>
                </c:pt>
                <c:pt idx="17">
                  <c:v>259386.97469313996</c:v>
                </c:pt>
                <c:pt idx="18">
                  <c:v>282228.82360161003</c:v>
                </c:pt>
                <c:pt idx="19">
                  <c:v>186391.18404144899</c:v>
                </c:pt>
                <c:pt idx="20">
                  <c:v>359569.373354426</c:v>
                </c:pt>
                <c:pt idx="21">
                  <c:v>336841.28843602998</c:v>
                </c:pt>
                <c:pt idx="22">
                  <c:v>167669.09684147799</c:v>
                </c:pt>
                <c:pt idx="23">
                  <c:v>127405.55838433302</c:v>
                </c:pt>
                <c:pt idx="24">
                  <c:v>81883.98230797</c:v>
                </c:pt>
                <c:pt idx="25">
                  <c:v>62952.163370640003</c:v>
                </c:pt>
                <c:pt idx="26">
                  <c:v>88511.689648210013</c:v>
                </c:pt>
                <c:pt idx="27">
                  <c:v>98775.735212259984</c:v>
                </c:pt>
                <c:pt idx="28">
                  <c:v>418484.89527908299</c:v>
                </c:pt>
                <c:pt idx="29">
                  <c:v>52154.9661357</c:v>
                </c:pt>
                <c:pt idx="30">
                  <c:v>70703.307277569998</c:v>
                </c:pt>
                <c:pt idx="31">
                  <c:v>96830.488526390007</c:v>
                </c:pt>
              </c:numCache>
            </c:numRef>
          </c:val>
          <c:smooth val="0"/>
          <c:extLst>
            <c:ext xmlns:c16="http://schemas.microsoft.com/office/drawing/2014/chart" uri="{C3380CC4-5D6E-409C-BE32-E72D297353CC}">
              <c16:uniqueId val="{00000002-20D9-4D04-A682-2B9F6C022CB2}"/>
            </c:ext>
          </c:extLst>
        </c:ser>
        <c:ser>
          <c:idx val="5"/>
          <c:order val="1"/>
          <c:tx>
            <c:strRef>
              <c:f>Scamp!$I$3</c:f>
              <c:strCache>
                <c:ptCount val="1"/>
                <c:pt idx="0">
                  <c:v>Orig FES Rec</c:v>
                </c:pt>
              </c:strCache>
            </c:strRef>
          </c:tx>
          <c:cat>
            <c:numRef>
              <c:f>Scamp!$C$4:$C$35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Scamp!$I$4:$I$35</c:f>
              <c:numCache>
                <c:formatCode>#,##0</c:formatCode>
                <c:ptCount val="32"/>
                <c:pt idx="0">
                  <c:v>56857.127184099998</c:v>
                </c:pt>
                <c:pt idx="1">
                  <c:v>63824.285547920023</c:v>
                </c:pt>
                <c:pt idx="2">
                  <c:v>182247.61235550008</c:v>
                </c:pt>
                <c:pt idx="3">
                  <c:v>125708.52685018902</c:v>
                </c:pt>
                <c:pt idx="4">
                  <c:v>128544.80704049002</c:v>
                </c:pt>
                <c:pt idx="5">
                  <c:v>206246.69434793995</c:v>
                </c:pt>
                <c:pt idx="6">
                  <c:v>105527.51566947001</c:v>
                </c:pt>
                <c:pt idx="7">
                  <c:v>106524.52628539996</c:v>
                </c:pt>
                <c:pt idx="8">
                  <c:v>143606.59136962006</c:v>
                </c:pt>
                <c:pt idx="9">
                  <c:v>78964.891155199992</c:v>
                </c:pt>
                <c:pt idx="10">
                  <c:v>108970.8992321</c:v>
                </c:pt>
                <c:pt idx="11">
                  <c:v>79926.126076020024</c:v>
                </c:pt>
                <c:pt idx="12">
                  <c:v>99737.173130220006</c:v>
                </c:pt>
                <c:pt idx="13">
                  <c:v>183532.57401141612</c:v>
                </c:pt>
                <c:pt idx="14">
                  <c:v>339550.24158585572</c:v>
                </c:pt>
                <c:pt idx="15">
                  <c:v>171604.53953720009</c:v>
                </c:pt>
                <c:pt idx="16">
                  <c:v>408086.93567342032</c:v>
                </c:pt>
                <c:pt idx="17">
                  <c:v>257905.98474094001</c:v>
                </c:pt>
                <c:pt idx="18">
                  <c:v>281961.37304928014</c:v>
                </c:pt>
                <c:pt idx="19">
                  <c:v>183250.23002031608</c:v>
                </c:pt>
                <c:pt idx="20">
                  <c:v>313484.16903717013</c:v>
                </c:pt>
                <c:pt idx="21">
                  <c:v>336450.17360323016</c:v>
                </c:pt>
                <c:pt idx="22">
                  <c:v>172118.06073783795</c:v>
                </c:pt>
                <c:pt idx="23">
                  <c:v>127859.96098799192</c:v>
                </c:pt>
                <c:pt idx="24">
                  <c:v>81617.953168069973</c:v>
                </c:pt>
                <c:pt idx="25">
                  <c:v>63039.459173940013</c:v>
                </c:pt>
                <c:pt idx="26">
                  <c:v>61313.958680109965</c:v>
                </c:pt>
                <c:pt idx="27">
                  <c:v>97321.894135229973</c:v>
                </c:pt>
                <c:pt idx="28">
                  <c:v>372820.04133802297</c:v>
                </c:pt>
                <c:pt idx="29">
                  <c:v>48443.967775789984</c:v>
                </c:pt>
                <c:pt idx="30">
                  <c:v>57563.962132329994</c:v>
                </c:pt>
                <c:pt idx="31">
                  <c:v>96734.699372839983</c:v>
                </c:pt>
              </c:numCache>
            </c:numRef>
          </c:val>
          <c:smooth val="0"/>
          <c:extLst>
            <c:ext xmlns:c16="http://schemas.microsoft.com/office/drawing/2014/chart" uri="{C3380CC4-5D6E-409C-BE32-E72D297353CC}">
              <c16:uniqueId val="{00000004-20D9-4D04-A682-2B9F6C022CB2}"/>
            </c:ext>
          </c:extLst>
        </c:ser>
        <c:ser>
          <c:idx val="0"/>
          <c:order val="2"/>
          <c:tx>
            <c:strRef>
              <c:f>Scamp!$AI$33</c:f>
              <c:strCache>
                <c:ptCount val="1"/>
                <c:pt idx="0">
                  <c:v>MRIP+HB</c:v>
                </c:pt>
              </c:strCache>
            </c:strRef>
          </c:tx>
          <c:spPr>
            <a:ln>
              <a:solidFill>
                <a:schemeClr val="bg1">
                  <a:lumMod val="50000"/>
                </a:schemeClr>
              </a:solidFill>
            </a:ln>
          </c:spPr>
          <c:marker>
            <c:symbol val="star"/>
            <c:size val="8"/>
            <c:spPr>
              <a:noFill/>
              <a:ln>
                <a:solidFill>
                  <a:schemeClr val="bg1">
                    <a:lumMod val="50000"/>
                  </a:schemeClr>
                </a:solidFill>
              </a:ln>
            </c:spPr>
          </c:marker>
          <c:cat>
            <c:numRef>
              <c:f>Scamp!$AC$34:$AC$66</c:f>
              <c:numCache>
                <c:formatCode>General</c:formatCode>
                <c:ptCount val="33"/>
                <c:pt idx="0">
                  <c:v>1986</c:v>
                </c:pt>
                <c:pt idx="1">
                  <c:v>1987</c:v>
                </c:pt>
                <c:pt idx="2">
                  <c:v>1988</c:v>
                </c:pt>
                <c:pt idx="3">
                  <c:v>1989</c:v>
                </c:pt>
                <c:pt idx="4">
                  <c:v>1990</c:v>
                </c:pt>
                <c:pt idx="5">
                  <c:v>1991</c:v>
                </c:pt>
                <c:pt idx="6">
                  <c:v>1992</c:v>
                </c:pt>
                <c:pt idx="7">
                  <c:v>1993</c:v>
                </c:pt>
                <c:pt idx="8">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numCache>
            </c:numRef>
          </c:cat>
          <c:val>
            <c:numRef>
              <c:f>Scamp!$AI$34:$AI$66</c:f>
              <c:numCache>
                <c:formatCode>#,##0</c:formatCode>
                <c:ptCount val="33"/>
                <c:pt idx="0">
                  <c:v>53148.54156843583</c:v>
                </c:pt>
                <c:pt idx="1">
                  <c:v>62797.165059150706</c:v>
                </c:pt>
                <c:pt idx="3">
                  <c:v>90871.717253476119</c:v>
                </c:pt>
                <c:pt idx="4">
                  <c:v>107848.09456671207</c:v>
                </c:pt>
                <c:pt idx="5">
                  <c:v>211489.49112371175</c:v>
                </c:pt>
                <c:pt idx="6">
                  <c:v>105465.89376023895</c:v>
                </c:pt>
                <c:pt idx="7">
                  <c:v>87685.747726798916</c:v>
                </c:pt>
                <c:pt idx="8">
                  <c:v>123551.33924473036</c:v>
                </c:pt>
                <c:pt idx="10">
                  <c:v>78825.478003635755</c:v>
                </c:pt>
                <c:pt idx="11">
                  <c:v>133621.26313583273</c:v>
                </c:pt>
                <c:pt idx="12">
                  <c:v>83533.860921577347</c:v>
                </c:pt>
                <c:pt idx="13">
                  <c:v>110481.50549630469</c:v>
                </c:pt>
                <c:pt idx="14">
                  <c:v>177958.13581904466</c:v>
                </c:pt>
                <c:pt idx="15">
                  <c:v>305360.61681272544</c:v>
                </c:pt>
                <c:pt idx="16">
                  <c:v>164447.27302039289</c:v>
                </c:pt>
                <c:pt idx="17">
                  <c:v>314337.35057160724</c:v>
                </c:pt>
                <c:pt idx="18">
                  <c:v>188438.18509219631</c:v>
                </c:pt>
                <c:pt idx="19">
                  <c:v>298775.34325202397</c:v>
                </c:pt>
                <c:pt idx="20">
                  <c:v>187389.52054804677</c:v>
                </c:pt>
                <c:pt idx="21">
                  <c:v>374226.7097651246</c:v>
                </c:pt>
                <c:pt idx="22">
                  <c:v>323579.68899132637</c:v>
                </c:pt>
                <c:pt idx="23">
                  <c:v>193682.63336173806</c:v>
                </c:pt>
                <c:pt idx="24">
                  <c:v>131526.40963752125</c:v>
                </c:pt>
                <c:pt idx="25">
                  <c:v>81863.596501331675</c:v>
                </c:pt>
                <c:pt idx="26">
                  <c:v>67253.572591998643</c:v>
                </c:pt>
                <c:pt idx="27">
                  <c:v>73703.4505330182</c:v>
                </c:pt>
                <c:pt idx="28">
                  <c:v>86796.921588356723</c:v>
                </c:pt>
                <c:pt idx="29">
                  <c:v>408910.57726715063</c:v>
                </c:pt>
                <c:pt idx="30">
                  <c:v>52007.638971183056</c:v>
                </c:pt>
                <c:pt idx="31">
                  <c:v>63465.122258217503</c:v>
                </c:pt>
                <c:pt idx="32">
                  <c:v>126310.52314106359</c:v>
                </c:pt>
              </c:numCache>
            </c:numRef>
          </c:val>
          <c:smooth val="0"/>
          <c:extLst>
            <c:ext xmlns:c16="http://schemas.microsoft.com/office/drawing/2014/chart" uri="{C3380CC4-5D6E-409C-BE32-E72D297353CC}">
              <c16:uniqueId val="{00000000-77D2-4749-B4C5-91E5B133740A}"/>
            </c:ext>
          </c:extLst>
        </c:ser>
        <c:dLbls>
          <c:showLegendKey val="0"/>
          <c:showVal val="0"/>
          <c:showCatName val="0"/>
          <c:showSerName val="0"/>
          <c:showPercent val="0"/>
          <c:showBubbleSize val="0"/>
        </c:dLbls>
        <c:marker val="1"/>
        <c:smooth val="0"/>
        <c:axId val="341027648"/>
        <c:axId val="341028224"/>
      </c:lineChart>
      <c:catAx>
        <c:axId val="34102764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41028224"/>
        <c:crosses val="autoZero"/>
        <c:auto val="1"/>
        <c:lblAlgn val="ctr"/>
        <c:lblOffset val="100"/>
        <c:noMultiLvlLbl val="1"/>
      </c:catAx>
      <c:valAx>
        <c:axId val="341028224"/>
        <c:scaling>
          <c:orientation val="minMax"/>
          <c:max val="500000"/>
        </c:scaling>
        <c:delete val="0"/>
        <c:axPos val="l"/>
        <c:majorGridlines/>
        <c:title>
          <c:tx>
            <c:rich>
              <a:bodyPr rot="-5400000" vert="horz"/>
              <a:lstStyle/>
              <a:p>
                <a:pPr>
                  <a:defRPr/>
                </a:pPr>
                <a:r>
                  <a:rPr lang="en-US"/>
                  <a:t>Pounds</a:t>
                </a:r>
                <a:r>
                  <a:rPr lang="en-US" baseline="0"/>
                  <a:t> Whole Weight</a:t>
                </a:r>
                <a:endParaRPr lang="en-US"/>
              </a:p>
            </c:rich>
          </c:tx>
          <c:overlay val="0"/>
        </c:title>
        <c:numFmt formatCode="#,##0" sourceLinked="1"/>
        <c:majorTickMark val="out"/>
        <c:minorTickMark val="none"/>
        <c:tickLblPos val="nextTo"/>
        <c:crossAx val="3410276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Wgt Deepwater Landings</a:t>
            </a:r>
          </a:p>
        </c:rich>
      </c:tx>
      <c:overlay val="0"/>
    </c:title>
    <c:autoTitleDeleted val="0"/>
    <c:plotArea>
      <c:layout/>
      <c:scatterChart>
        <c:scatterStyle val="lineMarker"/>
        <c:varyColors val="0"/>
        <c:ser>
          <c:idx val="0"/>
          <c:order val="0"/>
          <c:tx>
            <c:strRef>
              <c:f>'Deepwater Complex'!$B$3</c:f>
              <c:strCache>
                <c:ptCount val="1"/>
                <c:pt idx="0">
                  <c:v>Silk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Complex'!$B$5:$B$36</c:f>
              <c:numCache>
                <c:formatCode>#,##0</c:formatCode>
                <c:ptCount val="32"/>
                <c:pt idx="0">
                  <c:v>36764.692951999998</c:v>
                </c:pt>
                <c:pt idx="1">
                  <c:v>60881.054952460006</c:v>
                </c:pt>
                <c:pt idx="2">
                  <c:v>29850.760886650001</c:v>
                </c:pt>
                <c:pt idx="3">
                  <c:v>23792.451247950001</c:v>
                </c:pt>
                <c:pt idx="4">
                  <c:v>36826.861958000001</c:v>
                </c:pt>
                <c:pt idx="5">
                  <c:v>13737.3964748</c:v>
                </c:pt>
                <c:pt idx="6">
                  <c:v>10548.395982</c:v>
                </c:pt>
                <c:pt idx="7">
                  <c:v>19094.487774679998</c:v>
                </c:pt>
                <c:pt idx="8">
                  <c:v>47924.897530728005</c:v>
                </c:pt>
                <c:pt idx="9">
                  <c:v>52089.767356236</c:v>
                </c:pt>
                <c:pt idx="10">
                  <c:v>54699.437934517999</c:v>
                </c:pt>
                <c:pt idx="11">
                  <c:v>70660.423686109003</c:v>
                </c:pt>
                <c:pt idx="12">
                  <c:v>64552.449835200001</c:v>
                </c:pt>
                <c:pt idx="13">
                  <c:v>18140.642021334399</c:v>
                </c:pt>
                <c:pt idx="14">
                  <c:v>75741.083445024007</c:v>
                </c:pt>
                <c:pt idx="15">
                  <c:v>42300.66128737</c:v>
                </c:pt>
                <c:pt idx="16">
                  <c:v>52474.483649599002</c:v>
                </c:pt>
                <c:pt idx="17">
                  <c:v>36765.791053000001</c:v>
                </c:pt>
                <c:pt idx="18">
                  <c:v>24200.465996040002</c:v>
                </c:pt>
                <c:pt idx="19">
                  <c:v>29999.344898399999</c:v>
                </c:pt>
                <c:pt idx="20">
                  <c:v>24646.070448999999</c:v>
                </c:pt>
                <c:pt idx="21">
                  <c:v>16612.486380535</c:v>
                </c:pt>
                <c:pt idx="22">
                  <c:v>20937.53641529</c:v>
                </c:pt>
                <c:pt idx="23">
                  <c:v>16150.754907490003</c:v>
                </c:pt>
                <c:pt idx="24">
                  <c:v>6679.5404443980005</c:v>
                </c:pt>
                <c:pt idx="25">
                  <c:v>28162.5954093</c:v>
                </c:pt>
                <c:pt idx="26">
                  <c:v>8693.0971095999994</c:v>
                </c:pt>
                <c:pt idx="27">
                  <c:v>11645.395200671999</c:v>
                </c:pt>
                <c:pt idx="28">
                  <c:v>7650.3112812030004</c:v>
                </c:pt>
                <c:pt idx="29">
                  <c:v>14076.409957919999</c:v>
                </c:pt>
                <c:pt idx="30">
                  <c:v>18488.1382916</c:v>
                </c:pt>
                <c:pt idx="31">
                  <c:v>13942.525666379999</c:v>
                </c:pt>
              </c:numCache>
            </c:numRef>
          </c:yVal>
          <c:smooth val="0"/>
          <c:extLst>
            <c:ext xmlns:c16="http://schemas.microsoft.com/office/drawing/2014/chart" uri="{C3380CC4-5D6E-409C-BE32-E72D297353CC}">
              <c16:uniqueId val="{00000000-7755-4662-9075-22FBF5FDF91B}"/>
            </c:ext>
          </c:extLst>
        </c:ser>
        <c:ser>
          <c:idx val="1"/>
          <c:order val="1"/>
          <c:tx>
            <c:strRef>
              <c:f>'Deepwater Complex'!$C$3</c:f>
              <c:strCache>
                <c:ptCount val="1"/>
                <c:pt idx="0">
                  <c:v>Yellowedge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Complex'!$C$5:$C$36</c:f>
              <c:numCache>
                <c:formatCode>#,##0</c:formatCode>
                <c:ptCount val="32"/>
                <c:pt idx="0">
                  <c:v>35314.695500000002</c:v>
                </c:pt>
                <c:pt idx="1">
                  <c:v>28643.654450000002</c:v>
                </c:pt>
                <c:pt idx="2">
                  <c:v>38960.194554200003</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37765.398678400001</c:v>
                </c:pt>
                <c:pt idx="12">
                  <c:v>33450.454932000001</c:v>
                </c:pt>
                <c:pt idx="13">
                  <c:v>30774</c:v>
                </c:pt>
                <c:pt idx="14">
                  <c:v>46624.79235186</c:v>
                </c:pt>
                <c:pt idx="15">
                  <c:v>44816.002256591004</c:v>
                </c:pt>
                <c:pt idx="16">
                  <c:v>29694.086768000001</c:v>
                </c:pt>
                <c:pt idx="17">
                  <c:v>20007.920748979999</c:v>
                </c:pt>
                <c:pt idx="18">
                  <c:v>37465.001446000002</c:v>
                </c:pt>
                <c:pt idx="19">
                  <c:v>94256.556095940003</c:v>
                </c:pt>
                <c:pt idx="20">
                  <c:v>13748.439504</c:v>
                </c:pt>
                <c:pt idx="21">
                  <c:v>20596</c:v>
                </c:pt>
                <c:pt idx="22">
                  <c:v>22637.59013063</c:v>
                </c:pt>
                <c:pt idx="23">
                  <c:v>27977.59243647</c:v>
                </c:pt>
                <c:pt idx="24">
                  <c:v>30262.554822450002</c:v>
                </c:pt>
                <c:pt idx="25">
                  <c:v>2269.8236975999998</c:v>
                </c:pt>
                <c:pt idx="26">
                  <c:v>4127.9118488000004</c:v>
                </c:pt>
                <c:pt idx="27">
                  <c:v>21589.545524789999</c:v>
                </c:pt>
                <c:pt idx="28">
                  <c:v>41784.861325238999</c:v>
                </c:pt>
                <c:pt idx="29">
                  <c:v>61373.0412832</c:v>
                </c:pt>
                <c:pt idx="30">
                  <c:v>26159.03877359</c:v>
                </c:pt>
                <c:pt idx="31">
                  <c:v>35406.642130100001</c:v>
                </c:pt>
              </c:numCache>
            </c:numRef>
          </c:yVal>
          <c:smooth val="0"/>
          <c:extLst>
            <c:ext xmlns:c16="http://schemas.microsoft.com/office/drawing/2014/chart" uri="{C3380CC4-5D6E-409C-BE32-E72D297353CC}">
              <c16:uniqueId val="{00000001-7755-4662-9075-22FBF5FDF91B}"/>
            </c:ext>
          </c:extLst>
        </c:ser>
        <c:ser>
          <c:idx val="2"/>
          <c:order val="2"/>
          <c:tx>
            <c:strRef>
              <c:f>'Deepwater Complex'!$D$3</c:f>
              <c:strCache>
                <c:ptCount val="1"/>
                <c:pt idx="0">
                  <c:v>Misty Grouper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2-7755-4662-9075-22FBF5FDF91B}"/>
            </c:ext>
          </c:extLst>
        </c:ser>
        <c:ser>
          <c:idx val="3"/>
          <c:order val="3"/>
          <c:tx>
            <c:strRef>
              <c:f>'Deepwater Complex'!$E$3</c:f>
              <c:strCache>
                <c:ptCount val="1"/>
                <c:pt idx="0">
                  <c:v>Queen Snapper</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Complex'!$E$5:$E$36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3-7755-4662-9075-22FBF5FDF91B}"/>
            </c:ext>
          </c:extLst>
        </c:ser>
        <c:ser>
          <c:idx val="4"/>
          <c:order val="4"/>
          <c:tx>
            <c:strRef>
              <c:f>'Deepwater Complex'!$F$3</c:f>
              <c:strCache>
                <c:ptCount val="1"/>
                <c:pt idx="0">
                  <c:v>Sand Tilefish</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Complex'!$F$5:$F$36</c:f>
              <c:numCache>
                <c:formatCode>#,##0</c:formatCode>
                <c:ptCount val="32"/>
                <c:pt idx="0">
                  <c:v>5940.9856295999962</c:v>
                </c:pt>
                <c:pt idx="1">
                  <c:v>7257.286880749999</c:v>
                </c:pt>
                <c:pt idx="2">
                  <c:v>2821.99391135</c:v>
                </c:pt>
                <c:pt idx="3">
                  <c:v>3576.0400962699996</c:v>
                </c:pt>
                <c:pt idx="4">
                  <c:v>2722.6705714600002</c:v>
                </c:pt>
                <c:pt idx="5">
                  <c:v>6322.745306509999</c:v>
                </c:pt>
                <c:pt idx="6">
                  <c:v>3048.7392814799996</c:v>
                </c:pt>
                <c:pt idx="7">
                  <c:v>6167.758108</c:v>
                </c:pt>
                <c:pt idx="8">
                  <c:v>4777.265912335999</c:v>
                </c:pt>
                <c:pt idx="9">
                  <c:v>18588.244223301997</c:v>
                </c:pt>
                <c:pt idx="10">
                  <c:v>5459.6722339000007</c:v>
                </c:pt>
                <c:pt idx="11">
                  <c:v>7337.9133875999996</c:v>
                </c:pt>
                <c:pt idx="12">
                  <c:v>14547.95025819</c:v>
                </c:pt>
                <c:pt idx="13">
                  <c:v>4562.6949109399993</c:v>
                </c:pt>
                <c:pt idx="14">
                  <c:v>12909.9078498</c:v>
                </c:pt>
                <c:pt idx="15">
                  <c:v>12463.209495130999</c:v>
                </c:pt>
                <c:pt idx="16">
                  <c:v>9660.7297276059999</c:v>
                </c:pt>
                <c:pt idx="17">
                  <c:v>18348.142384959599</c:v>
                </c:pt>
                <c:pt idx="18">
                  <c:v>13017.567559936</c:v>
                </c:pt>
                <c:pt idx="19">
                  <c:v>8678.6057833329996</c:v>
                </c:pt>
                <c:pt idx="20">
                  <c:v>4741.2261356300005</c:v>
                </c:pt>
                <c:pt idx="21">
                  <c:v>3428.3806108709996</c:v>
                </c:pt>
                <c:pt idx="22">
                  <c:v>22602.137834854999</c:v>
                </c:pt>
                <c:pt idx="23">
                  <c:v>39799.697746029997</c:v>
                </c:pt>
                <c:pt idx="24">
                  <c:v>2087.4201946359999</c:v>
                </c:pt>
                <c:pt idx="25">
                  <c:v>6270.2111536890006</c:v>
                </c:pt>
                <c:pt idx="26">
                  <c:v>5864.9524030000002</c:v>
                </c:pt>
                <c:pt idx="27">
                  <c:v>14435.426494050002</c:v>
                </c:pt>
                <c:pt idx="28">
                  <c:v>14886.377754707401</c:v>
                </c:pt>
                <c:pt idx="29">
                  <c:v>12862.479362300001</c:v>
                </c:pt>
                <c:pt idx="30">
                  <c:v>5675.0347851658998</c:v>
                </c:pt>
                <c:pt idx="31">
                  <c:v>6191.0874240799985</c:v>
                </c:pt>
              </c:numCache>
            </c:numRef>
          </c:yVal>
          <c:smooth val="0"/>
          <c:extLst>
            <c:ext xmlns:c16="http://schemas.microsoft.com/office/drawing/2014/chart" uri="{C3380CC4-5D6E-409C-BE32-E72D297353CC}">
              <c16:uniqueId val="{00000004-7755-4662-9075-22FBF5FDF91B}"/>
            </c:ext>
          </c:extLst>
        </c:ser>
        <c:ser>
          <c:idx val="6"/>
          <c:order val="5"/>
          <c:tx>
            <c:strRef>
              <c:f>'Deepwater Complex'!$G$3</c:f>
              <c:strCache>
                <c:ptCount val="1"/>
                <c:pt idx="0">
                  <c:v>Blackfin Snapper</c:v>
                </c:pt>
              </c:strCache>
            </c:strRef>
          </c:tx>
          <c:spPr>
            <a:ln>
              <a:solidFill>
                <a:schemeClr val="accent6"/>
              </a:solidFill>
            </a:ln>
          </c:spPr>
          <c:marker>
            <c:symbol val="circle"/>
            <c:size val="6"/>
            <c:spPr>
              <a:solidFill>
                <a:schemeClr val="accent6"/>
              </a:solidFill>
              <a:ln>
                <a:solidFill>
                  <a:schemeClr val="accent6"/>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Complex'!$G$5:$G$36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11773.695949230003</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6-7755-4662-9075-22FBF5FDF91B}"/>
            </c:ext>
          </c:extLst>
        </c:ser>
        <c:ser>
          <c:idx val="7"/>
          <c:order val="6"/>
          <c:tx>
            <c:strRef>
              <c:f>'Deepwater Complex'!$H$4</c:f>
              <c:strCache>
                <c:ptCount val="1"/>
                <c:pt idx="0">
                  <c:v>Total</c:v>
                </c:pt>
              </c:strCache>
            </c:strRef>
          </c:tx>
          <c:spPr>
            <a:ln>
              <a:solidFill>
                <a:schemeClr val="tx2"/>
              </a:solidFill>
            </a:ln>
          </c:spPr>
          <c:marker>
            <c:symbol val="star"/>
            <c:size val="7"/>
            <c:spPr>
              <a:ln>
                <a:solidFill>
                  <a:srgbClr val="FF0000"/>
                </a:solidFill>
              </a:ln>
            </c:spPr>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Complex'!$H$5:$H$36</c:f>
              <c:numCache>
                <c:formatCode>#,##0</c:formatCode>
                <c:ptCount val="32"/>
                <c:pt idx="0">
                  <c:v>81569.70996919999</c:v>
                </c:pt>
                <c:pt idx="1">
                  <c:v>155057.43557041002</c:v>
                </c:pt>
                <c:pt idx="2">
                  <c:v>73051.299165399992</c:v>
                </c:pt>
                <c:pt idx="3">
                  <c:v>56429.485157520001</c:v>
                </c:pt>
                <c:pt idx="4">
                  <c:v>57769.812197460007</c:v>
                </c:pt>
                <c:pt idx="5">
                  <c:v>58535.66525731</c:v>
                </c:pt>
                <c:pt idx="6">
                  <c:v>58720.23054348</c:v>
                </c:pt>
                <c:pt idx="7">
                  <c:v>63146.825548680012</c:v>
                </c:pt>
                <c:pt idx="8">
                  <c:v>70485.489707064</c:v>
                </c:pt>
                <c:pt idx="9">
                  <c:v>116923.66941353801</c:v>
                </c:pt>
                <c:pt idx="10">
                  <c:v>132624.92317031798</c:v>
                </c:pt>
                <c:pt idx="11">
                  <c:v>133872.93178210899</c:v>
                </c:pt>
                <c:pt idx="12">
                  <c:v>120139.34216939</c:v>
                </c:pt>
                <c:pt idx="13">
                  <c:v>66347.763603587402</c:v>
                </c:pt>
                <c:pt idx="14">
                  <c:v>164182.57827736999</c:v>
                </c:pt>
                <c:pt idx="15">
                  <c:v>116114.99131905522</c:v>
                </c:pt>
                <c:pt idx="16">
                  <c:v>105112.647285225</c:v>
                </c:pt>
                <c:pt idx="17">
                  <c:v>83057.490376939604</c:v>
                </c:pt>
                <c:pt idx="18">
                  <c:v>83756.618058836015</c:v>
                </c:pt>
                <c:pt idx="19">
                  <c:v>144336.16420653302</c:v>
                </c:pt>
                <c:pt idx="20">
                  <c:v>49479.24952153</c:v>
                </c:pt>
                <c:pt idx="21">
                  <c:v>63742.397167836003</c:v>
                </c:pt>
                <c:pt idx="22">
                  <c:v>73029.170038116994</c:v>
                </c:pt>
                <c:pt idx="23">
                  <c:v>88866.645957590008</c:v>
                </c:pt>
                <c:pt idx="24">
                  <c:v>46182.466800385999</c:v>
                </c:pt>
                <c:pt idx="25">
                  <c:v>77067.088475989003</c:v>
                </c:pt>
                <c:pt idx="26">
                  <c:v>21568.45211876</c:v>
                </c:pt>
                <c:pt idx="27">
                  <c:v>50378.107987823001</c:v>
                </c:pt>
                <c:pt idx="28">
                  <c:v>72610.911053541407</c:v>
                </c:pt>
                <c:pt idx="29">
                  <c:v>97299.979130020001</c:v>
                </c:pt>
                <c:pt idx="30">
                  <c:v>63913.512113555909</c:v>
                </c:pt>
                <c:pt idx="31">
                  <c:v>63705.108613609998</c:v>
                </c:pt>
              </c:numCache>
            </c:numRef>
          </c:yVal>
          <c:smooth val="0"/>
          <c:extLst>
            <c:ext xmlns:c16="http://schemas.microsoft.com/office/drawing/2014/chart" uri="{C3380CC4-5D6E-409C-BE32-E72D297353CC}">
              <c16:uniqueId val="{00000007-7755-4662-9075-22FBF5FDF91B}"/>
            </c:ext>
          </c:extLst>
        </c:ser>
        <c:ser>
          <c:idx val="9"/>
          <c:order val="7"/>
          <c:tx>
            <c:strRef>
              <c:f>'Deepwater Complex'!$I$4</c:f>
              <c:strCache>
                <c:ptCount val="1"/>
                <c:pt idx="0">
                  <c:v>New Wgt ABC/ACL</c:v>
                </c:pt>
              </c:strCache>
            </c:strRef>
          </c:tx>
          <c:spPr>
            <a:ln w="38100">
              <a:solidFill>
                <a:schemeClr val="tx1"/>
              </a:solidFill>
            </a:ln>
          </c:spPr>
          <c:marker>
            <c:symbol val="none"/>
          </c:marker>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Complex'!$I$5:$I$36</c:f>
              <c:numCache>
                <c:formatCode>#,##0</c:formatCode>
                <c:ptCount val="32"/>
                <c:pt idx="26">
                  <c:v>116002.31737446101</c:v>
                </c:pt>
                <c:pt idx="27">
                  <c:v>116002.31737446101</c:v>
                </c:pt>
                <c:pt idx="28">
                  <c:v>116002.31737446101</c:v>
                </c:pt>
                <c:pt idx="29">
                  <c:v>232882.82127965681</c:v>
                </c:pt>
                <c:pt idx="30">
                  <c:v>232882.82127965681</c:v>
                </c:pt>
                <c:pt idx="31">
                  <c:v>232882.82127965681</c:v>
                </c:pt>
              </c:numCache>
            </c:numRef>
          </c:yVal>
          <c:smooth val="0"/>
          <c:extLst>
            <c:ext xmlns:c16="http://schemas.microsoft.com/office/drawing/2014/chart" uri="{C3380CC4-5D6E-409C-BE32-E72D297353CC}">
              <c16:uniqueId val="{00000008-7755-4662-9075-22FBF5FDF91B}"/>
            </c:ext>
          </c:extLst>
        </c:ser>
        <c:dLbls>
          <c:showLegendKey val="0"/>
          <c:showVal val="0"/>
          <c:showCatName val="0"/>
          <c:showSerName val="0"/>
          <c:showPercent val="0"/>
          <c:showBubbleSize val="0"/>
        </c:dLbls>
        <c:axId val="341787776"/>
        <c:axId val="341788352"/>
      </c:scatterChart>
      <c:valAx>
        <c:axId val="34178777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788352"/>
        <c:crosses val="autoZero"/>
        <c:crossBetween val="midCat"/>
      </c:valAx>
      <c:valAx>
        <c:axId val="341788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78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Silk Snapper</a:t>
            </a:r>
          </a:p>
        </c:rich>
      </c:tx>
      <c:overlay val="0"/>
      <c:spPr>
        <a:noFill/>
      </c:spPr>
    </c:title>
    <c:autoTitleDeleted val="0"/>
    <c:plotArea>
      <c:layout/>
      <c:scatterChart>
        <c:scatterStyle val="lineMarker"/>
        <c:varyColors val="0"/>
        <c:ser>
          <c:idx val="4"/>
          <c:order val="1"/>
          <c:tx>
            <c:strRef>
              <c:f>'Deepwater Complex'!$AE$3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Complex'!$AE$4:$AE$35</c:f>
              <c:numCache>
                <c:formatCode>#,##0</c:formatCode>
                <c:ptCount val="32"/>
                <c:pt idx="0">
                  <c:v>11803.692951999999</c:v>
                </c:pt>
                <c:pt idx="1">
                  <c:v>41579.054952460006</c:v>
                </c:pt>
                <c:pt idx="2">
                  <c:v>12455.76088665</c:v>
                </c:pt>
                <c:pt idx="3">
                  <c:v>9517.4512479500008</c:v>
                </c:pt>
                <c:pt idx="4">
                  <c:v>1943.861958</c:v>
                </c:pt>
                <c:pt idx="5">
                  <c:v>8442.3964747999999</c:v>
                </c:pt>
                <c:pt idx="6">
                  <c:v>2694.395982</c:v>
                </c:pt>
                <c:pt idx="7">
                  <c:v>5608.4877746799993</c:v>
                </c:pt>
                <c:pt idx="8">
                  <c:v>35987.897530728005</c:v>
                </c:pt>
                <c:pt idx="9">
                  <c:v>11301.767356236</c:v>
                </c:pt>
                <c:pt idx="10">
                  <c:v>6190.4379345180005</c:v>
                </c:pt>
                <c:pt idx="11">
                  <c:v>5004.4236861090003</c:v>
                </c:pt>
                <c:pt idx="12">
                  <c:v>5981.4498351999991</c:v>
                </c:pt>
                <c:pt idx="13">
                  <c:v>1634.6420213344004</c:v>
                </c:pt>
                <c:pt idx="14">
                  <c:v>5954.083445024</c:v>
                </c:pt>
                <c:pt idx="15">
                  <c:v>2050.6612873699996</c:v>
                </c:pt>
                <c:pt idx="16">
                  <c:v>4380.4836495990003</c:v>
                </c:pt>
                <c:pt idx="17">
                  <c:v>16089.791052999999</c:v>
                </c:pt>
                <c:pt idx="18">
                  <c:v>4037.4659960400004</c:v>
                </c:pt>
                <c:pt idx="19">
                  <c:v>3773.3448984000001</c:v>
                </c:pt>
                <c:pt idx="20">
                  <c:v>4344.0704490000007</c:v>
                </c:pt>
                <c:pt idx="21">
                  <c:v>5005.4863805349996</c:v>
                </c:pt>
                <c:pt idx="22">
                  <c:v>6952.5364152900001</c:v>
                </c:pt>
                <c:pt idx="23">
                  <c:v>6258.7549074900035</c:v>
                </c:pt>
                <c:pt idx="24">
                  <c:v>2225.5404443980005</c:v>
                </c:pt>
                <c:pt idx="25">
                  <c:v>5407.5954093</c:v>
                </c:pt>
                <c:pt idx="26">
                  <c:v>4318.0971096000003</c:v>
                </c:pt>
                <c:pt idx="27">
                  <c:v>1643.3952006719999</c:v>
                </c:pt>
                <c:pt idx="28">
                  <c:v>1243.3112812030004</c:v>
                </c:pt>
                <c:pt idx="29">
                  <c:v>2587.4099579199997</c:v>
                </c:pt>
                <c:pt idx="30">
                  <c:v>1858.1382915999998</c:v>
                </c:pt>
                <c:pt idx="31">
                  <c:v>2709.5256663800001</c:v>
                </c:pt>
              </c:numCache>
            </c:numRef>
          </c:yVal>
          <c:smooth val="0"/>
          <c:extLst>
            <c:ext xmlns:c16="http://schemas.microsoft.com/office/drawing/2014/chart" uri="{C3380CC4-5D6E-409C-BE32-E72D297353CC}">
              <c16:uniqueId val="{00000001-9740-4EA3-92EE-20E905A754B8}"/>
            </c:ext>
          </c:extLst>
        </c:ser>
        <c:ser>
          <c:idx val="5"/>
          <c:order val="3"/>
          <c:tx>
            <c:strRef>
              <c:f>'Deepwater Complex'!$AN$3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Complex'!$AN$4:$AN$35</c:f>
              <c:numCache>
                <c:formatCode>#,##0</c:formatCode>
                <c:ptCount val="32"/>
                <c:pt idx="0">
                  <c:v>11803.692951999999</c:v>
                </c:pt>
                <c:pt idx="1">
                  <c:v>43105.087556140003</c:v>
                </c:pt>
                <c:pt idx="2">
                  <c:v>12769.010455579995</c:v>
                </c:pt>
                <c:pt idx="3">
                  <c:v>9941.3620046499982</c:v>
                </c:pt>
                <c:pt idx="4">
                  <c:v>1943.861958</c:v>
                </c:pt>
                <c:pt idx="5">
                  <c:v>8808.686696499999</c:v>
                </c:pt>
                <c:pt idx="6">
                  <c:v>2694.395982</c:v>
                </c:pt>
                <c:pt idx="7">
                  <c:v>5702.6568599300017</c:v>
                </c:pt>
                <c:pt idx="8">
                  <c:v>18543.085961169993</c:v>
                </c:pt>
                <c:pt idx="9">
                  <c:v>21008.530042579994</c:v>
                </c:pt>
                <c:pt idx="10">
                  <c:v>7176.4146139799977</c:v>
                </c:pt>
                <c:pt idx="11">
                  <c:v>5177.8053692640015</c:v>
                </c:pt>
                <c:pt idx="12">
                  <c:v>6188.872724400002</c:v>
                </c:pt>
                <c:pt idx="13">
                  <c:v>1648.2451327337005</c:v>
                </c:pt>
                <c:pt idx="14">
                  <c:v>6231.4366740960013</c:v>
                </c:pt>
                <c:pt idx="15">
                  <c:v>2109.9442913000003</c:v>
                </c:pt>
                <c:pt idx="16">
                  <c:v>4489.3794231040001</c:v>
                </c:pt>
                <c:pt idx="17">
                  <c:v>16868.289054000001</c:v>
                </c:pt>
                <c:pt idx="18">
                  <c:v>4168.9702618699994</c:v>
                </c:pt>
                <c:pt idx="19">
                  <c:v>3870.6170553999987</c:v>
                </c:pt>
                <c:pt idx="20">
                  <c:v>4522.0374185199998</c:v>
                </c:pt>
                <c:pt idx="21">
                  <c:v>5176.6268035789999</c:v>
                </c:pt>
                <c:pt idx="22">
                  <c:v>7838.2909645299997</c:v>
                </c:pt>
                <c:pt idx="23">
                  <c:v>6324.8250459400033</c:v>
                </c:pt>
                <c:pt idx="24">
                  <c:v>2246.5271980200009</c:v>
                </c:pt>
                <c:pt idx="25">
                  <c:v>5644.8962261999995</c:v>
                </c:pt>
                <c:pt idx="26">
                  <c:v>4318.0971096000003</c:v>
                </c:pt>
                <c:pt idx="27">
                  <c:v>1644.5307609460001</c:v>
                </c:pt>
                <c:pt idx="28">
                  <c:v>1248.2928526200003</c:v>
                </c:pt>
                <c:pt idx="29">
                  <c:v>2605.8917413999998</c:v>
                </c:pt>
                <c:pt idx="30">
                  <c:v>1858.1382915999998</c:v>
                </c:pt>
                <c:pt idx="31">
                  <c:v>2790.49383575</c:v>
                </c:pt>
              </c:numCache>
            </c:numRef>
          </c:yVal>
          <c:smooth val="0"/>
          <c:extLst>
            <c:ext xmlns:c16="http://schemas.microsoft.com/office/drawing/2014/chart" uri="{C3380CC4-5D6E-409C-BE32-E72D297353CC}">
              <c16:uniqueId val="{00000003-9740-4EA3-92EE-20E905A754B8}"/>
            </c:ext>
          </c:extLst>
        </c:ser>
        <c:ser>
          <c:idx val="6"/>
          <c:order val="6"/>
          <c:tx>
            <c:strRef>
              <c:f>'Deepwater Complex'!$P$109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Complex'!$J$110:$J$141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Complex'!$P$110:$P$141</c:f>
              <c:numCache>
                <c:formatCode>#,##0</c:formatCode>
                <c:ptCount val="32"/>
                <c:pt idx="0">
                  <c:v>11803.692951999999</c:v>
                </c:pt>
                <c:pt idx="1">
                  <c:v>30424.44063830479</c:v>
                </c:pt>
                <c:pt idx="3">
                  <c:v>5601.7572873221434</c:v>
                </c:pt>
                <c:pt idx="4">
                  <c:v>1943.861958</c:v>
                </c:pt>
                <c:pt idx="6">
                  <c:v>2694.395982</c:v>
                </c:pt>
                <c:pt idx="7">
                  <c:v>5695.5382051329643</c:v>
                </c:pt>
                <c:pt idx="8">
                  <c:v>38961.18569198253</c:v>
                </c:pt>
                <c:pt idx="9">
                  <c:v>14842.087628396635</c:v>
                </c:pt>
                <c:pt idx="10">
                  <c:v>5220.7473822913034</c:v>
                </c:pt>
                <c:pt idx="11">
                  <c:v>4632.7238205967124</c:v>
                </c:pt>
                <c:pt idx="12">
                  <c:v>5721.9475566443216</c:v>
                </c:pt>
                <c:pt idx="13">
                  <c:v>2077.2153448574072</c:v>
                </c:pt>
                <c:pt idx="14">
                  <c:v>6988.9370311674293</c:v>
                </c:pt>
                <c:pt idx="15">
                  <c:v>2758.499799203536</c:v>
                </c:pt>
                <c:pt idx="16">
                  <c:v>5277.8947931334123</c:v>
                </c:pt>
                <c:pt idx="17">
                  <c:v>15443.79074166946</c:v>
                </c:pt>
                <c:pt idx="18">
                  <c:v>4947.5680146255345</c:v>
                </c:pt>
                <c:pt idx="19">
                  <c:v>3938.4980294589623</c:v>
                </c:pt>
                <c:pt idx="20">
                  <c:v>4408.6954135808401</c:v>
                </c:pt>
                <c:pt idx="21">
                  <c:v>5357.4980049085761</c:v>
                </c:pt>
                <c:pt idx="22">
                  <c:v>6684.9336680704009</c:v>
                </c:pt>
                <c:pt idx="23">
                  <c:v>6322.0869651763651</c:v>
                </c:pt>
                <c:pt idx="24">
                  <c:v>2340.8025880523523</c:v>
                </c:pt>
                <c:pt idx="25">
                  <c:v>13408.130074010949</c:v>
                </c:pt>
                <c:pt idx="26">
                  <c:v>4318.0971096000003</c:v>
                </c:pt>
                <c:pt idx="27">
                  <c:v>1640.7785682756621</c:v>
                </c:pt>
                <c:pt idx="28">
                  <c:v>1208.7476977207443</c:v>
                </c:pt>
                <c:pt idx="29">
                  <c:v>2451.2424352118533</c:v>
                </c:pt>
                <c:pt idx="30">
                  <c:v>1858.1382915999998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4D1C-4930-AC70-70A17C3E893C}"/>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Complex'!$B$4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Complex'!$B$5:$B$36</c15:sqref>
                        </c15:formulaRef>
                      </c:ext>
                    </c:extLst>
                    <c:numCache>
                      <c:formatCode>#,##0</c:formatCode>
                      <c:ptCount val="32"/>
                      <c:pt idx="0">
                        <c:v>36764.692951999998</c:v>
                      </c:pt>
                      <c:pt idx="1">
                        <c:v>60881.054952460006</c:v>
                      </c:pt>
                      <c:pt idx="2">
                        <c:v>29850.760886650001</c:v>
                      </c:pt>
                      <c:pt idx="3">
                        <c:v>23792.451247950001</c:v>
                      </c:pt>
                      <c:pt idx="4">
                        <c:v>36826.861958000001</c:v>
                      </c:pt>
                      <c:pt idx="5">
                        <c:v>13737.3964748</c:v>
                      </c:pt>
                      <c:pt idx="6">
                        <c:v>10548.395982</c:v>
                      </c:pt>
                      <c:pt idx="7">
                        <c:v>19094.487774679998</c:v>
                      </c:pt>
                      <c:pt idx="8">
                        <c:v>47924.897530728005</c:v>
                      </c:pt>
                      <c:pt idx="9">
                        <c:v>52089.767356236</c:v>
                      </c:pt>
                      <c:pt idx="10">
                        <c:v>54699.437934517999</c:v>
                      </c:pt>
                      <c:pt idx="11">
                        <c:v>70660.423686109003</c:v>
                      </c:pt>
                      <c:pt idx="12">
                        <c:v>64552.449835200001</c:v>
                      </c:pt>
                      <c:pt idx="13">
                        <c:v>18140.642021334399</c:v>
                      </c:pt>
                      <c:pt idx="14">
                        <c:v>75741.083445024007</c:v>
                      </c:pt>
                      <c:pt idx="15">
                        <c:v>42300.66128737</c:v>
                      </c:pt>
                      <c:pt idx="16">
                        <c:v>52474.483649599002</c:v>
                      </c:pt>
                      <c:pt idx="17">
                        <c:v>36765.791053000001</c:v>
                      </c:pt>
                      <c:pt idx="18">
                        <c:v>24200.465996040002</c:v>
                      </c:pt>
                      <c:pt idx="19">
                        <c:v>29999.344898399999</c:v>
                      </c:pt>
                      <c:pt idx="20">
                        <c:v>24646.070448999999</c:v>
                      </c:pt>
                      <c:pt idx="21">
                        <c:v>16612.486380535</c:v>
                      </c:pt>
                      <c:pt idx="22">
                        <c:v>20937.53641529</c:v>
                      </c:pt>
                      <c:pt idx="23">
                        <c:v>16150.754907490003</c:v>
                      </c:pt>
                      <c:pt idx="24">
                        <c:v>6679.5404443980005</c:v>
                      </c:pt>
                      <c:pt idx="25">
                        <c:v>28162.5954093</c:v>
                      </c:pt>
                      <c:pt idx="26">
                        <c:v>8693.0971095999994</c:v>
                      </c:pt>
                      <c:pt idx="27">
                        <c:v>11645.395200671999</c:v>
                      </c:pt>
                      <c:pt idx="28">
                        <c:v>7650.3112812030004</c:v>
                      </c:pt>
                      <c:pt idx="29">
                        <c:v>14076.409957919999</c:v>
                      </c:pt>
                      <c:pt idx="30">
                        <c:v>18488.1382916</c:v>
                      </c:pt>
                      <c:pt idx="31">
                        <c:v>13942.525666379999</c:v>
                      </c:pt>
                    </c:numCache>
                  </c:numRef>
                </c:yVal>
                <c:smooth val="0"/>
                <c:extLst>
                  <c:ext xmlns:c16="http://schemas.microsoft.com/office/drawing/2014/chart" uri="{C3380CC4-5D6E-409C-BE32-E72D297353CC}">
                    <c16:uniqueId val="{00000000-9B6D-43E3-9DED-7B5B2604A037}"/>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Complex'!$L$4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Complex'!$L$5:$L$36</c15:sqref>
                        </c15:formulaRef>
                      </c:ext>
                    </c:extLst>
                    <c:numCache>
                      <c:formatCode>#,##0</c:formatCode>
                      <c:ptCount val="32"/>
                      <c:pt idx="0">
                        <c:v>36764.692951999998</c:v>
                      </c:pt>
                      <c:pt idx="1">
                        <c:v>62407.087556140003</c:v>
                      </c:pt>
                      <c:pt idx="2">
                        <c:v>30164.010455579995</c:v>
                      </c:pt>
                      <c:pt idx="3">
                        <c:v>24216.36200465</c:v>
                      </c:pt>
                      <c:pt idx="4">
                        <c:v>36826.861958000001</c:v>
                      </c:pt>
                      <c:pt idx="5">
                        <c:v>14103.686696499999</c:v>
                      </c:pt>
                      <c:pt idx="6">
                        <c:v>10548.395982</c:v>
                      </c:pt>
                      <c:pt idx="7">
                        <c:v>19188.656859930001</c:v>
                      </c:pt>
                      <c:pt idx="8">
                        <c:v>30480.085961169993</c:v>
                      </c:pt>
                      <c:pt idx="9">
                        <c:v>61796.530042579994</c:v>
                      </c:pt>
                      <c:pt idx="10">
                        <c:v>55685.41461398</c:v>
                      </c:pt>
                      <c:pt idx="11">
                        <c:v>70833.805369263995</c:v>
                      </c:pt>
                      <c:pt idx="12">
                        <c:v>64759.872724400004</c:v>
                      </c:pt>
                      <c:pt idx="13">
                        <c:v>18154.2451327337</c:v>
                      </c:pt>
                      <c:pt idx="14">
                        <c:v>76018.436674095996</c:v>
                      </c:pt>
                      <c:pt idx="15">
                        <c:v>42359.944291300002</c:v>
                      </c:pt>
                      <c:pt idx="16">
                        <c:v>52583.379423104001</c:v>
                      </c:pt>
                      <c:pt idx="17">
                        <c:v>37544.289054000001</c:v>
                      </c:pt>
                      <c:pt idx="18">
                        <c:v>24331.970261869999</c:v>
                      </c:pt>
                      <c:pt idx="19">
                        <c:v>30096.617055399998</c:v>
                      </c:pt>
                      <c:pt idx="20">
                        <c:v>24824.037418519998</c:v>
                      </c:pt>
                      <c:pt idx="21">
                        <c:v>16783.626803578998</c:v>
                      </c:pt>
                      <c:pt idx="22">
                        <c:v>21823.290964529999</c:v>
                      </c:pt>
                      <c:pt idx="23">
                        <c:v>16216.825045940004</c:v>
                      </c:pt>
                      <c:pt idx="24">
                        <c:v>6700.5271980200014</c:v>
                      </c:pt>
                      <c:pt idx="25">
                        <c:v>28399.896226199999</c:v>
                      </c:pt>
                      <c:pt idx="26">
                        <c:v>8693.0971095999994</c:v>
                      </c:pt>
                      <c:pt idx="27">
                        <c:v>11646.530760946</c:v>
                      </c:pt>
                      <c:pt idx="28">
                        <c:v>7655.2928526200003</c:v>
                      </c:pt>
                      <c:pt idx="29">
                        <c:v>14094.891741399999</c:v>
                      </c:pt>
                      <c:pt idx="30">
                        <c:v>18488.1382916</c:v>
                      </c:pt>
                      <c:pt idx="31">
                        <c:v>14023.49383575</c:v>
                      </c:pt>
                    </c:numCache>
                  </c:numRef>
                </c:yVal>
                <c:smooth val="0"/>
                <c:extLst xmlns:c15="http://schemas.microsoft.com/office/drawing/2012/chart">
                  <c:ext xmlns:c16="http://schemas.microsoft.com/office/drawing/2014/chart" uri="{C3380CC4-5D6E-409C-BE32-E72D297353CC}">
                    <c16:uniqueId val="{00000000-9740-4EA3-92EE-20E905A754B8}"/>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'Deepwater Complex'!$B$43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Complex'!$B$44:$B$49</c15:sqref>
                        </c15:formulaRef>
                      </c:ext>
                    </c:extLst>
                    <c:numCache>
                      <c:formatCode>#,##0</c:formatCode>
                      <c:ptCount val="6"/>
                      <c:pt idx="0">
                        <c:v>42300.66128737</c:v>
                      </c:pt>
                      <c:pt idx="1">
                        <c:v>42300.66128737</c:v>
                      </c:pt>
                      <c:pt idx="2">
                        <c:v>42300.66128737</c:v>
                      </c:pt>
                      <c:pt idx="3">
                        <c:v>90889.300134028817</c:v>
                      </c:pt>
                      <c:pt idx="4">
                        <c:v>90889.300134028817</c:v>
                      </c:pt>
                      <c:pt idx="5">
                        <c:v>90889.300134028817</c:v>
                      </c:pt>
                    </c:numCache>
                  </c:numRef>
                </c:yVal>
                <c:smooth val="0"/>
                <c:extLst xmlns:c15="http://schemas.microsoft.com/office/drawing/2012/chart">
                  <c:ext xmlns:c16="http://schemas.microsoft.com/office/drawing/2014/chart" uri="{C3380CC4-5D6E-409C-BE32-E72D297353CC}">
                    <c16:uniqueId val="{00000001-9B6D-43E3-9DED-7B5B2604A037}"/>
                  </c:ext>
                </c:extLst>
              </c15:ser>
            </c15:filteredScatterSeries>
            <c15:filteredScatterSeries>
              <c15:ser>
                <c:idx val="2"/>
                <c:order val="5"/>
                <c:tx>
                  <c:strRef>
                    <c:extLst xmlns:c15="http://schemas.microsoft.com/office/drawing/2012/chart">
                      <c:ext xmlns:c15="http://schemas.microsoft.com/office/drawing/2012/chart" uri="{02D57815-91ED-43cb-92C2-25804820EDAC}">
                        <c15:formulaRef>
                          <c15:sqref>'Deepwater Complex'!$L$43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Complex'!$L$44:$L$49</c15:sqref>
                        </c15:formulaRef>
                      </c:ext>
                    </c:extLst>
                    <c:numCache>
                      <c:formatCode>#,##0</c:formatCode>
                      <c:ptCount val="6"/>
                      <c:pt idx="0">
                        <c:v>42359.944291300002</c:v>
                      </c:pt>
                      <c:pt idx="1">
                        <c:v>42359.944291300002</c:v>
                      </c:pt>
                      <c:pt idx="2">
                        <c:v>42359.944291300002</c:v>
                      </c:pt>
                      <c:pt idx="3">
                        <c:v>91222.124008915212</c:v>
                      </c:pt>
                      <c:pt idx="4">
                        <c:v>91222.124008915212</c:v>
                      </c:pt>
                      <c:pt idx="5">
                        <c:v>91222.124008915212</c:v>
                      </c:pt>
                    </c:numCache>
                  </c:numRef>
                </c:yVal>
                <c:smooth val="0"/>
                <c:extLst xmlns:c15="http://schemas.microsoft.com/office/drawing/2012/chart">
                  <c:ext xmlns:c16="http://schemas.microsoft.com/office/drawing/2014/chart" uri="{C3380CC4-5D6E-409C-BE32-E72D297353CC}">
                    <c16:uniqueId val="{00000000-3138-4339-96EB-7229A5F0838F}"/>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Orig FES Deepwater Landings</a:t>
            </a:r>
          </a:p>
        </c:rich>
      </c:tx>
      <c:overlay val="0"/>
    </c:title>
    <c:autoTitleDeleted val="0"/>
    <c:plotArea>
      <c:layout/>
      <c:scatterChart>
        <c:scatterStyle val="lineMarker"/>
        <c:varyColors val="0"/>
        <c:ser>
          <c:idx val="0"/>
          <c:order val="0"/>
          <c:tx>
            <c:strRef>
              <c:f>'Deepwater Complex'!$L$3</c:f>
              <c:strCache>
                <c:ptCount val="1"/>
                <c:pt idx="0">
                  <c:v>Silk Snapper</c:v>
                </c:pt>
              </c:strCache>
            </c:strRef>
          </c:tx>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Complex'!$L$5:$L$36</c:f>
              <c:numCache>
                <c:formatCode>#,##0</c:formatCode>
                <c:ptCount val="32"/>
                <c:pt idx="0">
                  <c:v>36764.692951999998</c:v>
                </c:pt>
                <c:pt idx="1">
                  <c:v>62407.087556140003</c:v>
                </c:pt>
                <c:pt idx="2">
                  <c:v>30164.010455579995</c:v>
                </c:pt>
                <c:pt idx="3">
                  <c:v>24216.36200465</c:v>
                </c:pt>
                <c:pt idx="4">
                  <c:v>36826.861958000001</c:v>
                </c:pt>
                <c:pt idx="5">
                  <c:v>14103.686696499999</c:v>
                </c:pt>
                <c:pt idx="6">
                  <c:v>10548.395982</c:v>
                </c:pt>
                <c:pt idx="7">
                  <c:v>19188.656859930001</c:v>
                </c:pt>
                <c:pt idx="8">
                  <c:v>30480.085961169993</c:v>
                </c:pt>
                <c:pt idx="9">
                  <c:v>61796.530042579994</c:v>
                </c:pt>
                <c:pt idx="10">
                  <c:v>55685.41461398</c:v>
                </c:pt>
                <c:pt idx="11">
                  <c:v>70833.805369263995</c:v>
                </c:pt>
                <c:pt idx="12">
                  <c:v>64759.872724400004</c:v>
                </c:pt>
                <c:pt idx="13">
                  <c:v>18154.2451327337</c:v>
                </c:pt>
                <c:pt idx="14">
                  <c:v>76018.436674095996</c:v>
                </c:pt>
                <c:pt idx="15">
                  <c:v>42359.944291300002</c:v>
                </c:pt>
                <c:pt idx="16">
                  <c:v>52583.379423104001</c:v>
                </c:pt>
                <c:pt idx="17">
                  <c:v>37544.289054000001</c:v>
                </c:pt>
                <c:pt idx="18">
                  <c:v>24331.970261869999</c:v>
                </c:pt>
                <c:pt idx="19">
                  <c:v>30096.617055399998</c:v>
                </c:pt>
                <c:pt idx="20">
                  <c:v>24824.037418519998</c:v>
                </c:pt>
                <c:pt idx="21">
                  <c:v>16783.626803578998</c:v>
                </c:pt>
                <c:pt idx="22">
                  <c:v>21823.290964529999</c:v>
                </c:pt>
                <c:pt idx="23">
                  <c:v>16216.825045940004</c:v>
                </c:pt>
                <c:pt idx="24">
                  <c:v>6700.5271980200014</c:v>
                </c:pt>
                <c:pt idx="25">
                  <c:v>28399.896226199999</c:v>
                </c:pt>
                <c:pt idx="26">
                  <c:v>8693.0971095999994</c:v>
                </c:pt>
                <c:pt idx="27">
                  <c:v>11646.530760946</c:v>
                </c:pt>
                <c:pt idx="28">
                  <c:v>7655.2928526200003</c:v>
                </c:pt>
                <c:pt idx="29">
                  <c:v>14094.891741399999</c:v>
                </c:pt>
                <c:pt idx="30">
                  <c:v>18488.1382916</c:v>
                </c:pt>
                <c:pt idx="31">
                  <c:v>14023.49383575</c:v>
                </c:pt>
              </c:numCache>
            </c:numRef>
          </c:yVal>
          <c:smooth val="0"/>
          <c:extLst>
            <c:ext xmlns:c16="http://schemas.microsoft.com/office/drawing/2014/chart" uri="{C3380CC4-5D6E-409C-BE32-E72D297353CC}">
              <c16:uniqueId val="{00000000-B83A-4CDB-845B-FF94A5687856}"/>
            </c:ext>
          </c:extLst>
        </c:ser>
        <c:ser>
          <c:idx val="1"/>
          <c:order val="1"/>
          <c:tx>
            <c:strRef>
              <c:f>'Deepwater Complex'!$M$3</c:f>
              <c:strCache>
                <c:ptCount val="1"/>
                <c:pt idx="0">
                  <c:v>Yellowedge Grouper</c:v>
                </c:pt>
              </c:strCache>
            </c:strRef>
          </c:tx>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Complex'!$M$5:$M$36</c:f>
              <c:numCache>
                <c:formatCode>#,##0</c:formatCode>
                <c:ptCount val="32"/>
                <c:pt idx="0">
                  <c:v>35314.695500000002</c:v>
                </c:pt>
                <c:pt idx="1">
                  <c:v>28643.654450000002</c:v>
                </c:pt>
                <c:pt idx="2">
                  <c:v>40941.063478199998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37891.096014800001</c:v>
                </c:pt>
                <c:pt idx="12">
                  <c:v>33450.454932000001</c:v>
                </c:pt>
                <c:pt idx="13">
                  <c:v>30774</c:v>
                </c:pt>
                <c:pt idx="14">
                  <c:v>46696.116684120003</c:v>
                </c:pt>
                <c:pt idx="15">
                  <c:v>45561.268068862999</c:v>
                </c:pt>
                <c:pt idx="16">
                  <c:v>29694.086768000001</c:v>
                </c:pt>
                <c:pt idx="17">
                  <c:v>20013.283451191</c:v>
                </c:pt>
                <c:pt idx="18">
                  <c:v>37465.001446000002</c:v>
                </c:pt>
                <c:pt idx="19">
                  <c:v>102505.84473949998</c:v>
                </c:pt>
                <c:pt idx="20">
                  <c:v>13748.439504</c:v>
                </c:pt>
                <c:pt idx="21">
                  <c:v>20596</c:v>
                </c:pt>
                <c:pt idx="22">
                  <c:v>22692.7089973</c:v>
                </c:pt>
                <c:pt idx="23">
                  <c:v>28015.531944580001</c:v>
                </c:pt>
                <c:pt idx="24">
                  <c:v>30829.372140660002</c:v>
                </c:pt>
                <c:pt idx="25">
                  <c:v>2269.8236975999998</c:v>
                </c:pt>
                <c:pt idx="26">
                  <c:v>4127.9118488000004</c:v>
                </c:pt>
                <c:pt idx="27">
                  <c:v>21665.74691781</c:v>
                </c:pt>
                <c:pt idx="28">
                  <c:v>41808.791517897997</c:v>
                </c:pt>
                <c:pt idx="29">
                  <c:v>61482.393155999998</c:v>
                </c:pt>
                <c:pt idx="30">
                  <c:v>26193.90588292</c:v>
                </c:pt>
                <c:pt idx="31">
                  <c:v>35939.779148699999</c:v>
                </c:pt>
              </c:numCache>
            </c:numRef>
          </c:yVal>
          <c:smooth val="0"/>
          <c:extLst>
            <c:ext xmlns:c16="http://schemas.microsoft.com/office/drawing/2014/chart" uri="{C3380CC4-5D6E-409C-BE32-E72D297353CC}">
              <c16:uniqueId val="{00000001-B83A-4CDB-845B-FF94A5687856}"/>
            </c:ext>
          </c:extLst>
        </c:ser>
        <c:ser>
          <c:idx val="2"/>
          <c:order val="2"/>
          <c:tx>
            <c:strRef>
              <c:f>'Deepwater Complex'!$N$3</c:f>
              <c:strCache>
                <c:ptCount val="1"/>
                <c:pt idx="0">
                  <c:v>Misty Grouper</c:v>
                </c:pt>
              </c:strCache>
            </c:strRef>
          </c:tx>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Complex'!$N$5:$N$36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c:ext xmlns:c16="http://schemas.microsoft.com/office/drawing/2014/chart" uri="{C3380CC4-5D6E-409C-BE32-E72D297353CC}">
              <c16:uniqueId val="{00000002-B83A-4CDB-845B-FF94A5687856}"/>
            </c:ext>
          </c:extLst>
        </c:ser>
        <c:ser>
          <c:idx val="3"/>
          <c:order val="3"/>
          <c:tx>
            <c:strRef>
              <c:f>'Deepwater Complex'!$O$3</c:f>
              <c:strCache>
                <c:ptCount val="1"/>
                <c:pt idx="0">
                  <c:v>Queen Snapper</c:v>
                </c:pt>
              </c:strCache>
            </c:strRef>
          </c:tx>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Complex'!$O$5:$O$36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3-B83A-4CDB-845B-FF94A5687856}"/>
            </c:ext>
          </c:extLst>
        </c:ser>
        <c:ser>
          <c:idx val="4"/>
          <c:order val="4"/>
          <c:tx>
            <c:strRef>
              <c:f>'Deepwater Complex'!$P$3</c:f>
              <c:strCache>
                <c:ptCount val="1"/>
                <c:pt idx="0">
                  <c:v>Sand Tilefish</c:v>
                </c:pt>
              </c:strCache>
            </c:strRef>
          </c:tx>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Complex'!$P$5:$P$36</c:f>
              <c:numCache>
                <c:formatCode>#,##0</c:formatCode>
                <c:ptCount val="32"/>
                <c:pt idx="0">
                  <c:v>5940.9856295999962</c:v>
                </c:pt>
                <c:pt idx="1">
                  <c:v>7185.73859292</c:v>
                </c:pt>
                <c:pt idx="2">
                  <c:v>2815.0203766099999</c:v>
                </c:pt>
                <c:pt idx="3">
                  <c:v>3560.0043559999995</c:v>
                </c:pt>
                <c:pt idx="4">
                  <c:v>2715.5638226100004</c:v>
                </c:pt>
                <c:pt idx="5">
                  <c:v>6245.2056275400018</c:v>
                </c:pt>
                <c:pt idx="6">
                  <c:v>3018.9008568299996</c:v>
                </c:pt>
                <c:pt idx="7">
                  <c:v>6044.4684430000016</c:v>
                </c:pt>
                <c:pt idx="8">
                  <c:v>4714.831292247999</c:v>
                </c:pt>
                <c:pt idx="9">
                  <c:v>18258.589671334001</c:v>
                </c:pt>
                <c:pt idx="10">
                  <c:v>5376.3406238100006</c:v>
                </c:pt>
                <c:pt idx="11">
                  <c:v>7223.5867951000037</c:v>
                </c:pt>
                <c:pt idx="12">
                  <c:v>14231.021018254003</c:v>
                </c:pt>
                <c:pt idx="13">
                  <c:v>4498.8083541200003</c:v>
                </c:pt>
                <c:pt idx="14">
                  <c:v>12621.930385499998</c:v>
                </c:pt>
                <c:pt idx="15">
                  <c:v>12212.735201092999</c:v>
                </c:pt>
                <c:pt idx="16">
                  <c:v>9631.4954430459984</c:v>
                </c:pt>
                <c:pt idx="17">
                  <c:v>16019.679306772799</c:v>
                </c:pt>
                <c:pt idx="18">
                  <c:v>14077.532333695999</c:v>
                </c:pt>
                <c:pt idx="19">
                  <c:v>8626.7345168371994</c:v>
                </c:pt>
                <c:pt idx="20">
                  <c:v>4698.1649261599996</c:v>
                </c:pt>
                <c:pt idx="21">
                  <c:v>3409.1398969800002</c:v>
                </c:pt>
                <c:pt idx="22">
                  <c:v>19391.819420559015</c:v>
                </c:pt>
                <c:pt idx="23">
                  <c:v>35816.860461719974</c:v>
                </c:pt>
                <c:pt idx="24">
                  <c:v>2082.5001520210003</c:v>
                </c:pt>
                <c:pt idx="25">
                  <c:v>6145.719333062998</c:v>
                </c:pt>
                <c:pt idx="26">
                  <c:v>5772.4292211999982</c:v>
                </c:pt>
                <c:pt idx="27">
                  <c:v>13947.687583550003</c:v>
                </c:pt>
                <c:pt idx="28">
                  <c:v>14564.870020279397</c:v>
                </c:pt>
                <c:pt idx="29">
                  <c:v>12595.988831369999</c:v>
                </c:pt>
                <c:pt idx="30">
                  <c:v>5579.7116833216996</c:v>
                </c:pt>
                <c:pt idx="31">
                  <c:v>6070.8319395250001</c:v>
                </c:pt>
              </c:numCache>
            </c:numRef>
          </c:yVal>
          <c:smooth val="0"/>
          <c:extLst>
            <c:ext xmlns:c16="http://schemas.microsoft.com/office/drawing/2014/chart" uri="{C3380CC4-5D6E-409C-BE32-E72D297353CC}">
              <c16:uniqueId val="{00000004-B83A-4CDB-845B-FF94A5687856}"/>
            </c:ext>
          </c:extLst>
        </c:ser>
        <c:ser>
          <c:idx val="6"/>
          <c:order val="5"/>
          <c:tx>
            <c:strRef>
              <c:f>'Deepwater Complex'!$Q$3</c:f>
              <c:strCache>
                <c:ptCount val="1"/>
                <c:pt idx="0">
                  <c:v>Blackfin Snapper</c:v>
                </c:pt>
              </c:strCache>
            </c:strRef>
          </c:tx>
          <c:spPr>
            <a:ln>
              <a:solidFill>
                <a:schemeClr val="accent6"/>
              </a:solidFill>
            </a:ln>
          </c:spPr>
          <c:marker>
            <c:symbol val="circle"/>
            <c:size val="6"/>
            <c:spPr>
              <a:solidFill>
                <a:schemeClr val="accent6"/>
              </a:solidFill>
              <a:ln>
                <a:solidFill>
                  <a:schemeClr val="accent6"/>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Complex'!$Q$5:$Q$36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11773.695949230001</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5-B83A-4CDB-845B-FF94A5687856}"/>
            </c:ext>
          </c:extLst>
        </c:ser>
        <c:ser>
          <c:idx val="7"/>
          <c:order val="6"/>
          <c:tx>
            <c:strRef>
              <c:f>'Deepwater Complex'!$R$4</c:f>
              <c:strCache>
                <c:ptCount val="1"/>
                <c:pt idx="0">
                  <c:v>Total</c:v>
                </c:pt>
              </c:strCache>
            </c:strRef>
          </c:tx>
          <c:spPr>
            <a:ln>
              <a:solidFill>
                <a:schemeClr val="tx2"/>
              </a:solidFill>
            </a:ln>
          </c:spPr>
          <c:marker>
            <c:symbol val="star"/>
            <c:size val="7"/>
            <c:spPr>
              <a:ln>
                <a:solidFill>
                  <a:srgbClr val="FF0000"/>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Complex'!$R$5:$R$36</c:f>
              <c:numCache>
                <c:formatCode>#,##0</c:formatCode>
                <c:ptCount val="32"/>
                <c:pt idx="0">
                  <c:v>81569.70996919999</c:v>
                </c:pt>
                <c:pt idx="1">
                  <c:v>156511.91988626003</c:v>
                </c:pt>
                <c:pt idx="2">
                  <c:v>75338.444123589987</c:v>
                </c:pt>
                <c:pt idx="3">
                  <c:v>56837.360173949994</c:v>
                </c:pt>
                <c:pt idx="4">
                  <c:v>57762.705448610002</c:v>
                </c:pt>
                <c:pt idx="5">
                  <c:v>58824.415800040006</c:v>
                </c:pt>
                <c:pt idx="6">
                  <c:v>58690.392118830001</c:v>
                </c:pt>
                <c:pt idx="7">
                  <c:v>63117.704968930018</c:v>
                </c:pt>
                <c:pt idx="8">
                  <c:v>52978.243517417992</c:v>
                </c:pt>
                <c:pt idx="9">
                  <c:v>126300.777547914</c:v>
                </c:pt>
                <c:pt idx="10">
                  <c:v>133527.56823969001</c:v>
                </c:pt>
                <c:pt idx="11">
                  <c:v>134057.684209164</c:v>
                </c:pt>
                <c:pt idx="12">
                  <c:v>120029.83581865401</c:v>
                </c:pt>
                <c:pt idx="13">
                  <c:v>66297.480158166712</c:v>
                </c:pt>
                <c:pt idx="14">
                  <c:v>164243.278374402</c:v>
                </c:pt>
                <c:pt idx="15">
                  <c:v>116669.0658412192</c:v>
                </c:pt>
                <c:pt idx="16">
                  <c:v>105192.30877417001</c:v>
                </c:pt>
                <c:pt idx="17">
                  <c:v>81512.888001963802</c:v>
                </c:pt>
                <c:pt idx="18">
                  <c:v>84948.087098426011</c:v>
                </c:pt>
                <c:pt idx="19">
                  <c:v>152630.8537405972</c:v>
                </c:pt>
                <c:pt idx="20">
                  <c:v>49614.155281579995</c:v>
                </c:pt>
                <c:pt idx="21">
                  <c:v>63894.296876988999</c:v>
                </c:pt>
                <c:pt idx="22">
                  <c:v>70759.725039731013</c:v>
                </c:pt>
                <c:pt idx="23">
                  <c:v>84987.818319839978</c:v>
                </c:pt>
                <c:pt idx="24">
                  <c:v>46765.350829602998</c:v>
                </c:pt>
                <c:pt idx="25">
                  <c:v>77179.897472262994</c:v>
                </c:pt>
                <c:pt idx="26">
                  <c:v>21475.928936959997</c:v>
                </c:pt>
                <c:pt idx="27">
                  <c:v>49967.706030617002</c:v>
                </c:pt>
                <c:pt idx="28">
                  <c:v>72318.315083189402</c:v>
                </c:pt>
                <c:pt idx="29">
                  <c:v>97161.322255370003</c:v>
                </c:pt>
                <c:pt idx="30">
                  <c:v>63853.056121041707</c:v>
                </c:pt>
                <c:pt idx="31">
                  <c:v>64198.958317024997</c:v>
                </c:pt>
              </c:numCache>
            </c:numRef>
          </c:yVal>
          <c:smooth val="0"/>
          <c:extLst>
            <c:ext xmlns:c16="http://schemas.microsoft.com/office/drawing/2014/chart" uri="{C3380CC4-5D6E-409C-BE32-E72D297353CC}">
              <c16:uniqueId val="{00000006-B83A-4CDB-845B-FF94A5687856}"/>
            </c:ext>
          </c:extLst>
        </c:ser>
        <c:ser>
          <c:idx val="9"/>
          <c:order val="7"/>
          <c:tx>
            <c:strRef>
              <c:f>'Deepwater Complex'!$S$4</c:f>
              <c:strCache>
                <c:ptCount val="1"/>
                <c:pt idx="0">
                  <c:v>Orig FES ABC/ACL</c:v>
                </c:pt>
              </c:strCache>
            </c:strRef>
          </c:tx>
          <c:spPr>
            <a:ln w="38100">
              <a:solidFill>
                <a:schemeClr val="tx1"/>
              </a:solidFill>
            </a:ln>
          </c:spPr>
          <c:marker>
            <c:symbol val="none"/>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Complex'!$S$5:$S$36</c:f>
              <c:numCache>
                <c:formatCode>#,##0</c:formatCode>
                <c:ptCount val="32"/>
                <c:pt idx="26">
                  <c:v>116518.888726363</c:v>
                </c:pt>
                <c:pt idx="27">
                  <c:v>116518.888726363</c:v>
                </c:pt>
                <c:pt idx="28">
                  <c:v>116518.888726363</c:v>
                </c:pt>
                <c:pt idx="29">
                  <c:v>242826.81406251519</c:v>
                </c:pt>
                <c:pt idx="30">
                  <c:v>242826.81406251519</c:v>
                </c:pt>
                <c:pt idx="31">
                  <c:v>242826.81406251519</c:v>
                </c:pt>
              </c:numCache>
            </c:numRef>
          </c:yVal>
          <c:smooth val="0"/>
          <c:extLst>
            <c:ext xmlns:c16="http://schemas.microsoft.com/office/drawing/2014/chart" uri="{C3380CC4-5D6E-409C-BE32-E72D297353CC}">
              <c16:uniqueId val="{00000007-B83A-4CDB-845B-FF94A5687856}"/>
            </c:ext>
          </c:extLst>
        </c:ser>
        <c:dLbls>
          <c:showLegendKey val="0"/>
          <c:showVal val="0"/>
          <c:showCatName val="0"/>
          <c:showSerName val="0"/>
          <c:showPercent val="0"/>
          <c:showBubbleSize val="0"/>
        </c:dLbls>
        <c:axId val="341787776"/>
        <c:axId val="341788352"/>
      </c:scatterChart>
      <c:valAx>
        <c:axId val="341787776"/>
        <c:scaling>
          <c:orientation val="minMax"/>
          <c:max val="2016"/>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1788352"/>
        <c:crosses val="autoZero"/>
        <c:crossBetween val="midCat"/>
      </c:valAx>
      <c:valAx>
        <c:axId val="341788352"/>
        <c:scaling>
          <c:orientation val="minMax"/>
          <c:max val="25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178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Yellowedge Grouper</a:t>
            </a:r>
          </a:p>
        </c:rich>
      </c:tx>
      <c:overlay val="0"/>
      <c:spPr>
        <a:noFill/>
      </c:spPr>
    </c:title>
    <c:autoTitleDeleted val="0"/>
    <c:plotArea>
      <c:layout/>
      <c:scatterChart>
        <c:scatterStyle val="lineMarker"/>
        <c:varyColors val="0"/>
        <c:ser>
          <c:idx val="4"/>
          <c:order val="1"/>
          <c:tx>
            <c:strRef>
              <c:f>'Deepwater Complex'!$AF$3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Complex'!$AF$4:$AF$35</c:f>
              <c:numCache>
                <c:formatCode>#,##0</c:formatCode>
                <c:ptCount val="32"/>
                <c:pt idx="0">
                  <c:v>93.695499999999996</c:v>
                </c:pt>
                <c:pt idx="1">
                  <c:v>960.65445</c:v>
                </c:pt>
                <c:pt idx="2">
                  <c:v>20398.194554199999</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1315.3986783999999</c:v>
                </c:pt>
                <c:pt idx="12">
                  <c:v>254.45493199999999</c:v>
                </c:pt>
                <c:pt idx="14">
                  <c:v>919.79235186000005</c:v>
                </c:pt>
                <c:pt idx="15">
                  <c:v>7704.0022565910003</c:v>
                </c:pt>
                <c:pt idx="16">
                  <c:v>53.086767999999999</c:v>
                </c:pt>
                <c:pt idx="17">
                  <c:v>166.92074897999998</c:v>
                </c:pt>
                <c:pt idx="18">
                  <c:v>86.001446000000016</c:v>
                </c:pt>
                <c:pt idx="19">
                  <c:v>84863.556095940003</c:v>
                </c:pt>
                <c:pt idx="20">
                  <c:v>53.439503999999999</c:v>
                </c:pt>
                <c:pt idx="22">
                  <c:v>566.59013062999998</c:v>
                </c:pt>
                <c:pt idx="23">
                  <c:v>468.59243647</c:v>
                </c:pt>
                <c:pt idx="24">
                  <c:v>5826.5548224499998</c:v>
                </c:pt>
                <c:pt idx="25">
                  <c:v>9.8236975999999991</c:v>
                </c:pt>
                <c:pt idx="26">
                  <c:v>4.9118487999999996</c:v>
                </c:pt>
                <c:pt idx="27">
                  <c:v>1824.5455247899999</c:v>
                </c:pt>
                <c:pt idx="28">
                  <c:v>3365.8613252390005</c:v>
                </c:pt>
                <c:pt idx="29">
                  <c:v>2906.0412832000002</c:v>
                </c:pt>
                <c:pt idx="30">
                  <c:v>2075.0387735900003</c:v>
                </c:pt>
                <c:pt idx="31">
                  <c:v>6720.6421301</c:v>
                </c:pt>
              </c:numCache>
            </c:numRef>
          </c:yVal>
          <c:smooth val="0"/>
          <c:extLst>
            <c:ext xmlns:c16="http://schemas.microsoft.com/office/drawing/2014/chart" uri="{C3380CC4-5D6E-409C-BE32-E72D297353CC}">
              <c16:uniqueId val="{00000004-1450-4BFE-97DC-3D97AA6B2DB0}"/>
            </c:ext>
          </c:extLst>
        </c:ser>
        <c:ser>
          <c:idx val="5"/>
          <c:order val="3"/>
          <c:tx>
            <c:strRef>
              <c:f>'Deepwater Complex'!$AO$3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Complex'!$AO$4:$AO$35</c:f>
              <c:numCache>
                <c:formatCode>#,##0</c:formatCode>
                <c:ptCount val="32"/>
                <c:pt idx="0">
                  <c:v>93.695499999999996</c:v>
                </c:pt>
                <c:pt idx="1">
                  <c:v>960.65445</c:v>
                </c:pt>
                <c:pt idx="2">
                  <c:v>22379.063478199998</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1441.0960148000001</c:v>
                </c:pt>
                <c:pt idx="12">
                  <c:v>254.45493199999999</c:v>
                </c:pt>
                <c:pt idx="13">
                  <c:v>0</c:v>
                </c:pt>
                <c:pt idx="14">
                  <c:v>991.11668411999972</c:v>
                </c:pt>
                <c:pt idx="15">
                  <c:v>8449.2680688629989</c:v>
                </c:pt>
                <c:pt idx="16">
                  <c:v>53.086767999999999</c:v>
                </c:pt>
                <c:pt idx="17">
                  <c:v>172.28345119099998</c:v>
                </c:pt>
                <c:pt idx="18">
                  <c:v>86.001446000000016</c:v>
                </c:pt>
                <c:pt idx="19">
                  <c:v>93112.844739499982</c:v>
                </c:pt>
                <c:pt idx="20">
                  <c:v>53.439503999999999</c:v>
                </c:pt>
                <c:pt idx="21">
                  <c:v>0</c:v>
                </c:pt>
                <c:pt idx="22">
                  <c:v>621.70899729999996</c:v>
                </c:pt>
                <c:pt idx="23">
                  <c:v>506.53194458000002</c:v>
                </c:pt>
                <c:pt idx="24">
                  <c:v>6393.3721406600007</c:v>
                </c:pt>
                <c:pt idx="25">
                  <c:v>9.8236975999999991</c:v>
                </c:pt>
                <c:pt idx="26">
                  <c:v>4.9118487999999996</c:v>
                </c:pt>
                <c:pt idx="27">
                  <c:v>1900.7469178099998</c:v>
                </c:pt>
                <c:pt idx="28">
                  <c:v>3389.7915178979997</c:v>
                </c:pt>
                <c:pt idx="29">
                  <c:v>3015.3931560000001</c:v>
                </c:pt>
                <c:pt idx="30">
                  <c:v>2109.9058829200003</c:v>
                </c:pt>
                <c:pt idx="31">
                  <c:v>7253.7791486999995</c:v>
                </c:pt>
              </c:numCache>
            </c:numRef>
          </c:yVal>
          <c:smooth val="0"/>
          <c:extLst>
            <c:ext xmlns:c16="http://schemas.microsoft.com/office/drawing/2014/chart" uri="{C3380CC4-5D6E-409C-BE32-E72D297353CC}">
              <c16:uniqueId val="{00000005-1450-4BFE-97DC-3D97AA6B2DB0}"/>
            </c:ext>
          </c:extLst>
        </c:ser>
        <c:ser>
          <c:idx val="6"/>
          <c:order val="6"/>
          <c:tx>
            <c:strRef>
              <c:f>'Deepwater Complex'!$AA$109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Complex'!$U$110:$U$141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Complex'!$AA$110:$AA$141</c:f>
              <c:numCache>
                <c:formatCode>#,##0</c:formatCode>
                <c:ptCount val="32"/>
                <c:pt idx="0">
                  <c:v>93.695499999999996</c:v>
                </c:pt>
                <c:pt idx="1">
                  <c:v>960.65445</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252.56579519887896</c:v>
                </c:pt>
                <c:pt idx="12">
                  <c:v>254.45493199999999</c:v>
                </c:pt>
                <c:pt idx="13">
                  <c:v>0</c:v>
                </c:pt>
                <c:pt idx="14">
                  <c:v>470.85196013185652</c:v>
                </c:pt>
                <c:pt idx="15">
                  <c:v>2803.1943884823613</c:v>
                </c:pt>
                <c:pt idx="16">
                  <c:v>53.086767999999999</c:v>
                </c:pt>
                <c:pt idx="17">
                  <c:v>131.67120600874603</c:v>
                </c:pt>
                <c:pt idx="18">
                  <c:v>86.001446000000016</c:v>
                </c:pt>
                <c:pt idx="19">
                  <c:v>55154.591363892425</c:v>
                </c:pt>
                <c:pt idx="20">
                  <c:v>53.439503999999999</c:v>
                </c:pt>
                <c:pt idx="21">
                  <c:v>0</c:v>
                </c:pt>
                <c:pt idx="22">
                  <c:v>171.91126813508794</c:v>
                </c:pt>
                <c:pt idx="23">
                  <c:v>1132.8110973116707</c:v>
                </c:pt>
                <c:pt idx="24">
                  <c:v>4208.5589009986652</c:v>
                </c:pt>
                <c:pt idx="25">
                  <c:v>9.8236975999999991</c:v>
                </c:pt>
                <c:pt idx="26">
                  <c:v>4.9118487999999996</c:v>
                </c:pt>
                <c:pt idx="27">
                  <c:v>2147.3856110274328</c:v>
                </c:pt>
                <c:pt idx="28">
                  <c:v>3324.5090240528725</c:v>
                </c:pt>
                <c:pt idx="29">
                  <c:v>3409.7516553703481</c:v>
                </c:pt>
                <c:pt idx="30">
                  <c:v>1929.1773050038641</c:v>
                </c:pt>
                <c:pt idx="31">
                  <c:v>4263.5941770736763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363D-4DFD-8C18-A5D3EE12AA74}"/>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Complex'!$C$4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Complex'!$C$5:$C$36</c15:sqref>
                        </c15:formulaRef>
                      </c:ext>
                    </c:extLst>
                    <c:numCache>
                      <c:formatCode>#,##0</c:formatCode>
                      <c:ptCount val="32"/>
                      <c:pt idx="0">
                        <c:v>35314.695500000002</c:v>
                      </c:pt>
                      <c:pt idx="1">
                        <c:v>28643.654450000002</c:v>
                      </c:pt>
                      <c:pt idx="2">
                        <c:v>38960.194554200003</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37765.398678400001</c:v>
                      </c:pt>
                      <c:pt idx="12">
                        <c:v>33450.454932000001</c:v>
                      </c:pt>
                      <c:pt idx="13">
                        <c:v>30774</c:v>
                      </c:pt>
                      <c:pt idx="14">
                        <c:v>46624.79235186</c:v>
                      </c:pt>
                      <c:pt idx="15">
                        <c:v>44816.002256591004</c:v>
                      </c:pt>
                      <c:pt idx="16">
                        <c:v>29694.086768000001</c:v>
                      </c:pt>
                      <c:pt idx="17">
                        <c:v>20007.920748979999</c:v>
                      </c:pt>
                      <c:pt idx="18">
                        <c:v>37465.001446000002</c:v>
                      </c:pt>
                      <c:pt idx="19">
                        <c:v>94256.556095940003</c:v>
                      </c:pt>
                      <c:pt idx="20">
                        <c:v>13748.439504</c:v>
                      </c:pt>
                      <c:pt idx="21">
                        <c:v>20596</c:v>
                      </c:pt>
                      <c:pt idx="22">
                        <c:v>22637.59013063</c:v>
                      </c:pt>
                      <c:pt idx="23">
                        <c:v>27977.59243647</c:v>
                      </c:pt>
                      <c:pt idx="24">
                        <c:v>30262.554822450002</c:v>
                      </c:pt>
                      <c:pt idx="25">
                        <c:v>2269.8236975999998</c:v>
                      </c:pt>
                      <c:pt idx="26">
                        <c:v>4127.9118488000004</c:v>
                      </c:pt>
                      <c:pt idx="27">
                        <c:v>21589.545524789999</c:v>
                      </c:pt>
                      <c:pt idx="28">
                        <c:v>41784.861325238999</c:v>
                      </c:pt>
                      <c:pt idx="29">
                        <c:v>61373.0412832</c:v>
                      </c:pt>
                      <c:pt idx="30">
                        <c:v>26159.03877359</c:v>
                      </c:pt>
                      <c:pt idx="31">
                        <c:v>35406.642130100001</c:v>
                      </c:pt>
                    </c:numCache>
                  </c:numRef>
                </c:yVal>
                <c:smooth val="0"/>
                <c:extLst>
                  <c:ext xmlns:c16="http://schemas.microsoft.com/office/drawing/2014/chart" uri="{C3380CC4-5D6E-409C-BE32-E72D297353CC}">
                    <c16:uniqueId val="{00000000-1450-4BFE-97DC-3D97AA6B2DB0}"/>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Complex'!$M$4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Complex'!$M$5:$M$36</c15:sqref>
                        </c15:formulaRef>
                      </c:ext>
                    </c:extLst>
                    <c:numCache>
                      <c:formatCode>#,##0</c:formatCode>
                      <c:ptCount val="32"/>
                      <c:pt idx="0">
                        <c:v>35314.695500000002</c:v>
                      </c:pt>
                      <c:pt idx="1">
                        <c:v>28643.654450000002</c:v>
                      </c:pt>
                      <c:pt idx="2">
                        <c:v>40941.063478199998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37891.096014800001</c:v>
                      </c:pt>
                      <c:pt idx="12">
                        <c:v>33450.454932000001</c:v>
                      </c:pt>
                      <c:pt idx="13">
                        <c:v>30774</c:v>
                      </c:pt>
                      <c:pt idx="14">
                        <c:v>46696.116684120003</c:v>
                      </c:pt>
                      <c:pt idx="15">
                        <c:v>45561.268068862999</c:v>
                      </c:pt>
                      <c:pt idx="16">
                        <c:v>29694.086768000001</c:v>
                      </c:pt>
                      <c:pt idx="17">
                        <c:v>20013.283451191</c:v>
                      </c:pt>
                      <c:pt idx="18">
                        <c:v>37465.001446000002</c:v>
                      </c:pt>
                      <c:pt idx="19">
                        <c:v>102505.84473949998</c:v>
                      </c:pt>
                      <c:pt idx="20">
                        <c:v>13748.439504</c:v>
                      </c:pt>
                      <c:pt idx="21">
                        <c:v>20596</c:v>
                      </c:pt>
                      <c:pt idx="22">
                        <c:v>22692.7089973</c:v>
                      </c:pt>
                      <c:pt idx="23">
                        <c:v>28015.531944580001</c:v>
                      </c:pt>
                      <c:pt idx="24">
                        <c:v>30829.372140660002</c:v>
                      </c:pt>
                      <c:pt idx="25">
                        <c:v>2269.8236975999998</c:v>
                      </c:pt>
                      <c:pt idx="26">
                        <c:v>4127.9118488000004</c:v>
                      </c:pt>
                      <c:pt idx="27">
                        <c:v>21665.74691781</c:v>
                      </c:pt>
                      <c:pt idx="28">
                        <c:v>41808.791517897997</c:v>
                      </c:pt>
                      <c:pt idx="29">
                        <c:v>61482.393155999998</c:v>
                      </c:pt>
                      <c:pt idx="30">
                        <c:v>26193.90588292</c:v>
                      </c:pt>
                      <c:pt idx="31">
                        <c:v>35939.779148699999</c:v>
                      </c:pt>
                    </c:numCache>
                  </c:numRef>
                </c:yVal>
                <c:smooth val="0"/>
                <c:extLst xmlns:c15="http://schemas.microsoft.com/office/drawing/2012/chart">
                  <c:ext xmlns:c16="http://schemas.microsoft.com/office/drawing/2014/chart" uri="{C3380CC4-5D6E-409C-BE32-E72D297353CC}">
                    <c16:uniqueId val="{00000001-1450-4BFE-97DC-3D97AA6B2DB0}"/>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'Deepwater Complex'!$C$43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Complex'!$C$44:$C$49</c15:sqref>
                        </c15:formulaRef>
                      </c:ext>
                    </c:extLst>
                    <c:numCache>
                      <c:formatCode>#,##0</c:formatCode>
                      <c:ptCount val="6"/>
                      <c:pt idx="0">
                        <c:v>44816.002256591004</c:v>
                      </c:pt>
                      <c:pt idx="1">
                        <c:v>44816.002256591004</c:v>
                      </c:pt>
                      <c:pt idx="2">
                        <c:v>44816.002256591004</c:v>
                      </c:pt>
                      <c:pt idx="3">
                        <c:v>113107.86731512801</c:v>
                      </c:pt>
                      <c:pt idx="4">
                        <c:v>113107.86731512801</c:v>
                      </c:pt>
                      <c:pt idx="5">
                        <c:v>113107.86731512801</c:v>
                      </c:pt>
                    </c:numCache>
                  </c:numRef>
                </c:yVal>
                <c:smooth val="0"/>
                <c:extLst xmlns:c15="http://schemas.microsoft.com/office/drawing/2012/chart">
                  <c:ext xmlns:c16="http://schemas.microsoft.com/office/drawing/2014/chart" uri="{C3380CC4-5D6E-409C-BE32-E72D297353CC}">
                    <c16:uniqueId val="{00000002-1450-4BFE-97DC-3D97AA6B2DB0}"/>
                  </c:ext>
                </c:extLst>
              </c15:ser>
            </c15:filteredScatterSeries>
            <c15:filteredScatterSeries>
              <c15:ser>
                <c:idx val="2"/>
                <c:order val="5"/>
                <c:tx>
                  <c:strRef>
                    <c:extLst xmlns:c15="http://schemas.microsoft.com/office/drawing/2012/chart">
                      <c:ext xmlns:c15="http://schemas.microsoft.com/office/drawing/2012/chart" uri="{02D57815-91ED-43cb-92C2-25804820EDAC}">
                        <c15:formulaRef>
                          <c15:sqref>'Deepwater Complex'!$M$43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Complex'!$M$44:$M$49</c15:sqref>
                        </c15:formulaRef>
                      </c:ext>
                    </c:extLst>
                    <c:numCache>
                      <c:formatCode>#,##0</c:formatCode>
                      <c:ptCount val="6"/>
                      <c:pt idx="0">
                        <c:v>45561.268068862999</c:v>
                      </c:pt>
                      <c:pt idx="1">
                        <c:v>45561.268068862999</c:v>
                      </c:pt>
                      <c:pt idx="2">
                        <c:v>45561.268068862999</c:v>
                      </c:pt>
                      <c:pt idx="3">
                        <c:v>123007.01368739999</c:v>
                      </c:pt>
                      <c:pt idx="4">
                        <c:v>123007.01368739999</c:v>
                      </c:pt>
                      <c:pt idx="5">
                        <c:v>123007.01368739999</c:v>
                      </c:pt>
                    </c:numCache>
                  </c:numRef>
                </c:yVal>
                <c:smooth val="0"/>
                <c:extLst xmlns:c15="http://schemas.microsoft.com/office/drawing/2012/chart">
                  <c:ext xmlns:c16="http://schemas.microsoft.com/office/drawing/2014/chart" uri="{C3380CC4-5D6E-409C-BE32-E72D297353CC}">
                    <c16:uniqueId val="{00000003-1450-4BFE-97DC-3D97AA6B2DB0}"/>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1"/>
          <c:tx>
            <c:strRef>
              <c:f>'Deepwater Complex'!$AG$3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Complex'!$AG$4:$AG$35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4-0DB5-499D-A51B-B8123400C135}"/>
            </c:ext>
          </c:extLst>
        </c:ser>
        <c:ser>
          <c:idx val="5"/>
          <c:order val="3"/>
          <c:tx>
            <c:strRef>
              <c:f>'Deepwater Complex'!$AP$3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Complex'!$AP$4:$AP$35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c:ext xmlns:c16="http://schemas.microsoft.com/office/drawing/2014/chart" uri="{C3380CC4-5D6E-409C-BE32-E72D297353CC}">
              <c16:uniqueId val="{00000005-0DB5-499D-A51B-B8123400C135}"/>
            </c:ext>
          </c:extLst>
        </c:ser>
        <c:ser>
          <c:idx val="6"/>
          <c:order val="6"/>
          <c:tx>
            <c:strRef>
              <c:f>'Deepwater Complex'!$AL$109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Complex'!$AF$110:$AF$141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Complex'!$AL$110:$AL$141</c:f>
              <c:numCache>
                <c:formatCode>#,##0</c:formatCode>
                <c:ptCount val="32"/>
                <c:pt idx="0">
                  <c:v>8.8184000000000005</c:v>
                </c:pt>
                <c:pt idx="1">
                  <c:v>111379.29764559311</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80.144200794564085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C62E-4384-A43B-C0D1FAEC27D9}"/>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Complex'!$D$4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Complex'!$D$5:$D$36</c15:sqref>
                        </c15:formulaRef>
                      </c:ext>
                    </c:extLst>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0DB5-499D-A51B-B8123400C135}"/>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Complex'!$N$4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Complex'!$N$5:$N$36</c15:sqref>
                        </c15:formulaRef>
                      </c:ext>
                    </c:extLst>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xmlns:c15="http://schemas.microsoft.com/office/drawing/2012/chart">
                  <c:ext xmlns:c16="http://schemas.microsoft.com/office/drawing/2014/chart" uri="{C3380CC4-5D6E-409C-BE32-E72D297353CC}">
                    <c16:uniqueId val="{00000001-0DB5-499D-A51B-B8123400C135}"/>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'Deepwater Complex'!$D$43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Complex'!$D$44:$D$49</c15:sqref>
                        </c15:formulaRef>
                      </c:ext>
                    </c:extLst>
                    <c:numCache>
                      <c:formatCode>#,##0</c:formatCode>
                      <c:ptCount val="6"/>
                      <c:pt idx="0">
                        <c:v>2863</c:v>
                      </c:pt>
                      <c:pt idx="1">
                        <c:v>2863</c:v>
                      </c:pt>
                      <c:pt idx="2">
                        <c:v>2863</c:v>
                      </c:pt>
                      <c:pt idx="3">
                        <c:v>2863</c:v>
                      </c:pt>
                      <c:pt idx="4">
                        <c:v>2863</c:v>
                      </c:pt>
                      <c:pt idx="5">
                        <c:v>2863</c:v>
                      </c:pt>
                    </c:numCache>
                  </c:numRef>
                </c:yVal>
                <c:smooth val="0"/>
                <c:extLst xmlns:c15="http://schemas.microsoft.com/office/drawing/2012/chart">
                  <c:ext xmlns:c16="http://schemas.microsoft.com/office/drawing/2014/chart" uri="{C3380CC4-5D6E-409C-BE32-E72D297353CC}">
                    <c16:uniqueId val="{00000002-0DB5-499D-A51B-B8123400C135}"/>
                  </c:ext>
                </c:extLst>
              </c15:ser>
            </c15:filteredScatterSeries>
            <c15:filteredScatterSeries>
              <c15:ser>
                <c:idx val="2"/>
                <c:order val="5"/>
                <c:tx>
                  <c:strRef>
                    <c:extLst xmlns:c15="http://schemas.microsoft.com/office/drawing/2012/chart">
                      <c:ext xmlns:c15="http://schemas.microsoft.com/office/drawing/2012/chart" uri="{02D57815-91ED-43cb-92C2-25804820EDAC}">
                        <c15:formulaRef>
                          <c15:sqref>'Deepwater Complex'!$N$43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Complex'!$N$44:$N$49</c15:sqref>
                        </c15:formulaRef>
                      </c:ext>
                    </c:extLst>
                    <c:numCache>
                      <c:formatCode>#,##0</c:formatCode>
                      <c:ptCount val="6"/>
                      <c:pt idx="0">
                        <c:v>2863</c:v>
                      </c:pt>
                      <c:pt idx="1">
                        <c:v>2863</c:v>
                      </c:pt>
                      <c:pt idx="2">
                        <c:v>2863</c:v>
                      </c:pt>
                      <c:pt idx="3">
                        <c:v>2863</c:v>
                      </c:pt>
                      <c:pt idx="4">
                        <c:v>2863</c:v>
                      </c:pt>
                      <c:pt idx="5">
                        <c:v>2863</c:v>
                      </c:pt>
                    </c:numCache>
                  </c:numRef>
                </c:yVal>
                <c:smooth val="0"/>
                <c:extLst xmlns:c15="http://schemas.microsoft.com/office/drawing/2012/chart">
                  <c:ext xmlns:c16="http://schemas.microsoft.com/office/drawing/2014/chart" uri="{C3380CC4-5D6E-409C-BE32-E72D297353CC}">
                    <c16:uniqueId val="{00000003-0DB5-499D-A51B-B8123400C13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1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Queen Snapper</a:t>
            </a:r>
          </a:p>
        </c:rich>
      </c:tx>
      <c:overlay val="0"/>
      <c:spPr>
        <a:noFill/>
      </c:spPr>
    </c:title>
    <c:autoTitleDeleted val="0"/>
    <c:plotArea>
      <c:layout/>
      <c:scatterChart>
        <c:scatterStyle val="lineMarker"/>
        <c:varyColors val="0"/>
        <c:ser>
          <c:idx val="4"/>
          <c:order val="1"/>
          <c:tx>
            <c:strRef>
              <c:f>'Deepwater Complex'!$AH$3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Complex'!$AH$4:$AH$35</c:f>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1-5DD2-4D1F-A69A-35743F60515D}"/>
            </c:ext>
          </c:extLst>
        </c:ser>
        <c:ser>
          <c:idx val="5"/>
          <c:order val="3"/>
          <c:tx>
            <c:strRef>
              <c:f>'Deepwater Complex'!$AQ$3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Complex'!$AQ$4:$AQ$35</c:f>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3-5DD2-4D1F-A69A-35743F60515D}"/>
            </c:ext>
          </c:extLst>
        </c:ser>
        <c:ser>
          <c:idx val="6"/>
          <c:order val="6"/>
          <c:tx>
            <c:strRef>
              <c:f>'Deepwater Complex'!$P$146</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Complex'!$J$147:$J$178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Complex'!$P$147:$P$178</c:f>
              <c:numCache>
                <c:formatCode>#,##0</c:formatCode>
                <c:ptCount val="32"/>
                <c:pt idx="0">
                  <c:v>0</c:v>
                </c:pt>
                <c:pt idx="1">
                  <c:v>0</c:v>
                </c:pt>
                <c:pt idx="2">
                  <c:v>0</c:v>
                </c:pt>
                <c:pt idx="3">
                  <c:v>23308.863714352163</c:v>
                </c:pt>
                <c:pt idx="4">
                  <c:v>0</c:v>
                </c:pt>
                <c:pt idx="5">
                  <c:v>0</c:v>
                </c:pt>
                <c:pt idx="6">
                  <c:v>0.99207000000000001</c:v>
                </c:pt>
                <c:pt idx="7">
                  <c:v>1.499128</c:v>
                </c:pt>
                <c:pt idx="8">
                  <c:v>0</c:v>
                </c:pt>
                <c:pt idx="9">
                  <c:v>0</c:v>
                </c:pt>
                <c:pt idx="10">
                  <c:v>941.18952604956746</c:v>
                </c:pt>
                <c:pt idx="11">
                  <c:v>0</c:v>
                </c:pt>
                <c:pt idx="12">
                  <c:v>0</c:v>
                </c:pt>
                <c:pt idx="13">
                  <c:v>111.90333998166679</c:v>
                </c:pt>
                <c:pt idx="14">
                  <c:v>0</c:v>
                </c:pt>
                <c:pt idx="16">
                  <c:v>0</c:v>
                </c:pt>
                <c:pt idx="17">
                  <c:v>0</c:v>
                </c:pt>
                <c:pt idx="18">
                  <c:v>0</c:v>
                </c:pt>
                <c:pt idx="19">
                  <c:v>2681.8902132767357</c:v>
                </c:pt>
                <c:pt idx="20">
                  <c:v>0</c:v>
                </c:pt>
                <c:pt idx="21">
                  <c:v>0</c:v>
                </c:pt>
                <c:pt idx="22">
                  <c:v>0</c:v>
                </c:pt>
                <c:pt idx="23">
                  <c:v>0</c:v>
                </c:pt>
                <c:pt idx="24">
                  <c:v>4.6450072216966944</c:v>
                </c:pt>
                <c:pt idx="25">
                  <c:v>0</c:v>
                </c:pt>
                <c:pt idx="26">
                  <c:v>0</c:v>
                </c:pt>
                <c:pt idx="27">
                  <c:v>127.88223219999999</c:v>
                </c:pt>
                <c:pt idx="28">
                  <c:v>1068.2697944000001</c:v>
                </c:pt>
                <c:pt idx="29">
                  <c:v>3094.7359097999997</c:v>
                </c:pt>
                <c:pt idx="30">
                  <c:v>8023.3308514</c:v>
                </c:pt>
                <c:pt idx="31">
                  <c:v>4205.8895833999995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9B1A-496D-B38C-7A896818E84B}"/>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Complex'!$E$4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Complex'!$E$5:$E$36</c15:sqref>
                        </c15:formulaRef>
                      </c:ext>
                    </c:extLst>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0-5DD2-4D1F-A69A-35743F60515D}"/>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Complex'!$O$4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Complex'!$O$5:$O$36</c15:sqref>
                        </c15:formulaRef>
                      </c:ext>
                    </c:extLst>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xmlns:c15="http://schemas.microsoft.com/office/drawing/2012/chart">
                  <c:ext xmlns:c16="http://schemas.microsoft.com/office/drawing/2014/chart" uri="{C3380CC4-5D6E-409C-BE32-E72D297353CC}">
                    <c16:uniqueId val="{00000002-5DD2-4D1F-A69A-35743F60515D}"/>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'Deepwater Complex'!$E$43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Complex'!$E$44:$E$49</c15:sqref>
                        </c15:formulaRef>
                      </c:ext>
                    </c:extLst>
                    <c:numCache>
                      <c:formatCode>#,##0</c:formatCode>
                      <c:ptCount val="6"/>
                      <c:pt idx="0">
                        <c:v>9447.6342586999999</c:v>
                      </c:pt>
                      <c:pt idx="1">
                        <c:v>9447.6342586999999</c:v>
                      </c:pt>
                      <c:pt idx="2">
                        <c:v>9447.6342586999999</c:v>
                      </c:pt>
                      <c:pt idx="3">
                        <c:v>9447.6342586999999</c:v>
                      </c:pt>
                      <c:pt idx="4">
                        <c:v>9447.6342586999999</c:v>
                      </c:pt>
                      <c:pt idx="5">
                        <c:v>9447.6342586999999</c:v>
                      </c:pt>
                    </c:numCache>
                  </c:numRef>
                </c:yVal>
                <c:smooth val="0"/>
                <c:extLst xmlns:c15="http://schemas.microsoft.com/office/drawing/2012/chart">
                  <c:ext xmlns:c16="http://schemas.microsoft.com/office/drawing/2014/chart" uri="{C3380CC4-5D6E-409C-BE32-E72D297353CC}">
                    <c16:uniqueId val="{00000004-5DD2-4D1F-A69A-35743F60515D}"/>
                  </c:ext>
                </c:extLst>
              </c15:ser>
            </c15:filteredScatterSeries>
            <c15:filteredScatterSeries>
              <c15:ser>
                <c:idx val="2"/>
                <c:order val="5"/>
                <c:tx>
                  <c:strRef>
                    <c:extLst xmlns:c15="http://schemas.microsoft.com/office/drawing/2012/chart">
                      <c:ext xmlns:c15="http://schemas.microsoft.com/office/drawing/2012/chart" uri="{02D57815-91ED-43cb-92C2-25804820EDAC}">
                        <c15:formulaRef>
                          <c15:sqref>'Deepwater Complex'!$O$43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Complex'!$O$44:$O$49</c15:sqref>
                        </c15:formulaRef>
                      </c:ext>
                    </c:extLst>
                    <c:numCache>
                      <c:formatCode>#,##0</c:formatCode>
                      <c:ptCount val="6"/>
                      <c:pt idx="0">
                        <c:v>9447.6342586999999</c:v>
                      </c:pt>
                      <c:pt idx="1">
                        <c:v>9447.6342586999999</c:v>
                      </c:pt>
                      <c:pt idx="2">
                        <c:v>9447.6342586999999</c:v>
                      </c:pt>
                      <c:pt idx="3">
                        <c:v>9447.6342586999999</c:v>
                      </c:pt>
                      <c:pt idx="4">
                        <c:v>9447.6342586999999</c:v>
                      </c:pt>
                      <c:pt idx="5">
                        <c:v>9447.6342586999999</c:v>
                      </c:pt>
                    </c:numCache>
                  </c:numRef>
                </c:yVal>
                <c:smooth val="0"/>
                <c:extLst xmlns:c15="http://schemas.microsoft.com/office/drawing/2012/chart">
                  <c:ext xmlns:c16="http://schemas.microsoft.com/office/drawing/2014/chart" uri="{C3380CC4-5D6E-409C-BE32-E72D297353CC}">
                    <c16:uniqueId val="{00000005-5DD2-4D1F-A69A-35743F60515D}"/>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30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Sand Tilefish</a:t>
            </a:r>
          </a:p>
        </c:rich>
      </c:tx>
      <c:overlay val="0"/>
      <c:spPr>
        <a:noFill/>
      </c:spPr>
    </c:title>
    <c:autoTitleDeleted val="0"/>
    <c:plotArea>
      <c:layout/>
      <c:scatterChart>
        <c:scatterStyle val="lineMarker"/>
        <c:varyColors val="0"/>
        <c:ser>
          <c:idx val="4"/>
          <c:order val="1"/>
          <c:tx>
            <c:strRef>
              <c:f>'Deepwater Complex'!$AI$3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Complex'!$AI$4:$AI$35</c:f>
              <c:numCache>
                <c:formatCode>#,##0</c:formatCode>
                <c:ptCount val="32"/>
                <c:pt idx="0">
                  <c:v>5874.9856295999962</c:v>
                </c:pt>
                <c:pt idx="1">
                  <c:v>7003.286880749999</c:v>
                </c:pt>
                <c:pt idx="2">
                  <c:v>2821.99391135</c:v>
                </c:pt>
                <c:pt idx="3">
                  <c:v>3573.0400962699996</c:v>
                </c:pt>
                <c:pt idx="4">
                  <c:v>2634.6705714600002</c:v>
                </c:pt>
                <c:pt idx="5">
                  <c:v>5167.745306509999</c:v>
                </c:pt>
                <c:pt idx="6">
                  <c:v>2754.7392814799996</c:v>
                </c:pt>
                <c:pt idx="7">
                  <c:v>6140.758108</c:v>
                </c:pt>
                <c:pt idx="8">
                  <c:v>4614.265912335999</c:v>
                </c:pt>
                <c:pt idx="9">
                  <c:v>16865.244223301997</c:v>
                </c:pt>
                <c:pt idx="10">
                  <c:v>5170.6722339000007</c:v>
                </c:pt>
                <c:pt idx="11">
                  <c:v>6849.9133875999996</c:v>
                </c:pt>
                <c:pt idx="12">
                  <c:v>13530.95025819</c:v>
                </c:pt>
                <c:pt idx="13">
                  <c:v>3162.6949109399998</c:v>
                </c:pt>
                <c:pt idx="14">
                  <c:v>12279.9078498</c:v>
                </c:pt>
                <c:pt idx="15">
                  <c:v>10557.209495130999</c:v>
                </c:pt>
                <c:pt idx="16">
                  <c:v>7970.7297276059999</c:v>
                </c:pt>
                <c:pt idx="17">
                  <c:v>17373.142384959599</c:v>
                </c:pt>
                <c:pt idx="18">
                  <c:v>11741.567559936</c:v>
                </c:pt>
                <c:pt idx="19">
                  <c:v>2981.6057833330001</c:v>
                </c:pt>
                <c:pt idx="20">
                  <c:v>2112.22613563</c:v>
                </c:pt>
                <c:pt idx="21">
                  <c:v>1547.3806108709996</c:v>
                </c:pt>
                <c:pt idx="22">
                  <c:v>22159.137834854999</c:v>
                </c:pt>
                <c:pt idx="23">
                  <c:v>39422.697746029997</c:v>
                </c:pt>
                <c:pt idx="24">
                  <c:v>1548.4201946359999</c:v>
                </c:pt>
                <c:pt idx="25">
                  <c:v>5432.2111536890006</c:v>
                </c:pt>
                <c:pt idx="26">
                  <c:v>4232.9524030000002</c:v>
                </c:pt>
                <c:pt idx="27">
                  <c:v>12781.426494050002</c:v>
                </c:pt>
                <c:pt idx="28">
                  <c:v>13674.377754707401</c:v>
                </c:pt>
                <c:pt idx="29">
                  <c:v>12156.479362300001</c:v>
                </c:pt>
                <c:pt idx="30">
                  <c:v>5000.0347851658998</c:v>
                </c:pt>
                <c:pt idx="31">
                  <c:v>5392.0874240799985</c:v>
                </c:pt>
              </c:numCache>
            </c:numRef>
          </c:yVal>
          <c:smooth val="0"/>
          <c:extLst>
            <c:ext xmlns:c16="http://schemas.microsoft.com/office/drawing/2014/chart" uri="{C3380CC4-5D6E-409C-BE32-E72D297353CC}">
              <c16:uniqueId val="{00000001-F66E-482F-83BF-26D215B7D0B5}"/>
            </c:ext>
          </c:extLst>
        </c:ser>
        <c:ser>
          <c:idx val="5"/>
          <c:order val="3"/>
          <c:tx>
            <c:strRef>
              <c:f>'Deepwater Complex'!$AR$3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Complex'!$AR$4:$AR$35</c:f>
              <c:numCache>
                <c:formatCode>#,##0</c:formatCode>
                <c:ptCount val="32"/>
                <c:pt idx="0">
                  <c:v>5874.9856295999962</c:v>
                </c:pt>
                <c:pt idx="1">
                  <c:v>6931.73859292</c:v>
                </c:pt>
                <c:pt idx="2">
                  <c:v>2815.0203766099999</c:v>
                </c:pt>
                <c:pt idx="3">
                  <c:v>3557.0043559999995</c:v>
                </c:pt>
                <c:pt idx="4">
                  <c:v>2627.5638226100004</c:v>
                </c:pt>
                <c:pt idx="5">
                  <c:v>5090.2056275400018</c:v>
                </c:pt>
                <c:pt idx="6">
                  <c:v>2724.9008568299996</c:v>
                </c:pt>
                <c:pt idx="7">
                  <c:v>6017.4684430000016</c:v>
                </c:pt>
                <c:pt idx="8">
                  <c:v>4551.831292247999</c:v>
                </c:pt>
                <c:pt idx="9">
                  <c:v>16535.589671334001</c:v>
                </c:pt>
                <c:pt idx="10">
                  <c:v>5087.3406238100006</c:v>
                </c:pt>
                <c:pt idx="11">
                  <c:v>6735.5867951000037</c:v>
                </c:pt>
                <c:pt idx="12">
                  <c:v>13214.021018254003</c:v>
                </c:pt>
                <c:pt idx="13">
                  <c:v>3098.8083541200003</c:v>
                </c:pt>
                <c:pt idx="14">
                  <c:v>11991.930385499998</c:v>
                </c:pt>
                <c:pt idx="15">
                  <c:v>10306.735201092999</c:v>
                </c:pt>
                <c:pt idx="16">
                  <c:v>7941.4954430459993</c:v>
                </c:pt>
                <c:pt idx="17">
                  <c:v>15044.679306772799</c:v>
                </c:pt>
                <c:pt idx="18">
                  <c:v>12801.532333695999</c:v>
                </c:pt>
                <c:pt idx="19">
                  <c:v>2929.7345168371994</c:v>
                </c:pt>
                <c:pt idx="20">
                  <c:v>2069.1649261600001</c:v>
                </c:pt>
                <c:pt idx="21">
                  <c:v>1528.1398969800002</c:v>
                </c:pt>
                <c:pt idx="22">
                  <c:v>18948.819420559015</c:v>
                </c:pt>
                <c:pt idx="23">
                  <c:v>35439.860461719974</c:v>
                </c:pt>
                <c:pt idx="24">
                  <c:v>1543.5001520210003</c:v>
                </c:pt>
                <c:pt idx="25">
                  <c:v>5307.719333062998</c:v>
                </c:pt>
                <c:pt idx="26">
                  <c:v>4140.4292211999982</c:v>
                </c:pt>
                <c:pt idx="27">
                  <c:v>12293.687583550003</c:v>
                </c:pt>
                <c:pt idx="28">
                  <c:v>13352.870020279397</c:v>
                </c:pt>
                <c:pt idx="29">
                  <c:v>11889.988831369999</c:v>
                </c:pt>
                <c:pt idx="30">
                  <c:v>4904.7116833216996</c:v>
                </c:pt>
                <c:pt idx="31">
                  <c:v>5271.8319395250001</c:v>
                </c:pt>
              </c:numCache>
            </c:numRef>
          </c:yVal>
          <c:smooth val="0"/>
          <c:extLst>
            <c:ext xmlns:c16="http://schemas.microsoft.com/office/drawing/2014/chart" uri="{C3380CC4-5D6E-409C-BE32-E72D297353CC}">
              <c16:uniqueId val="{00000003-F66E-482F-83BF-26D215B7D0B5}"/>
            </c:ext>
          </c:extLst>
        </c:ser>
        <c:ser>
          <c:idx val="6"/>
          <c:order val="4"/>
          <c:tx>
            <c:strRef>
              <c:f>'Deepwater Complex'!$AA$146</c:f>
              <c:strCache>
                <c:ptCount val="1"/>
                <c:pt idx="0">
                  <c:v>MRIP+HB</c:v>
                </c:pt>
              </c:strCache>
              <c:extLst xmlns:c15="http://schemas.microsoft.com/office/drawing/2012/chart"/>
            </c:strRef>
          </c:tx>
          <c:spPr>
            <a:ln>
              <a:solidFill>
                <a:schemeClr val="bg1">
                  <a:lumMod val="50000"/>
                </a:schemeClr>
              </a:solidFill>
            </a:ln>
          </c:spPr>
          <c:marker>
            <c:symbol val="star"/>
            <c:size val="8"/>
            <c:spPr>
              <a:noFill/>
              <a:ln w="12700">
                <a:solidFill>
                  <a:schemeClr val="bg2">
                    <a:lumMod val="50000"/>
                  </a:schemeClr>
                </a:solidFill>
              </a:ln>
            </c:spPr>
          </c:marker>
          <c:xVal>
            <c:numRef>
              <c:f>'Deepwater Complex'!$U$147:$U$178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Complex'!$AA$147:$AA$178</c:f>
              <c:numCache>
                <c:formatCode>#,##0</c:formatCode>
                <c:ptCount val="32"/>
                <c:pt idx="0">
                  <c:v>5874.9856295999962</c:v>
                </c:pt>
                <c:pt idx="1">
                  <c:v>10396.860292213849</c:v>
                </c:pt>
                <c:pt idx="3">
                  <c:v>3773.5631425776355</c:v>
                </c:pt>
                <c:pt idx="4">
                  <c:v>2742.5558696090002</c:v>
                </c:pt>
                <c:pt idx="5">
                  <c:v>6538.6011088868108</c:v>
                </c:pt>
                <c:pt idx="6">
                  <c:v>2049.7453572443833</c:v>
                </c:pt>
                <c:pt idx="7">
                  <c:v>3873.9445048579273</c:v>
                </c:pt>
                <c:pt idx="8">
                  <c:v>5961.9693594143355</c:v>
                </c:pt>
                <c:pt idx="9">
                  <c:v>16484.927827009815</c:v>
                </c:pt>
                <c:pt idx="10">
                  <c:v>3664.885538663068</c:v>
                </c:pt>
                <c:pt idx="11">
                  <c:v>6298.2886309706955</c:v>
                </c:pt>
                <c:pt idx="12">
                  <c:v>13718.899313613047</c:v>
                </c:pt>
                <c:pt idx="13">
                  <c:v>2291.4732095023169</c:v>
                </c:pt>
                <c:pt idx="14">
                  <c:v>10878.100421837364</c:v>
                </c:pt>
                <c:pt idx="15">
                  <c:v>10265.068237503221</c:v>
                </c:pt>
                <c:pt idx="16">
                  <c:v>7522.8165232886786</c:v>
                </c:pt>
                <c:pt idx="17">
                  <c:v>17015.192508377615</c:v>
                </c:pt>
                <c:pt idx="18">
                  <c:v>10956.784674671217</c:v>
                </c:pt>
                <c:pt idx="19">
                  <c:v>2622.1896749812599</c:v>
                </c:pt>
                <c:pt idx="20">
                  <c:v>2835.722155801438</c:v>
                </c:pt>
                <c:pt idx="21">
                  <c:v>1512.8267133092486</c:v>
                </c:pt>
                <c:pt idx="22">
                  <c:v>23224.725243826844</c:v>
                </c:pt>
                <c:pt idx="23">
                  <c:v>43081.1271243956</c:v>
                </c:pt>
                <c:pt idx="24">
                  <c:v>1611.1157862034547</c:v>
                </c:pt>
                <c:pt idx="25">
                  <c:v>4675.2374669358687</c:v>
                </c:pt>
                <c:pt idx="26">
                  <c:v>5055.6792594884337</c:v>
                </c:pt>
                <c:pt idx="27">
                  <c:v>11135.033900865648</c:v>
                </c:pt>
                <c:pt idx="28">
                  <c:v>13413.588407218382</c:v>
                </c:pt>
                <c:pt idx="29">
                  <c:v>21305.812087816277</c:v>
                </c:pt>
                <c:pt idx="30">
                  <c:v>6338.0907277643673</c:v>
                </c:pt>
                <c:pt idx="31">
                  <c:v>6860.2469330935864</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51FC-4DBB-BEBF-888A11FFB4EC}"/>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Complex'!$F$4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Complex'!$F$5:$F$36</c15:sqref>
                        </c15:formulaRef>
                      </c:ext>
                    </c:extLst>
                    <c:numCache>
                      <c:formatCode>#,##0</c:formatCode>
                      <c:ptCount val="32"/>
                      <c:pt idx="0">
                        <c:v>5940.9856295999962</c:v>
                      </c:pt>
                      <c:pt idx="1">
                        <c:v>7257.286880749999</c:v>
                      </c:pt>
                      <c:pt idx="2">
                        <c:v>2821.99391135</c:v>
                      </c:pt>
                      <c:pt idx="3">
                        <c:v>3576.0400962699996</c:v>
                      </c:pt>
                      <c:pt idx="4">
                        <c:v>2722.6705714600002</c:v>
                      </c:pt>
                      <c:pt idx="5">
                        <c:v>6322.745306509999</c:v>
                      </c:pt>
                      <c:pt idx="6">
                        <c:v>3048.7392814799996</c:v>
                      </c:pt>
                      <c:pt idx="7">
                        <c:v>6167.758108</c:v>
                      </c:pt>
                      <c:pt idx="8">
                        <c:v>4777.265912335999</c:v>
                      </c:pt>
                      <c:pt idx="9">
                        <c:v>18588.244223301997</c:v>
                      </c:pt>
                      <c:pt idx="10">
                        <c:v>5459.6722339000007</c:v>
                      </c:pt>
                      <c:pt idx="11">
                        <c:v>7337.9133875999996</c:v>
                      </c:pt>
                      <c:pt idx="12">
                        <c:v>14547.95025819</c:v>
                      </c:pt>
                      <c:pt idx="13">
                        <c:v>4562.6949109399993</c:v>
                      </c:pt>
                      <c:pt idx="14">
                        <c:v>12909.9078498</c:v>
                      </c:pt>
                      <c:pt idx="15">
                        <c:v>12463.209495130999</c:v>
                      </c:pt>
                      <c:pt idx="16">
                        <c:v>9660.7297276059999</c:v>
                      </c:pt>
                      <c:pt idx="17">
                        <c:v>18348.142384959599</c:v>
                      </c:pt>
                      <c:pt idx="18">
                        <c:v>13017.567559936</c:v>
                      </c:pt>
                      <c:pt idx="19">
                        <c:v>8678.6057833329996</c:v>
                      </c:pt>
                      <c:pt idx="20">
                        <c:v>4741.2261356300005</c:v>
                      </c:pt>
                      <c:pt idx="21">
                        <c:v>3428.3806108709996</c:v>
                      </c:pt>
                      <c:pt idx="22">
                        <c:v>22602.137834854999</c:v>
                      </c:pt>
                      <c:pt idx="23">
                        <c:v>39799.697746029997</c:v>
                      </c:pt>
                      <c:pt idx="24">
                        <c:v>2087.4201946359999</c:v>
                      </c:pt>
                      <c:pt idx="25">
                        <c:v>6270.2111536890006</c:v>
                      </c:pt>
                      <c:pt idx="26">
                        <c:v>5864.9524030000002</c:v>
                      </c:pt>
                      <c:pt idx="27">
                        <c:v>14435.426494050002</c:v>
                      </c:pt>
                      <c:pt idx="28">
                        <c:v>14886.377754707401</c:v>
                      </c:pt>
                      <c:pt idx="29">
                        <c:v>12862.479362300001</c:v>
                      </c:pt>
                      <c:pt idx="30">
                        <c:v>5675.0347851658998</c:v>
                      </c:pt>
                      <c:pt idx="31">
                        <c:v>6191.0874240799985</c:v>
                      </c:pt>
                    </c:numCache>
                  </c:numRef>
                </c:yVal>
                <c:smooth val="0"/>
                <c:extLst>
                  <c:ext xmlns:c16="http://schemas.microsoft.com/office/drawing/2014/chart" uri="{C3380CC4-5D6E-409C-BE32-E72D297353CC}">
                    <c16:uniqueId val="{00000000-F66E-482F-83BF-26D215B7D0B5}"/>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Complex'!$P$4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Complex'!$P$5:$P$36</c15:sqref>
                        </c15:formulaRef>
                      </c:ext>
                    </c:extLst>
                    <c:numCache>
                      <c:formatCode>#,##0</c:formatCode>
                      <c:ptCount val="32"/>
                      <c:pt idx="0">
                        <c:v>5940.9856295999962</c:v>
                      </c:pt>
                      <c:pt idx="1">
                        <c:v>7185.73859292</c:v>
                      </c:pt>
                      <c:pt idx="2">
                        <c:v>2815.0203766099999</c:v>
                      </c:pt>
                      <c:pt idx="3">
                        <c:v>3560.0043559999995</c:v>
                      </c:pt>
                      <c:pt idx="4">
                        <c:v>2715.5638226100004</c:v>
                      </c:pt>
                      <c:pt idx="5">
                        <c:v>6245.2056275400018</c:v>
                      </c:pt>
                      <c:pt idx="6">
                        <c:v>3018.9008568299996</c:v>
                      </c:pt>
                      <c:pt idx="7">
                        <c:v>6044.4684430000016</c:v>
                      </c:pt>
                      <c:pt idx="8">
                        <c:v>4714.831292247999</c:v>
                      </c:pt>
                      <c:pt idx="9">
                        <c:v>18258.589671334001</c:v>
                      </c:pt>
                      <c:pt idx="10">
                        <c:v>5376.3406238100006</c:v>
                      </c:pt>
                      <c:pt idx="11">
                        <c:v>7223.5867951000037</c:v>
                      </c:pt>
                      <c:pt idx="12">
                        <c:v>14231.021018254003</c:v>
                      </c:pt>
                      <c:pt idx="13">
                        <c:v>4498.8083541200003</c:v>
                      </c:pt>
                      <c:pt idx="14">
                        <c:v>12621.930385499998</c:v>
                      </c:pt>
                      <c:pt idx="15">
                        <c:v>12212.735201092999</c:v>
                      </c:pt>
                      <c:pt idx="16">
                        <c:v>9631.4954430459984</c:v>
                      </c:pt>
                      <c:pt idx="17">
                        <c:v>16019.679306772799</c:v>
                      </c:pt>
                      <c:pt idx="18">
                        <c:v>14077.532333695999</c:v>
                      </c:pt>
                      <c:pt idx="19">
                        <c:v>8626.7345168371994</c:v>
                      </c:pt>
                      <c:pt idx="20">
                        <c:v>4698.1649261599996</c:v>
                      </c:pt>
                      <c:pt idx="21">
                        <c:v>3409.1398969800002</c:v>
                      </c:pt>
                      <c:pt idx="22">
                        <c:v>19391.819420559015</c:v>
                      </c:pt>
                      <c:pt idx="23">
                        <c:v>35816.860461719974</c:v>
                      </c:pt>
                      <c:pt idx="24">
                        <c:v>2082.5001520210003</c:v>
                      </c:pt>
                      <c:pt idx="25">
                        <c:v>6145.719333062998</c:v>
                      </c:pt>
                      <c:pt idx="26">
                        <c:v>5772.4292211999982</c:v>
                      </c:pt>
                      <c:pt idx="27">
                        <c:v>13947.687583550003</c:v>
                      </c:pt>
                      <c:pt idx="28">
                        <c:v>14564.870020279397</c:v>
                      </c:pt>
                      <c:pt idx="29">
                        <c:v>12595.988831369999</c:v>
                      </c:pt>
                      <c:pt idx="30">
                        <c:v>5579.7116833216996</c:v>
                      </c:pt>
                      <c:pt idx="31">
                        <c:v>6070.8319395250001</c:v>
                      </c:pt>
                    </c:numCache>
                  </c:numRef>
                </c:yVal>
                <c:smooth val="0"/>
                <c:extLst xmlns:c15="http://schemas.microsoft.com/office/drawing/2012/chart">
                  <c:ext xmlns:c16="http://schemas.microsoft.com/office/drawing/2014/chart" uri="{C3380CC4-5D6E-409C-BE32-E72D297353CC}">
                    <c16:uniqueId val="{00000002-F66E-482F-83BF-26D215B7D0B5}"/>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'Deepwater Complex'!$F$43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Complex'!$F$44:$F$49</c15:sqref>
                        </c15:formulaRef>
                      </c:ext>
                    </c:extLst>
                    <c:numCache>
                      <c:formatCode>#,##0</c:formatCode>
                      <c:ptCount val="6"/>
                      <c:pt idx="0">
                        <c:v>12909.9078498</c:v>
                      </c:pt>
                      <c:pt idx="1">
                        <c:v>12909.9078498</c:v>
                      </c:pt>
                      <c:pt idx="2">
                        <c:v>12909.9078498</c:v>
                      </c:pt>
                      <c:pt idx="3">
                        <c:v>12909.9078498</c:v>
                      </c:pt>
                      <c:pt idx="4">
                        <c:v>12909.9078498</c:v>
                      </c:pt>
                      <c:pt idx="5">
                        <c:v>12909.9078498</c:v>
                      </c:pt>
                    </c:numCache>
                  </c:numRef>
                </c:yVal>
                <c:smooth val="0"/>
                <c:extLst xmlns:c15="http://schemas.microsoft.com/office/drawing/2012/chart">
                  <c:ext xmlns:c16="http://schemas.microsoft.com/office/drawing/2014/chart" uri="{C3380CC4-5D6E-409C-BE32-E72D297353CC}">
                    <c16:uniqueId val="{00000004-F66E-482F-83BF-26D215B7D0B5}"/>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'Deepwater Complex'!$P$43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Complex'!$P$44:$P$49</c15:sqref>
                        </c15:formulaRef>
                      </c:ext>
                    </c:extLst>
                    <c:numCache>
                      <c:formatCode>#,##0</c:formatCode>
                      <c:ptCount val="6"/>
                      <c:pt idx="0">
                        <c:v>12621.930385499998</c:v>
                      </c:pt>
                      <c:pt idx="1">
                        <c:v>12621.930385499998</c:v>
                      </c:pt>
                      <c:pt idx="2">
                        <c:v>12621.930385499998</c:v>
                      </c:pt>
                      <c:pt idx="3">
                        <c:v>12621.930385499998</c:v>
                      </c:pt>
                      <c:pt idx="4">
                        <c:v>12621.930385499998</c:v>
                      </c:pt>
                      <c:pt idx="5">
                        <c:v>12621.930385499998</c:v>
                      </c:pt>
                    </c:numCache>
                  </c:numRef>
                </c:yVal>
                <c:smooth val="0"/>
                <c:extLst xmlns:c15="http://schemas.microsoft.com/office/drawing/2012/chart">
                  <c:ext xmlns:c16="http://schemas.microsoft.com/office/drawing/2014/chart" uri="{C3380CC4-5D6E-409C-BE32-E72D297353CC}">
                    <c16:uniqueId val="{00000005-F66E-482F-83BF-26D215B7D0B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'A Spadefish'!$E$3</c:f>
              <c:strCache>
                <c:ptCount val="1"/>
                <c:pt idx="0">
                  <c:v>New Est Rec</c:v>
                </c:pt>
              </c:strCache>
            </c:strRef>
          </c:tx>
          <c:spPr>
            <a:ln>
              <a:solidFill>
                <a:schemeClr val="accent5"/>
              </a:solidFill>
            </a:ln>
          </c:spPr>
          <c:marker>
            <c:spPr>
              <a:solidFill>
                <a:schemeClr val="accent5"/>
              </a:solidFill>
              <a:ln>
                <a:solidFill>
                  <a:schemeClr val="accent5"/>
                </a:solidFill>
              </a:ln>
            </c:spPr>
          </c:marker>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Spadefish'!$E$4:$E$35</c:f>
              <c:numCache>
                <c:formatCode>#,##0</c:formatCode>
                <c:ptCount val="32"/>
                <c:pt idx="0">
                  <c:v>780637.2186778899</c:v>
                </c:pt>
                <c:pt idx="1">
                  <c:v>213166.17478251003</c:v>
                </c:pt>
                <c:pt idx="2">
                  <c:v>884891.01305404003</c:v>
                </c:pt>
                <c:pt idx="3">
                  <c:v>241558.05617355899</c:v>
                </c:pt>
                <c:pt idx="4">
                  <c:v>388011.00020713394</c:v>
                </c:pt>
                <c:pt idx="5">
                  <c:v>374787.28919985011</c:v>
                </c:pt>
                <c:pt idx="6">
                  <c:v>650380.27557613014</c:v>
                </c:pt>
                <c:pt idx="7">
                  <c:v>1042994.7128289002</c:v>
                </c:pt>
                <c:pt idx="8">
                  <c:v>795414.61507139972</c:v>
                </c:pt>
                <c:pt idx="9">
                  <c:v>838547.01286073984</c:v>
                </c:pt>
                <c:pt idx="10">
                  <c:v>574494.50533585018</c:v>
                </c:pt>
                <c:pt idx="11">
                  <c:v>859320.2031375902</c:v>
                </c:pt>
                <c:pt idx="12">
                  <c:v>673665.8357033201</c:v>
                </c:pt>
                <c:pt idx="13">
                  <c:v>977329.61014740902</c:v>
                </c:pt>
                <c:pt idx="14">
                  <c:v>877217.66505469999</c:v>
                </c:pt>
                <c:pt idx="15">
                  <c:v>1067341.8968728716</c:v>
                </c:pt>
                <c:pt idx="16">
                  <c:v>1598802.5841152712</c:v>
                </c:pt>
                <c:pt idx="17">
                  <c:v>767405.46537677001</c:v>
                </c:pt>
                <c:pt idx="18">
                  <c:v>152595.39917210003</c:v>
                </c:pt>
                <c:pt idx="19">
                  <c:v>188005.75791027502</c:v>
                </c:pt>
                <c:pt idx="20">
                  <c:v>428233.87617857993</c:v>
                </c:pt>
                <c:pt idx="21">
                  <c:v>591092.04364256014</c:v>
                </c:pt>
                <c:pt idx="22">
                  <c:v>594616.04964047961</c:v>
                </c:pt>
                <c:pt idx="23">
                  <c:v>746579.60906358727</c:v>
                </c:pt>
                <c:pt idx="24">
                  <c:v>1496637.1562669398</c:v>
                </c:pt>
                <c:pt idx="25">
                  <c:v>194336.01476784993</c:v>
                </c:pt>
                <c:pt idx="26">
                  <c:v>252399.45306961704</c:v>
                </c:pt>
                <c:pt idx="27">
                  <c:v>236250.10692592</c:v>
                </c:pt>
                <c:pt idx="28">
                  <c:v>1576244.8500904306</c:v>
                </c:pt>
                <c:pt idx="29">
                  <c:v>582798.33676759992</c:v>
                </c:pt>
                <c:pt idx="30">
                  <c:v>98576.744755939973</c:v>
                </c:pt>
                <c:pt idx="31">
                  <c:v>380312.31574049796</c:v>
                </c:pt>
              </c:numCache>
            </c:numRef>
          </c:yVal>
          <c:smooth val="0"/>
          <c:extLst>
            <c:ext xmlns:c16="http://schemas.microsoft.com/office/drawing/2014/chart" uri="{C3380CC4-5D6E-409C-BE32-E72D297353CC}">
              <c16:uniqueId val="{00000002-805E-425F-935D-AD53EDBCFA2E}"/>
            </c:ext>
          </c:extLst>
        </c:ser>
        <c:ser>
          <c:idx val="5"/>
          <c:order val="1"/>
          <c:tx>
            <c:strRef>
              <c:f>'A Spadefish'!$H$3</c:f>
              <c:strCache>
                <c:ptCount val="1"/>
                <c:pt idx="0">
                  <c:v>Orig FES Rec</c:v>
                </c:pt>
              </c:strCache>
            </c:strRef>
          </c:tx>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Spadefish'!$H$4:$H$35</c:f>
              <c:numCache>
                <c:formatCode>#,##0</c:formatCode>
                <c:ptCount val="32"/>
                <c:pt idx="0">
                  <c:v>848123.70079889975</c:v>
                </c:pt>
                <c:pt idx="1">
                  <c:v>215982.15550850998</c:v>
                </c:pt>
                <c:pt idx="2">
                  <c:v>411186.12370220001</c:v>
                </c:pt>
                <c:pt idx="3">
                  <c:v>379693.41971081891</c:v>
                </c:pt>
                <c:pt idx="4">
                  <c:v>369783.31592813897</c:v>
                </c:pt>
                <c:pt idx="5">
                  <c:v>378458.93285009009</c:v>
                </c:pt>
                <c:pt idx="6">
                  <c:v>869272.2833650501</c:v>
                </c:pt>
                <c:pt idx="7">
                  <c:v>989555.0073949002</c:v>
                </c:pt>
                <c:pt idx="8">
                  <c:v>775971.06726375979</c:v>
                </c:pt>
                <c:pt idx="9">
                  <c:v>826483.69030102983</c:v>
                </c:pt>
                <c:pt idx="10">
                  <c:v>659589.25898853049</c:v>
                </c:pt>
                <c:pt idx="11">
                  <c:v>830808.62327695009</c:v>
                </c:pt>
                <c:pt idx="12">
                  <c:v>672649.84020892985</c:v>
                </c:pt>
                <c:pt idx="13">
                  <c:v>1033766.9696777592</c:v>
                </c:pt>
                <c:pt idx="14">
                  <c:v>931235.67552726006</c:v>
                </c:pt>
                <c:pt idx="15">
                  <c:v>1030236.171245311</c:v>
                </c:pt>
                <c:pt idx="16">
                  <c:v>893594.58255214978</c:v>
                </c:pt>
                <c:pt idx="17">
                  <c:v>1010864.82645244</c:v>
                </c:pt>
                <c:pt idx="18">
                  <c:v>225301.62386070003</c:v>
                </c:pt>
                <c:pt idx="19">
                  <c:v>234547.01555687498</c:v>
                </c:pt>
                <c:pt idx="20">
                  <c:v>471453.75705140992</c:v>
                </c:pt>
                <c:pt idx="21">
                  <c:v>661708.32464310015</c:v>
                </c:pt>
                <c:pt idx="22">
                  <c:v>614014.85951145936</c:v>
                </c:pt>
                <c:pt idx="23">
                  <c:v>544678.36186510732</c:v>
                </c:pt>
                <c:pt idx="24">
                  <c:v>1436895.86756202</c:v>
                </c:pt>
                <c:pt idx="25">
                  <c:v>184865.79216110491</c:v>
                </c:pt>
                <c:pt idx="26">
                  <c:v>257996.95643334699</c:v>
                </c:pt>
                <c:pt idx="27">
                  <c:v>180933.78026919003</c:v>
                </c:pt>
                <c:pt idx="28">
                  <c:v>3800797.9661587398</c:v>
                </c:pt>
                <c:pt idx="29">
                  <c:v>1677864.2625120007</c:v>
                </c:pt>
                <c:pt idx="30">
                  <c:v>111684.40932104999</c:v>
                </c:pt>
                <c:pt idx="31">
                  <c:v>633568.05269400787</c:v>
                </c:pt>
              </c:numCache>
            </c:numRef>
          </c:yVal>
          <c:smooth val="0"/>
          <c:extLst>
            <c:ext xmlns:c16="http://schemas.microsoft.com/office/drawing/2014/chart" uri="{C3380CC4-5D6E-409C-BE32-E72D297353CC}">
              <c16:uniqueId val="{00000004-805E-425F-935D-AD53EDBCFA2E}"/>
            </c:ext>
          </c:extLst>
        </c:ser>
        <c:ser>
          <c:idx val="0"/>
          <c:order val="2"/>
          <c:tx>
            <c:strRef>
              <c:f>'A Spadefish'!$AD$35</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'A Spadefish'!$R$36:$R$67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Spadefish'!$AD$36:$AD$67</c:f>
              <c:numCache>
                <c:formatCode>#,##0</c:formatCode>
                <c:ptCount val="32"/>
                <c:pt idx="0">
                  <c:v>717012.20364817686</c:v>
                </c:pt>
                <c:pt idx="1">
                  <c:v>275816.62815753382</c:v>
                </c:pt>
                <c:pt idx="3">
                  <c:v>257542.16972682715</c:v>
                </c:pt>
                <c:pt idx="4">
                  <c:v>407821.73703279556</c:v>
                </c:pt>
                <c:pt idx="5">
                  <c:v>395470.71983248054</c:v>
                </c:pt>
                <c:pt idx="7">
                  <c:v>1036169.6337187175</c:v>
                </c:pt>
                <c:pt idx="8">
                  <c:v>840268.69038085325</c:v>
                </c:pt>
                <c:pt idx="9">
                  <c:v>983492.51590171689</c:v>
                </c:pt>
                <c:pt idx="10">
                  <c:v>541441.13577496156</c:v>
                </c:pt>
                <c:pt idx="11">
                  <c:v>909261.28996829723</c:v>
                </c:pt>
                <c:pt idx="12">
                  <c:v>709660.68220975413</c:v>
                </c:pt>
                <c:pt idx="13">
                  <c:v>970968.65884142823</c:v>
                </c:pt>
                <c:pt idx="14">
                  <c:v>913225.77720863861</c:v>
                </c:pt>
                <c:pt idx="15">
                  <c:v>1052109.8913769205</c:v>
                </c:pt>
                <c:pt idx="16">
                  <c:v>1550736.6895023691</c:v>
                </c:pt>
                <c:pt idx="17">
                  <c:v>607454.28138944029</c:v>
                </c:pt>
                <c:pt idx="18">
                  <c:v>152467.80804932636</c:v>
                </c:pt>
                <c:pt idx="19">
                  <c:v>284213.52483080805</c:v>
                </c:pt>
                <c:pt idx="20">
                  <c:v>434736.07343381981</c:v>
                </c:pt>
                <c:pt idx="21">
                  <c:v>654121.16732977505</c:v>
                </c:pt>
                <c:pt idx="22">
                  <c:v>470359.56029092014</c:v>
                </c:pt>
                <c:pt idx="23">
                  <c:v>694119.60274089535</c:v>
                </c:pt>
                <c:pt idx="24">
                  <c:v>1499347.4267836523</c:v>
                </c:pt>
                <c:pt idx="25">
                  <c:v>153481.33304438728</c:v>
                </c:pt>
                <c:pt idx="26">
                  <c:v>194128.0521529626</c:v>
                </c:pt>
                <c:pt idx="27">
                  <c:v>170765.44087377802</c:v>
                </c:pt>
                <c:pt idx="28">
                  <c:v>1282608.1182548595</c:v>
                </c:pt>
                <c:pt idx="29">
                  <c:v>586916.04193146341</c:v>
                </c:pt>
                <c:pt idx="30">
                  <c:v>116403.15500175804</c:v>
                </c:pt>
                <c:pt idx="31">
                  <c:v>341392.41926264687</c:v>
                </c:pt>
              </c:numCache>
            </c:numRef>
          </c:yVal>
          <c:smooth val="0"/>
          <c:extLst>
            <c:ext xmlns:c16="http://schemas.microsoft.com/office/drawing/2014/chart" uri="{C3380CC4-5D6E-409C-BE32-E72D297353CC}">
              <c16:uniqueId val="{00000007-805E-425F-935D-AD53EDBCFA2E}"/>
            </c:ext>
          </c:extLst>
        </c:ser>
        <c:ser>
          <c:idx val="2"/>
          <c:order val="3"/>
          <c:tx>
            <c:strRef>
              <c:f>'A Spadefish'!$F$3</c:f>
              <c:strCache>
                <c:ptCount val="1"/>
                <c:pt idx="0">
                  <c:v>Commercial</c:v>
                </c:pt>
              </c:strCache>
            </c:strRef>
          </c:tx>
          <c:xVal>
            <c:numRef>
              <c:f>'A Spadefish'!$C$4:$C$35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Spadefish'!$F$4:$F$35</c:f>
              <c:numCache>
                <c:formatCode>#,##0</c:formatCode>
                <c:ptCount val="32"/>
                <c:pt idx="0">
                  <c:v>19349</c:v>
                </c:pt>
                <c:pt idx="1">
                  <c:v>21530</c:v>
                </c:pt>
                <c:pt idx="2">
                  <c:v>19801</c:v>
                </c:pt>
                <c:pt idx="3">
                  <c:v>22963</c:v>
                </c:pt>
                <c:pt idx="4">
                  <c:v>16478</c:v>
                </c:pt>
                <c:pt idx="5">
                  <c:v>30427</c:v>
                </c:pt>
                <c:pt idx="6">
                  <c:v>24509</c:v>
                </c:pt>
                <c:pt idx="7">
                  <c:v>27328</c:v>
                </c:pt>
                <c:pt idx="8">
                  <c:v>30674</c:v>
                </c:pt>
                <c:pt idx="9">
                  <c:v>52437</c:v>
                </c:pt>
                <c:pt idx="10">
                  <c:v>62923</c:v>
                </c:pt>
                <c:pt idx="11">
                  <c:v>66223</c:v>
                </c:pt>
                <c:pt idx="12">
                  <c:v>45162</c:v>
                </c:pt>
                <c:pt idx="13">
                  <c:v>39328</c:v>
                </c:pt>
                <c:pt idx="14">
                  <c:v>59007</c:v>
                </c:pt>
                <c:pt idx="15">
                  <c:v>51452</c:v>
                </c:pt>
                <c:pt idx="16">
                  <c:v>47945</c:v>
                </c:pt>
                <c:pt idx="17">
                  <c:v>41798</c:v>
                </c:pt>
                <c:pt idx="18">
                  <c:v>52877</c:v>
                </c:pt>
                <c:pt idx="19">
                  <c:v>46317</c:v>
                </c:pt>
                <c:pt idx="20">
                  <c:v>34262</c:v>
                </c:pt>
                <c:pt idx="21">
                  <c:v>29594</c:v>
                </c:pt>
                <c:pt idx="22">
                  <c:v>22962</c:v>
                </c:pt>
                <c:pt idx="23">
                  <c:v>34135</c:v>
                </c:pt>
                <c:pt idx="24">
                  <c:v>26049</c:v>
                </c:pt>
                <c:pt idx="25">
                  <c:v>24134</c:v>
                </c:pt>
                <c:pt idx="26">
                  <c:v>27418</c:v>
                </c:pt>
                <c:pt idx="27">
                  <c:v>23599</c:v>
                </c:pt>
                <c:pt idx="28">
                  <c:v>26638</c:v>
                </c:pt>
                <c:pt idx="29">
                  <c:v>20675</c:v>
                </c:pt>
                <c:pt idx="30">
                  <c:v>20429</c:v>
                </c:pt>
                <c:pt idx="31">
                  <c:v>26738</c:v>
                </c:pt>
              </c:numCache>
            </c:numRef>
          </c:yVal>
          <c:smooth val="0"/>
          <c:extLst>
            <c:ext xmlns:c16="http://schemas.microsoft.com/office/drawing/2014/chart" uri="{C3380CC4-5D6E-409C-BE32-E72D297353CC}">
              <c16:uniqueId val="{00000001-805E-425F-935D-AD53EDBCFA2E}"/>
            </c:ext>
          </c:extLst>
        </c:ser>
        <c:dLbls>
          <c:showLegendKey val="0"/>
          <c:showVal val="0"/>
          <c:showCatName val="0"/>
          <c:showSerName val="0"/>
          <c:showPercent val="0"/>
          <c:showBubbleSize val="0"/>
        </c:dLbls>
        <c:axId val="338367552"/>
        <c:axId val="338368128"/>
      </c:scatterChart>
      <c:valAx>
        <c:axId val="338367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368128"/>
        <c:crosses val="autoZero"/>
        <c:crossBetween val="midCat"/>
      </c:valAx>
      <c:valAx>
        <c:axId val="338368128"/>
        <c:scaling>
          <c:orientation val="minMax"/>
          <c:max val="4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367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Blackfin Snapper</a:t>
            </a:r>
          </a:p>
        </c:rich>
      </c:tx>
      <c:overlay val="0"/>
      <c:spPr>
        <a:noFill/>
      </c:spPr>
    </c:title>
    <c:autoTitleDeleted val="0"/>
    <c:plotArea>
      <c:layout/>
      <c:scatterChart>
        <c:scatterStyle val="lineMarker"/>
        <c:varyColors val="0"/>
        <c:ser>
          <c:idx val="4"/>
          <c:order val="1"/>
          <c:tx>
            <c:strRef>
              <c:f>'Deepwater Complex'!$AJ$3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Complex'!$AJ$4:$AJ$35</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11340.695949230003</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1-3F4E-4F07-AAA4-68763C018642}"/>
            </c:ext>
          </c:extLst>
        </c:ser>
        <c:ser>
          <c:idx val="5"/>
          <c:order val="3"/>
          <c:tx>
            <c:strRef>
              <c:f>'Deepwater Complex'!$AS$3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Complex'!$AS$4:$AS$35</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11340.695949230001</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3-3F4E-4F07-AAA4-68763C018642}"/>
            </c:ext>
          </c:extLst>
        </c:ser>
        <c:ser>
          <c:idx val="6"/>
          <c:order val="4"/>
          <c:tx>
            <c:strRef>
              <c:f>'Deepwater Complex'!$AL$146</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Complex'!$AF$147:$AF$178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Complex'!$AL$147:$AL$178</c:f>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399.12490341415111</c:v>
                </c:pt>
                <c:pt idx="14">
                  <c:v>9082.87143769875</c:v>
                </c:pt>
                <c:pt idx="15">
                  <c:v>1034.1117219999999</c:v>
                </c:pt>
                <c:pt idx="17">
                  <c:v>865.63619000000006</c:v>
                </c:pt>
                <c:pt idx="18">
                  <c:v>1107.5307084990079</c:v>
                </c:pt>
                <c:pt idx="19">
                  <c:v>128.54538906054503</c:v>
                </c:pt>
                <c:pt idx="20">
                  <c:v>541.22661510966702</c:v>
                </c:pt>
                <c:pt idx="21">
                  <c:v>7266.9258500999276</c:v>
                </c:pt>
                <c:pt idx="22">
                  <c:v>200.98145711251891</c:v>
                </c:pt>
                <c:pt idx="23">
                  <c:v>51.600867600000001</c:v>
                </c:pt>
                <c:pt idx="24">
                  <c:v>278.14450080175698</c:v>
                </c:pt>
                <c:pt idx="25">
                  <c:v>44503.983276614439</c:v>
                </c:pt>
                <c:pt idx="26">
                  <c:v>3038.4003316600511</c:v>
                </c:pt>
                <c:pt idx="27">
                  <c:v>569.34273593857745</c:v>
                </c:pt>
                <c:pt idx="28">
                  <c:v>3106.4424140233741</c:v>
                </c:pt>
                <c:pt idx="29">
                  <c:v>3539.9019694000003</c:v>
                </c:pt>
                <c:pt idx="30">
                  <c:v>2568.3683470243359</c:v>
                </c:pt>
                <c:pt idx="31">
                  <c:v>2871.9743073999998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9923-48B2-A8F2-BFF64DDAA890}"/>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Complex'!$G$4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Complex'!$G$5:$G$36</c15:sqref>
                        </c15:formulaRef>
                      </c:ext>
                    </c:extLst>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11773.695949230003</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0-3F4E-4F07-AAA4-68763C018642}"/>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Complex'!$Q$4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Complex'!$Q$5:$Q$36</c15:sqref>
                        </c15:formulaRef>
                      </c:ext>
                    </c:extLst>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11773.695949230001</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xmlns:c15="http://schemas.microsoft.com/office/drawing/2012/chart">
                  <c:ext xmlns:c16="http://schemas.microsoft.com/office/drawing/2014/chart" uri="{C3380CC4-5D6E-409C-BE32-E72D297353CC}">
                    <c16:uniqueId val="{00000002-3F4E-4F07-AAA4-68763C018642}"/>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'Deepwater Complex'!$G$43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Complex'!$G$44:$G$49</c15:sqref>
                        </c15:formulaRef>
                      </c:ext>
                    </c:extLst>
                    <c:numCache>
                      <c:formatCode>#,##0</c:formatCode>
                      <c:ptCount val="6"/>
                      <c:pt idx="0">
                        <c:v>3665.1117219999996</c:v>
                      </c:pt>
                      <c:pt idx="1">
                        <c:v>3665.1117219999996</c:v>
                      </c:pt>
                      <c:pt idx="2">
                        <c:v>3665.1117219999996</c:v>
                      </c:pt>
                      <c:pt idx="3">
                        <c:v>3665.1117219999996</c:v>
                      </c:pt>
                      <c:pt idx="4">
                        <c:v>3665.1117219999996</c:v>
                      </c:pt>
                      <c:pt idx="5">
                        <c:v>3665.1117219999996</c:v>
                      </c:pt>
                    </c:numCache>
                  </c:numRef>
                </c:yVal>
                <c:smooth val="0"/>
                <c:extLst xmlns:c15="http://schemas.microsoft.com/office/drawing/2012/chart">
                  <c:ext xmlns:c16="http://schemas.microsoft.com/office/drawing/2014/chart" uri="{C3380CC4-5D6E-409C-BE32-E72D297353CC}">
                    <c16:uniqueId val="{00000004-3F4E-4F07-AAA4-68763C018642}"/>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'Deepwater Complex'!$Q$43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Complex'!$Q$44:$Q$49</c15:sqref>
                        </c15:formulaRef>
                      </c:ext>
                    </c:extLst>
                    <c:numCache>
                      <c:formatCode>#,##0</c:formatCode>
                      <c:ptCount val="6"/>
                      <c:pt idx="0">
                        <c:v>3665.1117219999996</c:v>
                      </c:pt>
                      <c:pt idx="1">
                        <c:v>3665.1117219999996</c:v>
                      </c:pt>
                      <c:pt idx="2">
                        <c:v>3665.1117219999996</c:v>
                      </c:pt>
                      <c:pt idx="3">
                        <c:v>3665.1117219999996</c:v>
                      </c:pt>
                      <c:pt idx="4">
                        <c:v>3665.1117219999996</c:v>
                      </c:pt>
                      <c:pt idx="5">
                        <c:v>3665.1117219999996</c:v>
                      </c:pt>
                    </c:numCache>
                  </c:numRef>
                </c:yVal>
                <c:smooth val="0"/>
                <c:extLst xmlns:c15="http://schemas.microsoft.com/office/drawing/2012/chart">
                  <c:ext xmlns:c16="http://schemas.microsoft.com/office/drawing/2014/chart" uri="{C3380CC4-5D6E-409C-BE32-E72D297353CC}">
                    <c16:uniqueId val="{00000005-3F4E-4F07-AAA4-68763C018642}"/>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4"/>
          <c:order val="1"/>
          <c:tx>
            <c:strRef>
              <c:f>'Deepwater Complex'!$AG$3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'Deepwater Complex'!$AD$4:$AD$35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Complex'!$AG$4:$AG$35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1-B0BE-4BCB-8F25-CD326AD00989}"/>
            </c:ext>
          </c:extLst>
        </c:ser>
        <c:ser>
          <c:idx val="5"/>
          <c:order val="3"/>
          <c:tx>
            <c:strRef>
              <c:f>'Deepwater Complex'!$AP$3</c:f>
              <c:strCache>
                <c:ptCount val="1"/>
                <c:pt idx="0">
                  <c:v>Orig FES Rec</c:v>
                </c:pt>
              </c:strCache>
            </c:strRef>
          </c:tx>
          <c:xVal>
            <c:numRef>
              <c:f>'Deepwater Complex'!$AM$4:$AM$35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Complex'!$AP$4:$AP$35</c:f>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c:ext xmlns:c16="http://schemas.microsoft.com/office/drawing/2014/chart" uri="{C3380CC4-5D6E-409C-BE32-E72D297353CC}">
              <c16:uniqueId val="{00000003-B0BE-4BCB-8F25-CD326AD00989}"/>
            </c:ext>
          </c:extLst>
        </c:ser>
        <c:ser>
          <c:idx val="6"/>
          <c:order val="4"/>
          <c:tx>
            <c:strRef>
              <c:f>'Deepwater Complex'!$AL$109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'Deepwater Complex'!$AF$110:$AF$141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'Deepwater Complex'!$AL$110:$AL$142</c:f>
              <c:numCache>
                <c:formatCode>#,##0</c:formatCode>
                <c:ptCount val="33"/>
                <c:pt idx="0">
                  <c:v>8.8184000000000005</c:v>
                </c:pt>
                <c:pt idx="1">
                  <c:v>111379.29764559311</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80.144200794564085</c:v>
                </c:pt>
                <c:pt idx="32">
                  <c:v>3486.2738455558642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B0BE-4BCB-8F25-CD326AD00989}"/>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0"/>
                <c:order val="0"/>
                <c:tx>
                  <c:strRef>
                    <c:extLst>
                      <c:ext uri="{02D57815-91ED-43cb-92C2-25804820EDAC}">
                        <c15:formulaRef>
                          <c15:sqref>'Deepwater Complex'!$D$4</c15:sqref>
                        </c15:formulaRef>
                      </c:ext>
                    </c:extLst>
                    <c:strCache>
                      <c:ptCount val="1"/>
                      <c:pt idx="0">
                        <c:v>Total New Wgt</c:v>
                      </c:pt>
                    </c:strCache>
                  </c:strRef>
                </c:tx>
                <c:xVal>
                  <c:numRef>
                    <c:extLst>
                      <c:ext uri="{02D57815-91ED-43cb-92C2-25804820EDAC}">
                        <c15:formulaRef>
                          <c15:sqref>'Deepwater Complex'!$A$5:$A$36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Complex'!$D$5:$D$36</c15:sqref>
                        </c15:formulaRef>
                      </c:ext>
                    </c:extLst>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B0BE-4BCB-8F25-CD326AD00989}"/>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'Deepwater Complex'!$N$4</c15:sqref>
                        </c15:formulaRef>
                      </c:ext>
                    </c:extLst>
                    <c:strCache>
                      <c:ptCount val="1"/>
                      <c:pt idx="0">
                        <c:v>Total Orig FES</c:v>
                      </c:pt>
                    </c:strCache>
                  </c:strRef>
                </c:tx>
                <c:spPr>
                  <a:ln>
                    <a:solidFill>
                      <a:schemeClr val="accent2"/>
                    </a:solidFill>
                  </a:ln>
                </c:spPr>
                <c:marker>
                  <c:spPr>
                    <a:ln>
                      <a:solidFill>
                        <a:schemeClr val="accent2"/>
                      </a:solidFill>
                    </a:ln>
                  </c:spPr>
                </c:marker>
                <c:xVal>
                  <c:numRef>
                    <c:extLst xmlns:c15="http://schemas.microsoft.com/office/drawing/2012/chart">
                      <c:ext xmlns:c15="http://schemas.microsoft.com/office/drawing/2012/chart" uri="{02D57815-91ED-43cb-92C2-25804820EDAC}">
                        <c15:formulaRef>
                          <c15:sqref>'Deepwater Complex'!$K$5:$K$36</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Complex'!$N$5:$N$36</c15:sqref>
                        </c15:formulaRef>
                      </c:ext>
                    </c:extLst>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xmlns:c15="http://schemas.microsoft.com/office/drawing/2012/chart">
                  <c:ext xmlns:c16="http://schemas.microsoft.com/office/drawing/2014/chart" uri="{C3380CC4-5D6E-409C-BE32-E72D297353CC}">
                    <c16:uniqueId val="{00000002-B0BE-4BCB-8F25-CD326AD00989}"/>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'Deepwater Complex'!$D$43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Complex'!$D$44:$D$49</c15:sqref>
                        </c15:formulaRef>
                      </c:ext>
                    </c:extLst>
                    <c:numCache>
                      <c:formatCode>#,##0</c:formatCode>
                      <c:ptCount val="6"/>
                      <c:pt idx="0">
                        <c:v>2863</c:v>
                      </c:pt>
                      <c:pt idx="1">
                        <c:v>2863</c:v>
                      </c:pt>
                      <c:pt idx="2">
                        <c:v>2863</c:v>
                      </c:pt>
                      <c:pt idx="3">
                        <c:v>2863</c:v>
                      </c:pt>
                      <c:pt idx="4">
                        <c:v>2863</c:v>
                      </c:pt>
                      <c:pt idx="5">
                        <c:v>2863</c:v>
                      </c:pt>
                    </c:numCache>
                  </c:numRef>
                </c:yVal>
                <c:smooth val="0"/>
                <c:extLst xmlns:c15="http://schemas.microsoft.com/office/drawing/2012/chart">
                  <c:ext xmlns:c16="http://schemas.microsoft.com/office/drawing/2014/chart" uri="{C3380CC4-5D6E-409C-BE32-E72D297353CC}">
                    <c16:uniqueId val="{00000004-B0BE-4BCB-8F25-CD326AD00989}"/>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'Deepwater Complex'!$N$43</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'Deepwater Complex'!$K$44:$K$49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Complex'!$N$44:$N$49</c15:sqref>
                        </c15:formulaRef>
                      </c:ext>
                    </c:extLst>
                    <c:numCache>
                      <c:formatCode>#,##0</c:formatCode>
                      <c:ptCount val="6"/>
                      <c:pt idx="0">
                        <c:v>2863</c:v>
                      </c:pt>
                      <c:pt idx="1">
                        <c:v>2863</c:v>
                      </c:pt>
                      <c:pt idx="2">
                        <c:v>2863</c:v>
                      </c:pt>
                      <c:pt idx="3">
                        <c:v>2863</c:v>
                      </c:pt>
                      <c:pt idx="4">
                        <c:v>2863</c:v>
                      </c:pt>
                      <c:pt idx="5">
                        <c:v>2863</c:v>
                      </c:pt>
                    </c:numCache>
                  </c:numRef>
                </c:yVal>
                <c:smooth val="0"/>
                <c:extLst xmlns:c15="http://schemas.microsoft.com/office/drawing/2012/chart">
                  <c:ext xmlns:c16="http://schemas.microsoft.com/office/drawing/2014/chart" uri="{C3380CC4-5D6E-409C-BE32-E72D297353CC}">
                    <c16:uniqueId val="{00000005-B0BE-4BCB-8F25-CD326AD00989}"/>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Silk Snapper</a:t>
            </a:r>
          </a:p>
        </c:rich>
      </c:tx>
      <c:overlay val="0"/>
      <c:spPr>
        <a:noFill/>
      </c:spPr>
    </c:title>
    <c:autoTitleDeleted val="0"/>
    <c:plotArea>
      <c:layout/>
      <c:scatterChart>
        <c:scatterStyle val="lineMarker"/>
        <c:varyColors val="0"/>
        <c:ser>
          <c:idx val="0"/>
          <c:order val="0"/>
          <c:tx>
            <c:strRef>
              <c:f>'Deepwater Complex'!$B$4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Complex'!$B$5:$B$36</c:f>
              <c:numCache>
                <c:formatCode>#,##0</c:formatCode>
                <c:ptCount val="32"/>
                <c:pt idx="0">
                  <c:v>36764.692951999998</c:v>
                </c:pt>
                <c:pt idx="1">
                  <c:v>60881.054952460006</c:v>
                </c:pt>
                <c:pt idx="2">
                  <c:v>29850.760886650001</c:v>
                </c:pt>
                <c:pt idx="3">
                  <c:v>23792.451247950001</c:v>
                </c:pt>
                <c:pt idx="4">
                  <c:v>36826.861958000001</c:v>
                </c:pt>
                <c:pt idx="5">
                  <c:v>13737.3964748</c:v>
                </c:pt>
                <c:pt idx="6">
                  <c:v>10548.395982</c:v>
                </c:pt>
                <c:pt idx="7">
                  <c:v>19094.487774679998</c:v>
                </c:pt>
                <c:pt idx="8">
                  <c:v>47924.897530728005</c:v>
                </c:pt>
                <c:pt idx="9">
                  <c:v>52089.767356236</c:v>
                </c:pt>
                <c:pt idx="10">
                  <c:v>54699.437934517999</c:v>
                </c:pt>
                <c:pt idx="11">
                  <c:v>70660.423686109003</c:v>
                </c:pt>
                <c:pt idx="12">
                  <c:v>64552.449835200001</c:v>
                </c:pt>
                <c:pt idx="13">
                  <c:v>18140.642021334399</c:v>
                </c:pt>
                <c:pt idx="14">
                  <c:v>75741.083445024007</c:v>
                </c:pt>
                <c:pt idx="15">
                  <c:v>42300.66128737</c:v>
                </c:pt>
                <c:pt idx="16">
                  <c:v>52474.483649599002</c:v>
                </c:pt>
                <c:pt idx="17">
                  <c:v>36765.791053000001</c:v>
                </c:pt>
                <c:pt idx="18">
                  <c:v>24200.465996040002</c:v>
                </c:pt>
                <c:pt idx="19">
                  <c:v>29999.344898399999</c:v>
                </c:pt>
                <c:pt idx="20">
                  <c:v>24646.070448999999</c:v>
                </c:pt>
                <c:pt idx="21">
                  <c:v>16612.486380535</c:v>
                </c:pt>
                <c:pt idx="22">
                  <c:v>20937.53641529</c:v>
                </c:pt>
                <c:pt idx="23">
                  <c:v>16150.754907490003</c:v>
                </c:pt>
                <c:pt idx="24">
                  <c:v>6679.5404443980005</c:v>
                </c:pt>
                <c:pt idx="25">
                  <c:v>28162.5954093</c:v>
                </c:pt>
                <c:pt idx="26">
                  <c:v>8693.0971095999994</c:v>
                </c:pt>
                <c:pt idx="27">
                  <c:v>11645.395200671999</c:v>
                </c:pt>
                <c:pt idx="28">
                  <c:v>7650.3112812030004</c:v>
                </c:pt>
                <c:pt idx="29">
                  <c:v>14076.409957919999</c:v>
                </c:pt>
                <c:pt idx="30">
                  <c:v>18488.1382916</c:v>
                </c:pt>
                <c:pt idx="31">
                  <c:v>13942.525666379999</c:v>
                </c:pt>
              </c:numCache>
            </c:numRef>
          </c:yVal>
          <c:smooth val="0"/>
          <c:extLst>
            <c:ext xmlns:c16="http://schemas.microsoft.com/office/drawing/2014/chart" uri="{C3380CC4-5D6E-409C-BE32-E72D297353CC}">
              <c16:uniqueId val="{00000000-39BE-476C-93A5-C331CE0A776D}"/>
            </c:ext>
          </c:extLst>
        </c:ser>
        <c:ser>
          <c:idx val="3"/>
          <c:order val="2"/>
          <c:tx>
            <c:strRef>
              <c:f>'Deepwater Complex'!$L$4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Complex'!$L$5:$L$36</c:f>
              <c:numCache>
                <c:formatCode>#,##0</c:formatCode>
                <c:ptCount val="32"/>
                <c:pt idx="0">
                  <c:v>36764.692951999998</c:v>
                </c:pt>
                <c:pt idx="1">
                  <c:v>62407.087556140003</c:v>
                </c:pt>
                <c:pt idx="2">
                  <c:v>30164.010455579995</c:v>
                </c:pt>
                <c:pt idx="3">
                  <c:v>24216.36200465</c:v>
                </c:pt>
                <c:pt idx="4">
                  <c:v>36826.861958000001</c:v>
                </c:pt>
                <c:pt idx="5">
                  <c:v>14103.686696499999</c:v>
                </c:pt>
                <c:pt idx="6">
                  <c:v>10548.395982</c:v>
                </c:pt>
                <c:pt idx="7">
                  <c:v>19188.656859930001</c:v>
                </c:pt>
                <c:pt idx="8">
                  <c:v>30480.085961169993</c:v>
                </c:pt>
                <c:pt idx="9">
                  <c:v>61796.530042579994</c:v>
                </c:pt>
                <c:pt idx="10">
                  <c:v>55685.41461398</c:v>
                </c:pt>
                <c:pt idx="11">
                  <c:v>70833.805369263995</c:v>
                </c:pt>
                <c:pt idx="12">
                  <c:v>64759.872724400004</c:v>
                </c:pt>
                <c:pt idx="13">
                  <c:v>18154.2451327337</c:v>
                </c:pt>
                <c:pt idx="14">
                  <c:v>76018.436674095996</c:v>
                </c:pt>
                <c:pt idx="15">
                  <c:v>42359.944291300002</c:v>
                </c:pt>
                <c:pt idx="16">
                  <c:v>52583.379423104001</c:v>
                </c:pt>
                <c:pt idx="17">
                  <c:v>37544.289054000001</c:v>
                </c:pt>
                <c:pt idx="18">
                  <c:v>24331.970261869999</c:v>
                </c:pt>
                <c:pt idx="19">
                  <c:v>30096.617055399998</c:v>
                </c:pt>
                <c:pt idx="20">
                  <c:v>24824.037418519998</c:v>
                </c:pt>
                <c:pt idx="21">
                  <c:v>16783.626803578998</c:v>
                </c:pt>
                <c:pt idx="22">
                  <c:v>21823.290964529999</c:v>
                </c:pt>
                <c:pt idx="23">
                  <c:v>16216.825045940004</c:v>
                </c:pt>
                <c:pt idx="24">
                  <c:v>6700.5271980200014</c:v>
                </c:pt>
                <c:pt idx="25">
                  <c:v>28399.896226199999</c:v>
                </c:pt>
                <c:pt idx="26">
                  <c:v>8693.0971095999994</c:v>
                </c:pt>
                <c:pt idx="27">
                  <c:v>11646.530760946</c:v>
                </c:pt>
                <c:pt idx="28">
                  <c:v>7655.2928526200003</c:v>
                </c:pt>
                <c:pt idx="29">
                  <c:v>14094.891741399999</c:v>
                </c:pt>
                <c:pt idx="30">
                  <c:v>18488.1382916</c:v>
                </c:pt>
                <c:pt idx="31">
                  <c:v>14023.49383575</c:v>
                </c:pt>
              </c:numCache>
            </c:numRef>
          </c:yVal>
          <c:smooth val="0"/>
          <c:extLst>
            <c:ext xmlns:c16="http://schemas.microsoft.com/office/drawing/2014/chart" uri="{C3380CC4-5D6E-409C-BE32-E72D297353CC}">
              <c16:uniqueId val="{00000002-39BE-476C-93A5-C331CE0A776D}"/>
            </c:ext>
          </c:extLst>
        </c:ser>
        <c:ser>
          <c:idx val="1"/>
          <c:order val="4"/>
          <c:tx>
            <c:strRef>
              <c:f>'Deepwater Complex'!$B$43</c:f>
              <c:strCache>
                <c:ptCount val="1"/>
                <c:pt idx="0">
                  <c:v>New Wgt ABC/ACL</c:v>
                </c:pt>
              </c:strCache>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numRef>
          </c:xVal>
          <c:yVal>
            <c:numRef>
              <c:f>'Deepwater Complex'!$B$44:$B$49</c:f>
              <c:numCache>
                <c:formatCode>#,##0</c:formatCode>
                <c:ptCount val="6"/>
                <c:pt idx="0">
                  <c:v>42300.66128737</c:v>
                </c:pt>
                <c:pt idx="1">
                  <c:v>42300.66128737</c:v>
                </c:pt>
                <c:pt idx="2">
                  <c:v>42300.66128737</c:v>
                </c:pt>
                <c:pt idx="3">
                  <c:v>90889.300134028817</c:v>
                </c:pt>
                <c:pt idx="4">
                  <c:v>90889.300134028817</c:v>
                </c:pt>
                <c:pt idx="5">
                  <c:v>90889.300134028817</c:v>
                </c:pt>
              </c:numCache>
            </c:numRef>
          </c:yVal>
          <c:smooth val="0"/>
          <c:extLst>
            <c:ext xmlns:c16="http://schemas.microsoft.com/office/drawing/2014/chart" uri="{C3380CC4-5D6E-409C-BE32-E72D297353CC}">
              <c16:uniqueId val="{00000004-39BE-476C-93A5-C331CE0A776D}"/>
            </c:ext>
          </c:extLst>
        </c:ser>
        <c:ser>
          <c:idx val="2"/>
          <c:order val="5"/>
          <c:tx>
            <c:strRef>
              <c:f>'Deepwater Complex'!$L$43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Complex'!$L$44:$L$49</c:f>
              <c:numCache>
                <c:formatCode>#,##0</c:formatCode>
                <c:ptCount val="6"/>
                <c:pt idx="0">
                  <c:v>42359.944291300002</c:v>
                </c:pt>
                <c:pt idx="1">
                  <c:v>42359.944291300002</c:v>
                </c:pt>
                <c:pt idx="2">
                  <c:v>42359.944291300002</c:v>
                </c:pt>
                <c:pt idx="3">
                  <c:v>91222.124008915212</c:v>
                </c:pt>
                <c:pt idx="4">
                  <c:v>91222.124008915212</c:v>
                </c:pt>
                <c:pt idx="5">
                  <c:v>91222.124008915212</c:v>
                </c:pt>
              </c:numCache>
            </c:numRef>
          </c:yVal>
          <c:smooth val="0"/>
          <c:extLst>
            <c:ext xmlns:c16="http://schemas.microsoft.com/office/drawing/2014/chart" uri="{C3380CC4-5D6E-409C-BE32-E72D297353CC}">
              <c16:uniqueId val="{00000005-39BE-476C-93A5-C331CE0A776D}"/>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Complex'!$AE$3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Complex'!$AE$4:$AE$35</c15:sqref>
                        </c15:formulaRef>
                      </c:ext>
                    </c:extLst>
                    <c:numCache>
                      <c:formatCode>#,##0</c:formatCode>
                      <c:ptCount val="32"/>
                      <c:pt idx="0">
                        <c:v>11803.692951999999</c:v>
                      </c:pt>
                      <c:pt idx="1">
                        <c:v>41579.054952460006</c:v>
                      </c:pt>
                      <c:pt idx="2">
                        <c:v>12455.76088665</c:v>
                      </c:pt>
                      <c:pt idx="3">
                        <c:v>9517.4512479500008</c:v>
                      </c:pt>
                      <c:pt idx="4">
                        <c:v>1943.861958</c:v>
                      </c:pt>
                      <c:pt idx="5">
                        <c:v>8442.3964747999999</c:v>
                      </c:pt>
                      <c:pt idx="6">
                        <c:v>2694.395982</c:v>
                      </c:pt>
                      <c:pt idx="7">
                        <c:v>5608.4877746799993</c:v>
                      </c:pt>
                      <c:pt idx="8">
                        <c:v>35987.897530728005</c:v>
                      </c:pt>
                      <c:pt idx="9">
                        <c:v>11301.767356236</c:v>
                      </c:pt>
                      <c:pt idx="10">
                        <c:v>6190.4379345180005</c:v>
                      </c:pt>
                      <c:pt idx="11">
                        <c:v>5004.4236861090003</c:v>
                      </c:pt>
                      <c:pt idx="12">
                        <c:v>5981.4498351999991</c:v>
                      </c:pt>
                      <c:pt idx="13">
                        <c:v>1634.6420213344004</c:v>
                      </c:pt>
                      <c:pt idx="14">
                        <c:v>5954.083445024</c:v>
                      </c:pt>
                      <c:pt idx="15">
                        <c:v>2050.6612873699996</c:v>
                      </c:pt>
                      <c:pt idx="16">
                        <c:v>4380.4836495990003</c:v>
                      </c:pt>
                      <c:pt idx="17">
                        <c:v>16089.791052999999</c:v>
                      </c:pt>
                      <c:pt idx="18">
                        <c:v>4037.4659960400004</c:v>
                      </c:pt>
                      <c:pt idx="19">
                        <c:v>3773.3448984000001</c:v>
                      </c:pt>
                      <c:pt idx="20">
                        <c:v>4344.0704490000007</c:v>
                      </c:pt>
                      <c:pt idx="21">
                        <c:v>5005.4863805349996</c:v>
                      </c:pt>
                      <c:pt idx="22">
                        <c:v>6952.5364152900001</c:v>
                      </c:pt>
                      <c:pt idx="23">
                        <c:v>6258.7549074900035</c:v>
                      </c:pt>
                      <c:pt idx="24">
                        <c:v>2225.5404443980005</c:v>
                      </c:pt>
                      <c:pt idx="25">
                        <c:v>5407.5954093</c:v>
                      </c:pt>
                      <c:pt idx="26">
                        <c:v>4318.0971096000003</c:v>
                      </c:pt>
                      <c:pt idx="27">
                        <c:v>1643.3952006719999</c:v>
                      </c:pt>
                      <c:pt idx="28">
                        <c:v>1243.3112812030004</c:v>
                      </c:pt>
                      <c:pt idx="29">
                        <c:v>2587.4099579199997</c:v>
                      </c:pt>
                      <c:pt idx="30">
                        <c:v>1858.1382915999998</c:v>
                      </c:pt>
                      <c:pt idx="31">
                        <c:v>2709.5256663800001</c:v>
                      </c:pt>
                    </c:numCache>
                  </c:numRef>
                </c:yVal>
                <c:smooth val="0"/>
                <c:extLst>
                  <c:ext xmlns:c16="http://schemas.microsoft.com/office/drawing/2014/chart" uri="{C3380CC4-5D6E-409C-BE32-E72D297353CC}">
                    <c16:uniqueId val="{00000001-39BE-476C-93A5-C331CE0A776D}"/>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Complex'!$AN$3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Complex'!$AN$4:$AN$35</c15:sqref>
                        </c15:formulaRef>
                      </c:ext>
                    </c:extLst>
                    <c:numCache>
                      <c:formatCode>#,##0</c:formatCode>
                      <c:ptCount val="32"/>
                      <c:pt idx="0">
                        <c:v>11803.692951999999</c:v>
                      </c:pt>
                      <c:pt idx="1">
                        <c:v>43105.087556140003</c:v>
                      </c:pt>
                      <c:pt idx="2">
                        <c:v>12769.010455579995</c:v>
                      </c:pt>
                      <c:pt idx="3">
                        <c:v>9941.3620046499982</c:v>
                      </c:pt>
                      <c:pt idx="4">
                        <c:v>1943.861958</c:v>
                      </c:pt>
                      <c:pt idx="5">
                        <c:v>8808.686696499999</c:v>
                      </c:pt>
                      <c:pt idx="6">
                        <c:v>2694.395982</c:v>
                      </c:pt>
                      <c:pt idx="7">
                        <c:v>5702.6568599300017</c:v>
                      </c:pt>
                      <c:pt idx="8">
                        <c:v>18543.085961169993</c:v>
                      </c:pt>
                      <c:pt idx="9">
                        <c:v>21008.530042579994</c:v>
                      </c:pt>
                      <c:pt idx="10">
                        <c:v>7176.4146139799977</c:v>
                      </c:pt>
                      <c:pt idx="11">
                        <c:v>5177.8053692640015</c:v>
                      </c:pt>
                      <c:pt idx="12">
                        <c:v>6188.872724400002</c:v>
                      </c:pt>
                      <c:pt idx="13">
                        <c:v>1648.2451327337005</c:v>
                      </c:pt>
                      <c:pt idx="14">
                        <c:v>6231.4366740960013</c:v>
                      </c:pt>
                      <c:pt idx="15">
                        <c:v>2109.9442913000003</c:v>
                      </c:pt>
                      <c:pt idx="16">
                        <c:v>4489.3794231040001</c:v>
                      </c:pt>
                      <c:pt idx="17">
                        <c:v>16868.289054000001</c:v>
                      </c:pt>
                      <c:pt idx="18">
                        <c:v>4168.9702618699994</c:v>
                      </c:pt>
                      <c:pt idx="19">
                        <c:v>3870.6170553999987</c:v>
                      </c:pt>
                      <c:pt idx="20">
                        <c:v>4522.0374185199998</c:v>
                      </c:pt>
                      <c:pt idx="21">
                        <c:v>5176.6268035789999</c:v>
                      </c:pt>
                      <c:pt idx="22">
                        <c:v>7838.2909645299997</c:v>
                      </c:pt>
                      <c:pt idx="23">
                        <c:v>6324.8250459400033</c:v>
                      </c:pt>
                      <c:pt idx="24">
                        <c:v>2246.5271980200009</c:v>
                      </c:pt>
                      <c:pt idx="25">
                        <c:v>5644.8962261999995</c:v>
                      </c:pt>
                      <c:pt idx="26">
                        <c:v>4318.0971096000003</c:v>
                      </c:pt>
                      <c:pt idx="27">
                        <c:v>1644.5307609460001</c:v>
                      </c:pt>
                      <c:pt idx="28">
                        <c:v>1248.2928526200003</c:v>
                      </c:pt>
                      <c:pt idx="29">
                        <c:v>2605.8917413999998</c:v>
                      </c:pt>
                      <c:pt idx="30">
                        <c:v>1858.1382915999998</c:v>
                      </c:pt>
                      <c:pt idx="31">
                        <c:v>2790.49383575</c:v>
                      </c:pt>
                    </c:numCache>
                  </c:numRef>
                </c:yVal>
                <c:smooth val="0"/>
                <c:extLst xmlns:c15="http://schemas.microsoft.com/office/drawing/2012/chart">
                  <c:ext xmlns:c16="http://schemas.microsoft.com/office/drawing/2014/chart" uri="{C3380CC4-5D6E-409C-BE32-E72D297353CC}">
                    <c16:uniqueId val="{00000003-39BE-476C-93A5-C331CE0A776D}"/>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Yellowedge Grouper</a:t>
            </a:r>
          </a:p>
        </c:rich>
      </c:tx>
      <c:overlay val="0"/>
      <c:spPr>
        <a:noFill/>
      </c:spPr>
    </c:title>
    <c:autoTitleDeleted val="0"/>
    <c:plotArea>
      <c:layout/>
      <c:scatterChart>
        <c:scatterStyle val="lineMarker"/>
        <c:varyColors val="0"/>
        <c:ser>
          <c:idx val="0"/>
          <c:order val="0"/>
          <c:tx>
            <c:strRef>
              <c:f>'Deepwater Complex'!$C$4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Complex'!$C$5:$C$36</c:f>
              <c:numCache>
                <c:formatCode>#,##0</c:formatCode>
                <c:ptCount val="32"/>
                <c:pt idx="0">
                  <c:v>35314.695500000002</c:v>
                </c:pt>
                <c:pt idx="1">
                  <c:v>28643.654450000002</c:v>
                </c:pt>
                <c:pt idx="2">
                  <c:v>38960.194554200003</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37765.398678400001</c:v>
                </c:pt>
                <c:pt idx="12">
                  <c:v>33450.454932000001</c:v>
                </c:pt>
                <c:pt idx="13">
                  <c:v>30774</c:v>
                </c:pt>
                <c:pt idx="14">
                  <c:v>46624.79235186</c:v>
                </c:pt>
                <c:pt idx="15">
                  <c:v>44816.002256591004</c:v>
                </c:pt>
                <c:pt idx="16">
                  <c:v>29694.086768000001</c:v>
                </c:pt>
                <c:pt idx="17">
                  <c:v>20007.920748979999</c:v>
                </c:pt>
                <c:pt idx="18">
                  <c:v>37465.001446000002</c:v>
                </c:pt>
                <c:pt idx="19">
                  <c:v>94256.556095940003</c:v>
                </c:pt>
                <c:pt idx="20">
                  <c:v>13748.439504</c:v>
                </c:pt>
                <c:pt idx="21">
                  <c:v>20596</c:v>
                </c:pt>
                <c:pt idx="22">
                  <c:v>22637.59013063</c:v>
                </c:pt>
                <c:pt idx="23">
                  <c:v>27977.59243647</c:v>
                </c:pt>
                <c:pt idx="24">
                  <c:v>30262.554822450002</c:v>
                </c:pt>
                <c:pt idx="25">
                  <c:v>2269.8236975999998</c:v>
                </c:pt>
                <c:pt idx="26">
                  <c:v>4127.9118488000004</c:v>
                </c:pt>
                <c:pt idx="27">
                  <c:v>21589.545524789999</c:v>
                </c:pt>
                <c:pt idx="28">
                  <c:v>41784.861325238999</c:v>
                </c:pt>
                <c:pt idx="29">
                  <c:v>61373.0412832</c:v>
                </c:pt>
                <c:pt idx="30">
                  <c:v>26159.03877359</c:v>
                </c:pt>
                <c:pt idx="31">
                  <c:v>35406.642130100001</c:v>
                </c:pt>
              </c:numCache>
            </c:numRef>
          </c:yVal>
          <c:smooth val="0"/>
          <c:extLst>
            <c:ext xmlns:c16="http://schemas.microsoft.com/office/drawing/2014/chart" uri="{C3380CC4-5D6E-409C-BE32-E72D297353CC}">
              <c16:uniqueId val="{00000000-B393-4A5D-B98C-7388737318AB}"/>
            </c:ext>
          </c:extLst>
        </c:ser>
        <c:ser>
          <c:idx val="3"/>
          <c:order val="2"/>
          <c:tx>
            <c:strRef>
              <c:f>'Deepwater Complex'!$M$4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Complex'!$M$5:$M$36</c:f>
              <c:numCache>
                <c:formatCode>#,##0</c:formatCode>
                <c:ptCount val="32"/>
                <c:pt idx="0">
                  <c:v>35314.695500000002</c:v>
                </c:pt>
                <c:pt idx="1">
                  <c:v>28643.654450000002</c:v>
                </c:pt>
                <c:pt idx="2">
                  <c:v>40941.063478199998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37891.096014800001</c:v>
                </c:pt>
                <c:pt idx="12">
                  <c:v>33450.454932000001</c:v>
                </c:pt>
                <c:pt idx="13">
                  <c:v>30774</c:v>
                </c:pt>
                <c:pt idx="14">
                  <c:v>46696.116684120003</c:v>
                </c:pt>
                <c:pt idx="15">
                  <c:v>45561.268068862999</c:v>
                </c:pt>
                <c:pt idx="16">
                  <c:v>29694.086768000001</c:v>
                </c:pt>
                <c:pt idx="17">
                  <c:v>20013.283451191</c:v>
                </c:pt>
                <c:pt idx="18">
                  <c:v>37465.001446000002</c:v>
                </c:pt>
                <c:pt idx="19">
                  <c:v>102505.84473949998</c:v>
                </c:pt>
                <c:pt idx="20">
                  <c:v>13748.439504</c:v>
                </c:pt>
                <c:pt idx="21">
                  <c:v>20596</c:v>
                </c:pt>
                <c:pt idx="22">
                  <c:v>22692.7089973</c:v>
                </c:pt>
                <c:pt idx="23">
                  <c:v>28015.531944580001</c:v>
                </c:pt>
                <c:pt idx="24">
                  <c:v>30829.372140660002</c:v>
                </c:pt>
                <c:pt idx="25">
                  <c:v>2269.8236975999998</c:v>
                </c:pt>
                <c:pt idx="26">
                  <c:v>4127.9118488000004</c:v>
                </c:pt>
                <c:pt idx="27">
                  <c:v>21665.74691781</c:v>
                </c:pt>
                <c:pt idx="28">
                  <c:v>41808.791517897997</c:v>
                </c:pt>
                <c:pt idx="29">
                  <c:v>61482.393155999998</c:v>
                </c:pt>
                <c:pt idx="30">
                  <c:v>26193.90588292</c:v>
                </c:pt>
                <c:pt idx="31">
                  <c:v>35939.779148699999</c:v>
                </c:pt>
              </c:numCache>
            </c:numRef>
          </c:yVal>
          <c:smooth val="0"/>
          <c:extLst>
            <c:ext xmlns:c16="http://schemas.microsoft.com/office/drawing/2014/chart" uri="{C3380CC4-5D6E-409C-BE32-E72D297353CC}">
              <c16:uniqueId val="{00000002-B393-4A5D-B98C-7388737318AB}"/>
            </c:ext>
          </c:extLst>
        </c:ser>
        <c:ser>
          <c:idx val="1"/>
          <c:order val="4"/>
          <c:tx>
            <c:strRef>
              <c:f>'Deepwater Complex'!$C$43</c:f>
              <c:strCache>
                <c:ptCount val="1"/>
                <c:pt idx="0">
                  <c:v>New Wgt ABC/ACL</c:v>
                </c:pt>
              </c:strCache>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numRef>
          </c:xVal>
          <c:yVal>
            <c:numRef>
              <c:f>'Deepwater Complex'!$C$44:$C$49</c:f>
              <c:numCache>
                <c:formatCode>#,##0</c:formatCode>
                <c:ptCount val="6"/>
                <c:pt idx="0">
                  <c:v>44816.002256591004</c:v>
                </c:pt>
                <c:pt idx="1">
                  <c:v>44816.002256591004</c:v>
                </c:pt>
                <c:pt idx="2">
                  <c:v>44816.002256591004</c:v>
                </c:pt>
                <c:pt idx="3">
                  <c:v>113107.86731512801</c:v>
                </c:pt>
                <c:pt idx="4">
                  <c:v>113107.86731512801</c:v>
                </c:pt>
                <c:pt idx="5">
                  <c:v>113107.86731512801</c:v>
                </c:pt>
              </c:numCache>
            </c:numRef>
          </c:yVal>
          <c:smooth val="0"/>
          <c:extLst>
            <c:ext xmlns:c16="http://schemas.microsoft.com/office/drawing/2014/chart" uri="{C3380CC4-5D6E-409C-BE32-E72D297353CC}">
              <c16:uniqueId val="{00000004-B393-4A5D-B98C-7388737318AB}"/>
            </c:ext>
          </c:extLst>
        </c:ser>
        <c:ser>
          <c:idx val="2"/>
          <c:order val="5"/>
          <c:tx>
            <c:strRef>
              <c:f>'Deepwater Complex'!$M$43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Complex'!$M$44:$M$49</c:f>
              <c:numCache>
                <c:formatCode>#,##0</c:formatCode>
                <c:ptCount val="6"/>
                <c:pt idx="0">
                  <c:v>45561.268068862999</c:v>
                </c:pt>
                <c:pt idx="1">
                  <c:v>45561.268068862999</c:v>
                </c:pt>
                <c:pt idx="2">
                  <c:v>45561.268068862999</c:v>
                </c:pt>
                <c:pt idx="3">
                  <c:v>123007.01368739999</c:v>
                </c:pt>
                <c:pt idx="4">
                  <c:v>123007.01368739999</c:v>
                </c:pt>
                <c:pt idx="5">
                  <c:v>123007.01368739999</c:v>
                </c:pt>
              </c:numCache>
            </c:numRef>
          </c:yVal>
          <c:smooth val="0"/>
          <c:extLst>
            <c:ext xmlns:c16="http://schemas.microsoft.com/office/drawing/2014/chart" uri="{C3380CC4-5D6E-409C-BE32-E72D297353CC}">
              <c16:uniqueId val="{00000005-B393-4A5D-B98C-7388737318AB}"/>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Complex'!$AF$3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Complex'!$AF$4:$AF$35</c15:sqref>
                        </c15:formulaRef>
                      </c:ext>
                    </c:extLst>
                    <c:numCache>
                      <c:formatCode>#,##0</c:formatCode>
                      <c:ptCount val="32"/>
                      <c:pt idx="0">
                        <c:v>93.695499999999996</c:v>
                      </c:pt>
                      <c:pt idx="1">
                        <c:v>960.65445</c:v>
                      </c:pt>
                      <c:pt idx="2">
                        <c:v>20398.194554199999</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1315.3986783999999</c:v>
                      </c:pt>
                      <c:pt idx="12">
                        <c:v>254.45493199999999</c:v>
                      </c:pt>
                      <c:pt idx="14">
                        <c:v>919.79235186000005</c:v>
                      </c:pt>
                      <c:pt idx="15">
                        <c:v>7704.0022565910003</c:v>
                      </c:pt>
                      <c:pt idx="16">
                        <c:v>53.086767999999999</c:v>
                      </c:pt>
                      <c:pt idx="17">
                        <c:v>166.92074897999998</c:v>
                      </c:pt>
                      <c:pt idx="18">
                        <c:v>86.001446000000016</c:v>
                      </c:pt>
                      <c:pt idx="19">
                        <c:v>84863.556095940003</c:v>
                      </c:pt>
                      <c:pt idx="20">
                        <c:v>53.439503999999999</c:v>
                      </c:pt>
                      <c:pt idx="22">
                        <c:v>566.59013062999998</c:v>
                      </c:pt>
                      <c:pt idx="23">
                        <c:v>468.59243647</c:v>
                      </c:pt>
                      <c:pt idx="24">
                        <c:v>5826.5548224499998</c:v>
                      </c:pt>
                      <c:pt idx="25">
                        <c:v>9.8236975999999991</c:v>
                      </c:pt>
                      <c:pt idx="26">
                        <c:v>4.9118487999999996</c:v>
                      </c:pt>
                      <c:pt idx="27">
                        <c:v>1824.5455247899999</c:v>
                      </c:pt>
                      <c:pt idx="28">
                        <c:v>3365.8613252390005</c:v>
                      </c:pt>
                      <c:pt idx="29">
                        <c:v>2906.0412832000002</c:v>
                      </c:pt>
                      <c:pt idx="30">
                        <c:v>2075.0387735900003</c:v>
                      </c:pt>
                      <c:pt idx="31">
                        <c:v>6720.6421301</c:v>
                      </c:pt>
                    </c:numCache>
                  </c:numRef>
                </c:yVal>
                <c:smooth val="0"/>
                <c:extLst>
                  <c:ext xmlns:c16="http://schemas.microsoft.com/office/drawing/2014/chart" uri="{C3380CC4-5D6E-409C-BE32-E72D297353CC}">
                    <c16:uniqueId val="{00000001-B393-4A5D-B98C-7388737318AB}"/>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Complex'!$AO$3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Complex'!$AO$4:$AO$35</c15:sqref>
                        </c15:formulaRef>
                      </c:ext>
                    </c:extLst>
                    <c:numCache>
                      <c:formatCode>#,##0</c:formatCode>
                      <c:ptCount val="32"/>
                      <c:pt idx="0">
                        <c:v>93.695499999999996</c:v>
                      </c:pt>
                      <c:pt idx="1">
                        <c:v>960.65445</c:v>
                      </c:pt>
                      <c:pt idx="2">
                        <c:v>22379.063478199998</c:v>
                      </c:pt>
                      <c:pt idx="3">
                        <c:v>95.296039599999986</c:v>
                      </c:pt>
                      <c:pt idx="4">
                        <c:v>82.385901999999987</c:v>
                      </c:pt>
                      <c:pt idx="5">
                        <c:v>92.438878000000003</c:v>
                      </c:pt>
                      <c:pt idx="6">
                        <c:v>41.666940000000004</c:v>
                      </c:pt>
                      <c:pt idx="7">
                        <c:v>114.74942999999999</c:v>
                      </c:pt>
                      <c:pt idx="8">
                        <c:v>260.03257000000002</c:v>
                      </c:pt>
                      <c:pt idx="9">
                        <c:v>249.957548</c:v>
                      </c:pt>
                      <c:pt idx="10">
                        <c:v>514.00248999999997</c:v>
                      </c:pt>
                      <c:pt idx="11">
                        <c:v>1441.0960148000001</c:v>
                      </c:pt>
                      <c:pt idx="12">
                        <c:v>254.45493199999999</c:v>
                      </c:pt>
                      <c:pt idx="13">
                        <c:v>0</c:v>
                      </c:pt>
                      <c:pt idx="14">
                        <c:v>991.11668411999972</c:v>
                      </c:pt>
                      <c:pt idx="15">
                        <c:v>8449.2680688629989</c:v>
                      </c:pt>
                      <c:pt idx="16">
                        <c:v>53.086767999999999</c:v>
                      </c:pt>
                      <c:pt idx="17">
                        <c:v>172.28345119099998</c:v>
                      </c:pt>
                      <c:pt idx="18">
                        <c:v>86.001446000000016</c:v>
                      </c:pt>
                      <c:pt idx="19">
                        <c:v>93112.844739499982</c:v>
                      </c:pt>
                      <c:pt idx="20">
                        <c:v>53.439503999999999</c:v>
                      </c:pt>
                      <c:pt idx="21">
                        <c:v>0</c:v>
                      </c:pt>
                      <c:pt idx="22">
                        <c:v>621.70899729999996</c:v>
                      </c:pt>
                      <c:pt idx="23">
                        <c:v>506.53194458000002</c:v>
                      </c:pt>
                      <c:pt idx="24">
                        <c:v>6393.3721406600007</c:v>
                      </c:pt>
                      <c:pt idx="25">
                        <c:v>9.8236975999999991</c:v>
                      </c:pt>
                      <c:pt idx="26">
                        <c:v>4.9118487999999996</c:v>
                      </c:pt>
                      <c:pt idx="27">
                        <c:v>1900.7469178099998</c:v>
                      </c:pt>
                      <c:pt idx="28">
                        <c:v>3389.7915178979997</c:v>
                      </c:pt>
                      <c:pt idx="29">
                        <c:v>3015.3931560000001</c:v>
                      </c:pt>
                      <c:pt idx="30">
                        <c:v>2109.9058829200003</c:v>
                      </c:pt>
                      <c:pt idx="31">
                        <c:v>7253.7791486999995</c:v>
                      </c:pt>
                    </c:numCache>
                  </c:numRef>
                </c:yVal>
                <c:smooth val="0"/>
                <c:extLst xmlns:c15="http://schemas.microsoft.com/office/drawing/2012/chart">
                  <c:ext xmlns:c16="http://schemas.microsoft.com/office/drawing/2014/chart" uri="{C3380CC4-5D6E-409C-BE32-E72D297353CC}">
                    <c16:uniqueId val="{00000003-B393-4A5D-B98C-7388737318AB}"/>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0"/>
          <c:order val="0"/>
          <c:tx>
            <c:strRef>
              <c:f>'Deepwater Complex'!$D$4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0010-4282-B130-35D822227751}"/>
            </c:ext>
          </c:extLst>
        </c:ser>
        <c:ser>
          <c:idx val="3"/>
          <c:order val="2"/>
          <c:tx>
            <c:strRef>
              <c:f>'Deepwater Complex'!$N$4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Complex'!$N$5:$N$36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c:ext xmlns:c16="http://schemas.microsoft.com/office/drawing/2014/chart" uri="{C3380CC4-5D6E-409C-BE32-E72D297353CC}">
              <c16:uniqueId val="{00000002-0010-4282-B130-35D822227751}"/>
            </c:ext>
          </c:extLst>
        </c:ser>
        <c:ser>
          <c:idx val="1"/>
          <c:order val="4"/>
          <c:tx>
            <c:strRef>
              <c:f>'Deepwater Complex'!$D$43</c:f>
              <c:strCache>
                <c:ptCount val="1"/>
                <c:pt idx="0">
                  <c:v>New Wgt ABC/ACL</c:v>
                </c:pt>
              </c:strCache>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numRef>
          </c:xVal>
          <c:yVal>
            <c:numRef>
              <c:f>'Deepwater Complex'!$D$44:$D$49</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4-0010-4282-B130-35D822227751}"/>
            </c:ext>
          </c:extLst>
        </c:ser>
        <c:ser>
          <c:idx val="2"/>
          <c:order val="5"/>
          <c:tx>
            <c:strRef>
              <c:f>'Deepwater Complex'!$N$43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Complex'!$N$44:$N$49</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5-0010-4282-B130-35D822227751}"/>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Complex'!$AG$3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Complex'!$AG$4:$AG$35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1-0010-4282-B130-35D822227751}"/>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Complex'!$AP$3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Complex'!$AP$4:$AP$35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xmlns:c15="http://schemas.microsoft.com/office/drawing/2012/chart">
                  <c:ext xmlns:c16="http://schemas.microsoft.com/office/drawing/2014/chart" uri="{C3380CC4-5D6E-409C-BE32-E72D297353CC}">
                    <c16:uniqueId val="{00000003-0010-4282-B130-35D822227751}"/>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45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Queen Snapper</a:t>
            </a:r>
          </a:p>
        </c:rich>
      </c:tx>
      <c:overlay val="0"/>
      <c:spPr>
        <a:noFill/>
      </c:spPr>
    </c:title>
    <c:autoTitleDeleted val="0"/>
    <c:plotArea>
      <c:layout/>
      <c:scatterChart>
        <c:scatterStyle val="lineMarker"/>
        <c:varyColors val="0"/>
        <c:ser>
          <c:idx val="0"/>
          <c:order val="0"/>
          <c:tx>
            <c:strRef>
              <c:f>'Deepwater Complex'!$E$4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Complex'!$E$5:$E$36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0-550F-459F-AF5F-EA8B4AA43191}"/>
            </c:ext>
          </c:extLst>
        </c:ser>
        <c:ser>
          <c:idx val="3"/>
          <c:order val="2"/>
          <c:tx>
            <c:strRef>
              <c:f>'Deepwater Complex'!$O$4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Complex'!$O$5:$O$36</c:f>
              <c:numCache>
                <c:formatCode>#,##0</c:formatCode>
                <c:ptCount val="32"/>
                <c:pt idx="0">
                  <c:v>0</c:v>
                </c:pt>
                <c:pt idx="1">
                  <c:v>0</c:v>
                </c:pt>
                <c:pt idx="2">
                  <c:v>0</c:v>
                </c:pt>
                <c:pt idx="3">
                  <c:v>8871.7243796999992</c:v>
                </c:pt>
                <c:pt idx="4">
                  <c:v>32</c:v>
                </c:pt>
                <c:pt idx="5">
                  <c:v>140</c:v>
                </c:pt>
                <c:pt idx="6">
                  <c:v>0.99207000000000001</c:v>
                </c:pt>
                <c:pt idx="7">
                  <c:v>2973.4991279999999</c:v>
                </c:pt>
                <c:pt idx="8">
                  <c:v>317</c:v>
                </c:pt>
                <c:pt idx="9">
                  <c:v>18489</c:v>
                </c:pt>
                <c:pt idx="10">
                  <c:v>24491.833791900001</c:v>
                </c:pt>
                <c:pt idx="11">
                  <c:v>12979</c:v>
                </c:pt>
                <c:pt idx="12">
                  <c:v>6396</c:v>
                </c:pt>
                <c:pt idx="13">
                  <c:v>9187.1468105099993</c:v>
                </c:pt>
                <c:pt idx="14">
                  <c:v>18913</c:v>
                </c:pt>
                <c:pt idx="15">
                  <c:v>10350.006557963199</c:v>
                </c:pt>
                <c:pt idx="16">
                  <c:v>7865</c:v>
                </c:pt>
                <c:pt idx="17">
                  <c:v>3989</c:v>
                </c:pt>
                <c:pt idx="18">
                  <c:v>3608</c:v>
                </c:pt>
                <c:pt idx="19">
                  <c:v>9447.6342586999999</c:v>
                </c:pt>
                <c:pt idx="20">
                  <c:v>3178</c:v>
                </c:pt>
                <c:pt idx="21">
                  <c:v>7303</c:v>
                </c:pt>
                <c:pt idx="22">
                  <c:v>4760</c:v>
                </c:pt>
                <c:pt idx="23">
                  <c:v>1898</c:v>
                </c:pt>
                <c:pt idx="24">
                  <c:v>5810.0597587350003</c:v>
                </c:pt>
                <c:pt idx="25">
                  <c:v>5644</c:v>
                </c:pt>
                <c:pt idx="26">
                  <c:v>482</c:v>
                </c:pt>
                <c:pt idx="27">
                  <c:v>1949.8822322000001</c:v>
                </c:pt>
                <c:pt idx="28">
                  <c:v>3297.2697944000001</c:v>
                </c:pt>
                <c:pt idx="29">
                  <c:v>4232.7359097999997</c:v>
                </c:pt>
                <c:pt idx="30">
                  <c:v>10058.3308514</c:v>
                </c:pt>
                <c:pt idx="31">
                  <c:v>4538.8895833999995</c:v>
                </c:pt>
              </c:numCache>
            </c:numRef>
          </c:yVal>
          <c:smooth val="0"/>
          <c:extLst>
            <c:ext xmlns:c16="http://schemas.microsoft.com/office/drawing/2014/chart" uri="{C3380CC4-5D6E-409C-BE32-E72D297353CC}">
              <c16:uniqueId val="{00000002-550F-459F-AF5F-EA8B4AA43191}"/>
            </c:ext>
          </c:extLst>
        </c:ser>
        <c:ser>
          <c:idx val="1"/>
          <c:order val="4"/>
          <c:tx>
            <c:strRef>
              <c:f>'Deepwater Complex'!$E$43</c:f>
              <c:strCache>
                <c:ptCount val="1"/>
                <c:pt idx="0">
                  <c:v>New Wgt ABC/ACL</c:v>
                </c:pt>
              </c:strCache>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numRef>
          </c:xVal>
          <c:yVal>
            <c:numRef>
              <c:f>'Deepwater Complex'!$E$44:$E$49</c:f>
              <c:numCache>
                <c:formatCode>#,##0</c:formatCode>
                <c:ptCount val="6"/>
                <c:pt idx="0">
                  <c:v>9447.6342586999999</c:v>
                </c:pt>
                <c:pt idx="1">
                  <c:v>9447.6342586999999</c:v>
                </c:pt>
                <c:pt idx="2">
                  <c:v>9447.6342586999999</c:v>
                </c:pt>
                <c:pt idx="3">
                  <c:v>9447.6342586999999</c:v>
                </c:pt>
                <c:pt idx="4">
                  <c:v>9447.6342586999999</c:v>
                </c:pt>
                <c:pt idx="5">
                  <c:v>9447.6342586999999</c:v>
                </c:pt>
              </c:numCache>
            </c:numRef>
          </c:yVal>
          <c:smooth val="0"/>
          <c:extLst>
            <c:ext xmlns:c16="http://schemas.microsoft.com/office/drawing/2014/chart" uri="{C3380CC4-5D6E-409C-BE32-E72D297353CC}">
              <c16:uniqueId val="{00000004-550F-459F-AF5F-EA8B4AA43191}"/>
            </c:ext>
          </c:extLst>
        </c:ser>
        <c:ser>
          <c:idx val="2"/>
          <c:order val="5"/>
          <c:tx>
            <c:strRef>
              <c:f>'Deepwater Complex'!$O$43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Complex'!$O$44:$O$49</c:f>
              <c:numCache>
                <c:formatCode>#,##0</c:formatCode>
                <c:ptCount val="6"/>
                <c:pt idx="0">
                  <c:v>9447.6342586999999</c:v>
                </c:pt>
                <c:pt idx="1">
                  <c:v>9447.6342586999999</c:v>
                </c:pt>
                <c:pt idx="2">
                  <c:v>9447.6342586999999</c:v>
                </c:pt>
                <c:pt idx="3">
                  <c:v>9447.6342586999999</c:v>
                </c:pt>
                <c:pt idx="4">
                  <c:v>9447.6342586999999</c:v>
                </c:pt>
                <c:pt idx="5">
                  <c:v>9447.6342586999999</c:v>
                </c:pt>
              </c:numCache>
            </c:numRef>
          </c:yVal>
          <c:smooth val="0"/>
          <c:extLst>
            <c:ext xmlns:c16="http://schemas.microsoft.com/office/drawing/2014/chart" uri="{C3380CC4-5D6E-409C-BE32-E72D297353CC}">
              <c16:uniqueId val="{00000005-550F-459F-AF5F-EA8B4AA43191}"/>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Complex'!$AH$3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Complex'!$AH$4:$AH$35</c15:sqref>
                        </c15:formulaRef>
                      </c:ext>
                    </c:extLst>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c:ext xmlns:c16="http://schemas.microsoft.com/office/drawing/2014/chart" uri="{C3380CC4-5D6E-409C-BE32-E72D297353CC}">
                    <c16:uniqueId val="{00000001-550F-459F-AF5F-EA8B4AA43191}"/>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Complex'!$AQ$3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Complex'!$AQ$4:$AQ$35</c15:sqref>
                        </c15:formulaRef>
                      </c:ext>
                    </c:extLst>
                    <c:numCache>
                      <c:formatCode>#,##0</c:formatCode>
                      <c:ptCount val="32"/>
                      <c:pt idx="0">
                        <c:v>0</c:v>
                      </c:pt>
                      <c:pt idx="1">
                        <c:v>0</c:v>
                      </c:pt>
                      <c:pt idx="2">
                        <c:v>0</c:v>
                      </c:pt>
                      <c:pt idx="3">
                        <c:v>8871.7243796999992</c:v>
                      </c:pt>
                      <c:pt idx="4">
                        <c:v>0</c:v>
                      </c:pt>
                      <c:pt idx="5">
                        <c:v>0</c:v>
                      </c:pt>
                      <c:pt idx="6">
                        <c:v>0.99207000000000001</c:v>
                      </c:pt>
                      <c:pt idx="7">
                        <c:v>1.499128</c:v>
                      </c:pt>
                      <c:pt idx="8">
                        <c:v>0</c:v>
                      </c:pt>
                      <c:pt idx="9">
                        <c:v>0</c:v>
                      </c:pt>
                      <c:pt idx="10">
                        <c:v>4858.8337918999996</c:v>
                      </c:pt>
                      <c:pt idx="11">
                        <c:v>0</c:v>
                      </c:pt>
                      <c:pt idx="12">
                        <c:v>0</c:v>
                      </c:pt>
                      <c:pt idx="13">
                        <c:v>130.14681050999999</c:v>
                      </c:pt>
                      <c:pt idx="14">
                        <c:v>0</c:v>
                      </c:pt>
                      <c:pt idx="15">
                        <c:v>8.0065579632000006</c:v>
                      </c:pt>
                      <c:pt idx="16">
                        <c:v>0</c:v>
                      </c:pt>
                      <c:pt idx="17">
                        <c:v>0</c:v>
                      </c:pt>
                      <c:pt idx="18">
                        <c:v>0</c:v>
                      </c:pt>
                      <c:pt idx="19">
                        <c:v>2565.6342586999999</c:v>
                      </c:pt>
                      <c:pt idx="20">
                        <c:v>0</c:v>
                      </c:pt>
                      <c:pt idx="21">
                        <c:v>0</c:v>
                      </c:pt>
                      <c:pt idx="22">
                        <c:v>0</c:v>
                      </c:pt>
                      <c:pt idx="23">
                        <c:v>0</c:v>
                      </c:pt>
                      <c:pt idx="24">
                        <c:v>11.059758735000001</c:v>
                      </c:pt>
                      <c:pt idx="25">
                        <c:v>0</c:v>
                      </c:pt>
                      <c:pt idx="26">
                        <c:v>0</c:v>
                      </c:pt>
                      <c:pt idx="27">
                        <c:v>127.88223219999999</c:v>
                      </c:pt>
                      <c:pt idx="28">
                        <c:v>1068.2697944000001</c:v>
                      </c:pt>
                      <c:pt idx="29">
                        <c:v>3094.7359097999997</c:v>
                      </c:pt>
                      <c:pt idx="30">
                        <c:v>8023.3308514</c:v>
                      </c:pt>
                      <c:pt idx="31">
                        <c:v>4205.8895833999995</c:v>
                      </c:pt>
                    </c:numCache>
                  </c:numRef>
                </c:yVal>
                <c:smooth val="0"/>
                <c:extLst xmlns:c15="http://schemas.microsoft.com/office/drawing/2012/chart">
                  <c:ext xmlns:c16="http://schemas.microsoft.com/office/drawing/2014/chart" uri="{C3380CC4-5D6E-409C-BE32-E72D297353CC}">
                    <c16:uniqueId val="{00000003-550F-459F-AF5F-EA8B4AA43191}"/>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Sand Tilefish</a:t>
            </a:r>
          </a:p>
        </c:rich>
      </c:tx>
      <c:overlay val="0"/>
      <c:spPr>
        <a:noFill/>
      </c:spPr>
    </c:title>
    <c:autoTitleDeleted val="0"/>
    <c:plotArea>
      <c:layout/>
      <c:scatterChart>
        <c:scatterStyle val="lineMarker"/>
        <c:varyColors val="0"/>
        <c:ser>
          <c:idx val="0"/>
          <c:order val="0"/>
          <c:tx>
            <c:strRef>
              <c:f>'Deepwater Complex'!$F$4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Complex'!$F$5:$F$36</c:f>
              <c:numCache>
                <c:formatCode>#,##0</c:formatCode>
                <c:ptCount val="32"/>
                <c:pt idx="0">
                  <c:v>5940.9856295999962</c:v>
                </c:pt>
                <c:pt idx="1">
                  <c:v>7257.286880749999</c:v>
                </c:pt>
                <c:pt idx="2">
                  <c:v>2821.99391135</c:v>
                </c:pt>
                <c:pt idx="3">
                  <c:v>3576.0400962699996</c:v>
                </c:pt>
                <c:pt idx="4">
                  <c:v>2722.6705714600002</c:v>
                </c:pt>
                <c:pt idx="5">
                  <c:v>6322.745306509999</c:v>
                </c:pt>
                <c:pt idx="6">
                  <c:v>3048.7392814799996</c:v>
                </c:pt>
                <c:pt idx="7">
                  <c:v>6167.758108</c:v>
                </c:pt>
                <c:pt idx="8">
                  <c:v>4777.265912335999</c:v>
                </c:pt>
                <c:pt idx="9">
                  <c:v>18588.244223301997</c:v>
                </c:pt>
                <c:pt idx="10">
                  <c:v>5459.6722339000007</c:v>
                </c:pt>
                <c:pt idx="11">
                  <c:v>7337.9133875999996</c:v>
                </c:pt>
                <c:pt idx="12">
                  <c:v>14547.95025819</c:v>
                </c:pt>
                <c:pt idx="13">
                  <c:v>4562.6949109399993</c:v>
                </c:pt>
                <c:pt idx="14">
                  <c:v>12909.9078498</c:v>
                </c:pt>
                <c:pt idx="15">
                  <c:v>12463.209495130999</c:v>
                </c:pt>
                <c:pt idx="16">
                  <c:v>9660.7297276059999</c:v>
                </c:pt>
                <c:pt idx="17">
                  <c:v>18348.142384959599</c:v>
                </c:pt>
                <c:pt idx="18">
                  <c:v>13017.567559936</c:v>
                </c:pt>
                <c:pt idx="19">
                  <c:v>8678.6057833329996</c:v>
                </c:pt>
                <c:pt idx="20">
                  <c:v>4741.2261356300005</c:v>
                </c:pt>
                <c:pt idx="21">
                  <c:v>3428.3806108709996</c:v>
                </c:pt>
                <c:pt idx="22">
                  <c:v>22602.137834854999</c:v>
                </c:pt>
                <c:pt idx="23">
                  <c:v>39799.697746029997</c:v>
                </c:pt>
                <c:pt idx="24">
                  <c:v>2087.4201946359999</c:v>
                </c:pt>
                <c:pt idx="25">
                  <c:v>6270.2111536890006</c:v>
                </c:pt>
                <c:pt idx="26">
                  <c:v>5864.9524030000002</c:v>
                </c:pt>
                <c:pt idx="27">
                  <c:v>14435.426494050002</c:v>
                </c:pt>
                <c:pt idx="28">
                  <c:v>14886.377754707401</c:v>
                </c:pt>
                <c:pt idx="29">
                  <c:v>12862.479362300001</c:v>
                </c:pt>
                <c:pt idx="30">
                  <c:v>5675.0347851658998</c:v>
                </c:pt>
                <c:pt idx="31">
                  <c:v>6191.0874240799985</c:v>
                </c:pt>
              </c:numCache>
            </c:numRef>
          </c:yVal>
          <c:smooth val="0"/>
          <c:extLst>
            <c:ext xmlns:c16="http://schemas.microsoft.com/office/drawing/2014/chart" uri="{C3380CC4-5D6E-409C-BE32-E72D297353CC}">
              <c16:uniqueId val="{00000000-3A52-46C1-BACF-B155FBBC39F5}"/>
            </c:ext>
          </c:extLst>
        </c:ser>
        <c:ser>
          <c:idx val="3"/>
          <c:order val="2"/>
          <c:tx>
            <c:strRef>
              <c:f>'Deepwater Complex'!$P$4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Complex'!$P$5:$P$36</c:f>
              <c:numCache>
                <c:formatCode>#,##0</c:formatCode>
                <c:ptCount val="32"/>
                <c:pt idx="0">
                  <c:v>5940.9856295999962</c:v>
                </c:pt>
                <c:pt idx="1">
                  <c:v>7185.73859292</c:v>
                </c:pt>
                <c:pt idx="2">
                  <c:v>2815.0203766099999</c:v>
                </c:pt>
                <c:pt idx="3">
                  <c:v>3560.0043559999995</c:v>
                </c:pt>
                <c:pt idx="4">
                  <c:v>2715.5638226100004</c:v>
                </c:pt>
                <c:pt idx="5">
                  <c:v>6245.2056275400018</c:v>
                </c:pt>
                <c:pt idx="6">
                  <c:v>3018.9008568299996</c:v>
                </c:pt>
                <c:pt idx="7">
                  <c:v>6044.4684430000016</c:v>
                </c:pt>
                <c:pt idx="8">
                  <c:v>4714.831292247999</c:v>
                </c:pt>
                <c:pt idx="9">
                  <c:v>18258.589671334001</c:v>
                </c:pt>
                <c:pt idx="10">
                  <c:v>5376.3406238100006</c:v>
                </c:pt>
                <c:pt idx="11">
                  <c:v>7223.5867951000037</c:v>
                </c:pt>
                <c:pt idx="12">
                  <c:v>14231.021018254003</c:v>
                </c:pt>
                <c:pt idx="13">
                  <c:v>4498.8083541200003</c:v>
                </c:pt>
                <c:pt idx="14">
                  <c:v>12621.930385499998</c:v>
                </c:pt>
                <c:pt idx="15">
                  <c:v>12212.735201092999</c:v>
                </c:pt>
                <c:pt idx="16">
                  <c:v>9631.4954430459984</c:v>
                </c:pt>
                <c:pt idx="17">
                  <c:v>16019.679306772799</c:v>
                </c:pt>
                <c:pt idx="18">
                  <c:v>14077.532333695999</c:v>
                </c:pt>
                <c:pt idx="19">
                  <c:v>8626.7345168371994</c:v>
                </c:pt>
                <c:pt idx="20">
                  <c:v>4698.1649261599996</c:v>
                </c:pt>
                <c:pt idx="21">
                  <c:v>3409.1398969800002</c:v>
                </c:pt>
                <c:pt idx="22">
                  <c:v>19391.819420559015</c:v>
                </c:pt>
                <c:pt idx="23">
                  <c:v>35816.860461719974</c:v>
                </c:pt>
                <c:pt idx="24">
                  <c:v>2082.5001520210003</c:v>
                </c:pt>
                <c:pt idx="25">
                  <c:v>6145.719333062998</c:v>
                </c:pt>
                <c:pt idx="26">
                  <c:v>5772.4292211999982</c:v>
                </c:pt>
                <c:pt idx="27">
                  <c:v>13947.687583550003</c:v>
                </c:pt>
                <c:pt idx="28">
                  <c:v>14564.870020279397</c:v>
                </c:pt>
                <c:pt idx="29">
                  <c:v>12595.988831369999</c:v>
                </c:pt>
                <c:pt idx="30">
                  <c:v>5579.7116833216996</c:v>
                </c:pt>
                <c:pt idx="31">
                  <c:v>6070.8319395250001</c:v>
                </c:pt>
              </c:numCache>
            </c:numRef>
          </c:yVal>
          <c:smooth val="0"/>
          <c:extLst>
            <c:ext xmlns:c16="http://schemas.microsoft.com/office/drawing/2014/chart" uri="{C3380CC4-5D6E-409C-BE32-E72D297353CC}">
              <c16:uniqueId val="{00000002-3A52-46C1-BACF-B155FBBC39F5}"/>
            </c:ext>
          </c:extLst>
        </c:ser>
        <c:ser>
          <c:idx val="1"/>
          <c:order val="4"/>
          <c:tx>
            <c:strRef>
              <c:f>'Deepwater Complex'!$F$43</c:f>
              <c:strCache>
                <c:ptCount val="1"/>
                <c:pt idx="0">
                  <c:v>New Wgt ABC/ACL</c:v>
                </c:pt>
              </c:strCache>
              <c:extLst xmlns:c15="http://schemas.microsoft.com/office/drawing/2012/chart"/>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extLst xmlns:c15="http://schemas.microsoft.com/office/drawing/2012/chart"/>
            </c:numRef>
          </c:xVal>
          <c:yVal>
            <c:numRef>
              <c:f>'Deepwater Complex'!$F$44:$F$49</c:f>
              <c:numCache>
                <c:formatCode>#,##0</c:formatCode>
                <c:ptCount val="6"/>
                <c:pt idx="0">
                  <c:v>12909.9078498</c:v>
                </c:pt>
                <c:pt idx="1">
                  <c:v>12909.9078498</c:v>
                </c:pt>
                <c:pt idx="2">
                  <c:v>12909.9078498</c:v>
                </c:pt>
                <c:pt idx="3">
                  <c:v>12909.9078498</c:v>
                </c:pt>
                <c:pt idx="4">
                  <c:v>12909.9078498</c:v>
                </c:pt>
                <c:pt idx="5">
                  <c:v>12909.9078498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3A52-46C1-BACF-B155FBBC39F5}"/>
            </c:ext>
          </c:extLst>
        </c:ser>
        <c:ser>
          <c:idx val="2"/>
          <c:order val="5"/>
          <c:tx>
            <c:strRef>
              <c:f>'Deepwater Complex'!$P$43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Complex'!$P$44:$P$49</c:f>
              <c:numCache>
                <c:formatCode>#,##0</c:formatCode>
                <c:ptCount val="6"/>
                <c:pt idx="0">
                  <c:v>12621.930385499998</c:v>
                </c:pt>
                <c:pt idx="1">
                  <c:v>12621.930385499998</c:v>
                </c:pt>
                <c:pt idx="2">
                  <c:v>12621.930385499998</c:v>
                </c:pt>
                <c:pt idx="3">
                  <c:v>12621.930385499998</c:v>
                </c:pt>
                <c:pt idx="4">
                  <c:v>12621.930385499998</c:v>
                </c:pt>
                <c:pt idx="5">
                  <c:v>12621.930385499998</c:v>
                </c:pt>
              </c:numCache>
            </c:numRef>
          </c:yVal>
          <c:smooth val="0"/>
          <c:extLst>
            <c:ext xmlns:c16="http://schemas.microsoft.com/office/drawing/2014/chart" uri="{C3380CC4-5D6E-409C-BE32-E72D297353CC}">
              <c16:uniqueId val="{00000006-3A52-46C1-BACF-B155FBBC39F5}"/>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Complex'!$AI$3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Complex'!$AI$4:$AI$35</c15:sqref>
                        </c15:formulaRef>
                      </c:ext>
                    </c:extLst>
                    <c:numCache>
                      <c:formatCode>#,##0</c:formatCode>
                      <c:ptCount val="32"/>
                      <c:pt idx="0">
                        <c:v>5874.9856295999962</c:v>
                      </c:pt>
                      <c:pt idx="1">
                        <c:v>7003.286880749999</c:v>
                      </c:pt>
                      <c:pt idx="2">
                        <c:v>2821.99391135</c:v>
                      </c:pt>
                      <c:pt idx="3">
                        <c:v>3573.0400962699996</c:v>
                      </c:pt>
                      <c:pt idx="4">
                        <c:v>2634.6705714600002</c:v>
                      </c:pt>
                      <c:pt idx="5">
                        <c:v>5167.745306509999</c:v>
                      </c:pt>
                      <c:pt idx="6">
                        <c:v>2754.7392814799996</c:v>
                      </c:pt>
                      <c:pt idx="7">
                        <c:v>6140.758108</c:v>
                      </c:pt>
                      <c:pt idx="8">
                        <c:v>4614.265912335999</c:v>
                      </c:pt>
                      <c:pt idx="9">
                        <c:v>16865.244223301997</c:v>
                      </c:pt>
                      <c:pt idx="10">
                        <c:v>5170.6722339000007</c:v>
                      </c:pt>
                      <c:pt idx="11">
                        <c:v>6849.9133875999996</c:v>
                      </c:pt>
                      <c:pt idx="12">
                        <c:v>13530.95025819</c:v>
                      </c:pt>
                      <c:pt idx="13">
                        <c:v>3162.6949109399998</c:v>
                      </c:pt>
                      <c:pt idx="14">
                        <c:v>12279.9078498</c:v>
                      </c:pt>
                      <c:pt idx="15">
                        <c:v>10557.209495130999</c:v>
                      </c:pt>
                      <c:pt idx="16">
                        <c:v>7970.7297276059999</c:v>
                      </c:pt>
                      <c:pt idx="17">
                        <c:v>17373.142384959599</c:v>
                      </c:pt>
                      <c:pt idx="18">
                        <c:v>11741.567559936</c:v>
                      </c:pt>
                      <c:pt idx="19">
                        <c:v>2981.6057833330001</c:v>
                      </c:pt>
                      <c:pt idx="20">
                        <c:v>2112.22613563</c:v>
                      </c:pt>
                      <c:pt idx="21">
                        <c:v>1547.3806108709996</c:v>
                      </c:pt>
                      <c:pt idx="22">
                        <c:v>22159.137834854999</c:v>
                      </c:pt>
                      <c:pt idx="23">
                        <c:v>39422.697746029997</c:v>
                      </c:pt>
                      <c:pt idx="24">
                        <c:v>1548.4201946359999</c:v>
                      </c:pt>
                      <c:pt idx="25">
                        <c:v>5432.2111536890006</c:v>
                      </c:pt>
                      <c:pt idx="26">
                        <c:v>4232.9524030000002</c:v>
                      </c:pt>
                      <c:pt idx="27">
                        <c:v>12781.426494050002</c:v>
                      </c:pt>
                      <c:pt idx="28">
                        <c:v>13674.377754707401</c:v>
                      </c:pt>
                      <c:pt idx="29">
                        <c:v>12156.479362300001</c:v>
                      </c:pt>
                      <c:pt idx="30">
                        <c:v>5000.0347851658998</c:v>
                      </c:pt>
                      <c:pt idx="31">
                        <c:v>5392.0874240799985</c:v>
                      </c:pt>
                    </c:numCache>
                  </c:numRef>
                </c:yVal>
                <c:smooth val="0"/>
                <c:extLst>
                  <c:ext xmlns:c16="http://schemas.microsoft.com/office/drawing/2014/chart" uri="{C3380CC4-5D6E-409C-BE32-E72D297353CC}">
                    <c16:uniqueId val="{00000001-3A52-46C1-BACF-B155FBBC39F5}"/>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Complex'!$AR$3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Complex'!$AR$4:$AR$35</c15:sqref>
                        </c15:formulaRef>
                      </c:ext>
                    </c:extLst>
                    <c:numCache>
                      <c:formatCode>#,##0</c:formatCode>
                      <c:ptCount val="32"/>
                      <c:pt idx="0">
                        <c:v>5874.9856295999962</c:v>
                      </c:pt>
                      <c:pt idx="1">
                        <c:v>6931.73859292</c:v>
                      </c:pt>
                      <c:pt idx="2">
                        <c:v>2815.0203766099999</c:v>
                      </c:pt>
                      <c:pt idx="3">
                        <c:v>3557.0043559999995</c:v>
                      </c:pt>
                      <c:pt idx="4">
                        <c:v>2627.5638226100004</c:v>
                      </c:pt>
                      <c:pt idx="5">
                        <c:v>5090.2056275400018</c:v>
                      </c:pt>
                      <c:pt idx="6">
                        <c:v>2724.9008568299996</c:v>
                      </c:pt>
                      <c:pt idx="7">
                        <c:v>6017.4684430000016</c:v>
                      </c:pt>
                      <c:pt idx="8">
                        <c:v>4551.831292247999</c:v>
                      </c:pt>
                      <c:pt idx="9">
                        <c:v>16535.589671334001</c:v>
                      </c:pt>
                      <c:pt idx="10">
                        <c:v>5087.3406238100006</c:v>
                      </c:pt>
                      <c:pt idx="11">
                        <c:v>6735.5867951000037</c:v>
                      </c:pt>
                      <c:pt idx="12">
                        <c:v>13214.021018254003</c:v>
                      </c:pt>
                      <c:pt idx="13">
                        <c:v>3098.8083541200003</c:v>
                      </c:pt>
                      <c:pt idx="14">
                        <c:v>11991.930385499998</c:v>
                      </c:pt>
                      <c:pt idx="15">
                        <c:v>10306.735201092999</c:v>
                      </c:pt>
                      <c:pt idx="16">
                        <c:v>7941.4954430459993</c:v>
                      </c:pt>
                      <c:pt idx="17">
                        <c:v>15044.679306772799</c:v>
                      </c:pt>
                      <c:pt idx="18">
                        <c:v>12801.532333695999</c:v>
                      </c:pt>
                      <c:pt idx="19">
                        <c:v>2929.7345168371994</c:v>
                      </c:pt>
                      <c:pt idx="20">
                        <c:v>2069.1649261600001</c:v>
                      </c:pt>
                      <c:pt idx="21">
                        <c:v>1528.1398969800002</c:v>
                      </c:pt>
                      <c:pt idx="22">
                        <c:v>18948.819420559015</c:v>
                      </c:pt>
                      <c:pt idx="23">
                        <c:v>35439.860461719974</c:v>
                      </c:pt>
                      <c:pt idx="24">
                        <c:v>1543.5001520210003</c:v>
                      </c:pt>
                      <c:pt idx="25">
                        <c:v>5307.719333062998</c:v>
                      </c:pt>
                      <c:pt idx="26">
                        <c:v>4140.4292211999982</c:v>
                      </c:pt>
                      <c:pt idx="27">
                        <c:v>12293.687583550003</c:v>
                      </c:pt>
                      <c:pt idx="28">
                        <c:v>13352.870020279397</c:v>
                      </c:pt>
                      <c:pt idx="29">
                        <c:v>11889.988831369999</c:v>
                      </c:pt>
                      <c:pt idx="30">
                        <c:v>4904.7116833216996</c:v>
                      </c:pt>
                      <c:pt idx="31">
                        <c:v>5271.8319395250001</c:v>
                      </c:pt>
                    </c:numCache>
                  </c:numRef>
                </c:yVal>
                <c:smooth val="0"/>
                <c:extLst xmlns:c15="http://schemas.microsoft.com/office/drawing/2012/chart">
                  <c:ext xmlns:c16="http://schemas.microsoft.com/office/drawing/2014/chart" uri="{C3380CC4-5D6E-409C-BE32-E72D297353CC}">
                    <c16:uniqueId val="{00000003-3A52-46C1-BACF-B155FBBC39F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Blackfin Snapper</a:t>
            </a:r>
          </a:p>
        </c:rich>
      </c:tx>
      <c:overlay val="0"/>
      <c:spPr>
        <a:noFill/>
      </c:spPr>
    </c:title>
    <c:autoTitleDeleted val="0"/>
    <c:plotArea>
      <c:layout/>
      <c:scatterChart>
        <c:scatterStyle val="lineMarker"/>
        <c:varyColors val="0"/>
        <c:ser>
          <c:idx val="0"/>
          <c:order val="0"/>
          <c:tx>
            <c:strRef>
              <c:f>'Deepwater Complex'!$G$4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Complex'!$G$5:$G$36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11773.695949230003</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0-1F03-4E9C-B855-187220DACB16}"/>
            </c:ext>
          </c:extLst>
        </c:ser>
        <c:ser>
          <c:idx val="3"/>
          <c:order val="2"/>
          <c:tx>
            <c:strRef>
              <c:f>'Deepwater Complex'!$Q$4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Complex'!$Q$5:$Q$36</c:f>
              <c:numCache>
                <c:formatCode>#,##0</c:formatCode>
                <c:ptCount val="32"/>
                <c:pt idx="0">
                  <c:v>3540.5174876000005</c:v>
                </c:pt>
                <c:pt idx="1">
                  <c:v>3236.0853302</c:v>
                </c:pt>
                <c:pt idx="2">
                  <c:v>1418.3498132</c:v>
                </c:pt>
                <c:pt idx="3">
                  <c:v>1268.9733940000003</c:v>
                </c:pt>
                <c:pt idx="4">
                  <c:v>887.89376599999991</c:v>
                </c:pt>
                <c:pt idx="5">
                  <c:v>4767.0845979999995</c:v>
                </c:pt>
                <c:pt idx="6">
                  <c:v>501.43626999999998</c:v>
                </c:pt>
                <c:pt idx="7">
                  <c:v>576.3125500000001</c:v>
                </c:pt>
                <c:pt idx="8">
                  <c:v>625.29369399999996</c:v>
                </c:pt>
                <c:pt idx="9">
                  <c:v>1228.700286</c:v>
                </c:pt>
                <c:pt idx="10">
                  <c:v>3127.986394</c:v>
                </c:pt>
                <c:pt idx="11">
                  <c:v>2901.1960300000001</c:v>
                </c:pt>
                <c:pt idx="12">
                  <c:v>688.46239999999989</c:v>
                </c:pt>
                <c:pt idx="13">
                  <c:v>1323.279860803</c:v>
                </c:pt>
                <c:pt idx="14">
                  <c:v>8068.7946306860003</c:v>
                </c:pt>
                <c:pt idx="15">
                  <c:v>3665.1117219999996</c:v>
                </c:pt>
                <c:pt idx="16">
                  <c:v>1795.3471400200001</c:v>
                </c:pt>
                <c:pt idx="17">
                  <c:v>1986.6361900000002</c:v>
                </c:pt>
                <c:pt idx="18">
                  <c:v>2602.5830568599999</c:v>
                </c:pt>
                <c:pt idx="19">
                  <c:v>1303.0231701600001</c:v>
                </c:pt>
                <c:pt idx="20">
                  <c:v>2674.5134329000002</c:v>
                </c:pt>
                <c:pt idx="21">
                  <c:v>11773.695949230001</c:v>
                </c:pt>
                <c:pt idx="22">
                  <c:v>442.90565734200004</c:v>
                </c:pt>
                <c:pt idx="23">
                  <c:v>691.60086760000002</c:v>
                </c:pt>
                <c:pt idx="24">
                  <c:v>753.89158016700003</c:v>
                </c:pt>
                <c:pt idx="25">
                  <c:v>34509.458215400002</c:v>
                </c:pt>
                <c:pt idx="26">
                  <c:v>2343.4907573599999</c:v>
                </c:pt>
                <c:pt idx="27">
                  <c:v>686.85853611100003</c:v>
                </c:pt>
                <c:pt idx="28">
                  <c:v>4822.2323217920002</c:v>
                </c:pt>
                <c:pt idx="29">
                  <c:v>4731.9019693999999</c:v>
                </c:pt>
                <c:pt idx="30">
                  <c:v>3488.6036792</c:v>
                </c:pt>
                <c:pt idx="31">
                  <c:v>2960.9743073999998</c:v>
                </c:pt>
              </c:numCache>
            </c:numRef>
          </c:yVal>
          <c:smooth val="0"/>
          <c:extLst>
            <c:ext xmlns:c16="http://schemas.microsoft.com/office/drawing/2014/chart" uri="{C3380CC4-5D6E-409C-BE32-E72D297353CC}">
              <c16:uniqueId val="{00000002-1F03-4E9C-B855-187220DACB16}"/>
            </c:ext>
          </c:extLst>
        </c:ser>
        <c:ser>
          <c:idx val="2"/>
          <c:order val="5"/>
          <c:tx>
            <c:strRef>
              <c:f>'Deepwater Complex'!$Q$43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Complex'!$Q$44:$Q$49</c:f>
              <c:numCache>
                <c:formatCode>#,##0</c:formatCode>
                <c:ptCount val="6"/>
                <c:pt idx="0">
                  <c:v>3665.1117219999996</c:v>
                </c:pt>
                <c:pt idx="1">
                  <c:v>3665.1117219999996</c:v>
                </c:pt>
                <c:pt idx="2">
                  <c:v>3665.1117219999996</c:v>
                </c:pt>
                <c:pt idx="3">
                  <c:v>3665.1117219999996</c:v>
                </c:pt>
                <c:pt idx="4">
                  <c:v>3665.1117219999996</c:v>
                </c:pt>
                <c:pt idx="5">
                  <c:v>3665.1117219999996</c:v>
                </c:pt>
              </c:numCache>
            </c:numRef>
          </c:yVal>
          <c:smooth val="0"/>
          <c:extLst>
            <c:ext xmlns:c16="http://schemas.microsoft.com/office/drawing/2014/chart" uri="{C3380CC4-5D6E-409C-BE32-E72D297353CC}">
              <c16:uniqueId val="{00000006-1F03-4E9C-B855-187220DACB16}"/>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Complex'!$AJ$3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Complex'!$AJ$4:$AJ$35</c15:sqref>
                        </c15:formulaRef>
                      </c:ext>
                    </c:extLst>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11340.695949230003</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c:ext xmlns:c16="http://schemas.microsoft.com/office/drawing/2014/chart" uri="{C3380CC4-5D6E-409C-BE32-E72D297353CC}">
                    <c16:uniqueId val="{00000001-1F03-4E9C-B855-187220DACB16}"/>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Complex'!$AS$3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Complex'!$AS$4:$AS$35</c15:sqref>
                        </c15:formulaRef>
                      </c:ext>
                    </c:extLst>
                    <c:numCache>
                      <c:formatCode>#,##0</c:formatCode>
                      <c:ptCount val="32"/>
                      <c:pt idx="0">
                        <c:v>3203.5174876000005</c:v>
                      </c:pt>
                      <c:pt idx="1">
                        <c:v>2724.0853302</c:v>
                      </c:pt>
                      <c:pt idx="2">
                        <c:v>1302.3498132</c:v>
                      </c:pt>
                      <c:pt idx="3">
                        <c:v>917.97339400000033</c:v>
                      </c:pt>
                      <c:pt idx="4">
                        <c:v>877.89376599999991</c:v>
                      </c:pt>
                      <c:pt idx="5">
                        <c:v>4696.0845979999995</c:v>
                      </c:pt>
                      <c:pt idx="6">
                        <c:v>501.43626999999998</c:v>
                      </c:pt>
                      <c:pt idx="7">
                        <c:v>461.31255000000004</c:v>
                      </c:pt>
                      <c:pt idx="8">
                        <c:v>544.29369399999996</c:v>
                      </c:pt>
                      <c:pt idx="9">
                        <c:v>957.70028600000001</c:v>
                      </c:pt>
                      <c:pt idx="10">
                        <c:v>2361.986394</c:v>
                      </c:pt>
                      <c:pt idx="11">
                        <c:v>712.19603000000006</c:v>
                      </c:pt>
                      <c:pt idx="12">
                        <c:v>317.46239999999995</c:v>
                      </c:pt>
                      <c:pt idx="13">
                        <c:v>123.27986080299999</c:v>
                      </c:pt>
                      <c:pt idx="14">
                        <c:v>6399.7946306860003</c:v>
                      </c:pt>
                      <c:pt idx="15">
                        <c:v>1034.1117219999999</c:v>
                      </c:pt>
                      <c:pt idx="16">
                        <c:v>224.34714001999998</c:v>
                      </c:pt>
                      <c:pt idx="17">
                        <c:v>865.63619000000006</c:v>
                      </c:pt>
                      <c:pt idx="18">
                        <c:v>1225.5830568599999</c:v>
                      </c:pt>
                      <c:pt idx="19">
                        <c:v>336.02317016000001</c:v>
                      </c:pt>
                      <c:pt idx="20">
                        <c:v>763.5134329</c:v>
                      </c:pt>
                      <c:pt idx="21">
                        <c:v>11340.695949230001</c:v>
                      </c:pt>
                      <c:pt idx="22">
                        <c:v>311.90565734200004</c:v>
                      </c:pt>
                      <c:pt idx="23">
                        <c:v>51.600867600000001</c:v>
                      </c:pt>
                      <c:pt idx="24">
                        <c:v>428.89158016699997</c:v>
                      </c:pt>
                      <c:pt idx="25">
                        <c:v>28257.458215400002</c:v>
                      </c:pt>
                      <c:pt idx="26">
                        <c:v>1926.4907573599999</c:v>
                      </c:pt>
                      <c:pt idx="27">
                        <c:v>586.85853611100003</c:v>
                      </c:pt>
                      <c:pt idx="28">
                        <c:v>4627.2323217920002</c:v>
                      </c:pt>
                      <c:pt idx="29">
                        <c:v>3539.9019694000003</c:v>
                      </c:pt>
                      <c:pt idx="30">
                        <c:v>3178.6036792</c:v>
                      </c:pt>
                      <c:pt idx="31">
                        <c:v>2871.9743073999998</c:v>
                      </c:pt>
                    </c:numCache>
                  </c:numRef>
                </c:yVal>
                <c:smooth val="0"/>
                <c:extLst xmlns:c15="http://schemas.microsoft.com/office/drawing/2012/chart">
                  <c:ext xmlns:c16="http://schemas.microsoft.com/office/drawing/2014/chart" uri="{C3380CC4-5D6E-409C-BE32-E72D297353CC}">
                    <c16:uniqueId val="{00000003-1F03-4E9C-B855-187220DACB16}"/>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'Deepwater Complex'!$G$43</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'Deepwater Complex'!$A$44:$A$49</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'Deepwater Complex'!$G$44:$G$49</c15:sqref>
                        </c15:formulaRef>
                      </c:ext>
                    </c:extLst>
                    <c:numCache>
                      <c:formatCode>#,##0</c:formatCode>
                      <c:ptCount val="6"/>
                      <c:pt idx="0">
                        <c:v>3665.1117219999996</c:v>
                      </c:pt>
                      <c:pt idx="1">
                        <c:v>3665.1117219999996</c:v>
                      </c:pt>
                      <c:pt idx="2">
                        <c:v>3665.1117219999996</c:v>
                      </c:pt>
                      <c:pt idx="3">
                        <c:v>3665.1117219999996</c:v>
                      </c:pt>
                      <c:pt idx="4">
                        <c:v>3665.1117219999996</c:v>
                      </c:pt>
                      <c:pt idx="5">
                        <c:v>3665.1117219999996</c:v>
                      </c:pt>
                    </c:numCache>
                  </c:numRef>
                </c:yVal>
                <c:smooth val="0"/>
                <c:extLst xmlns:c15="http://schemas.microsoft.com/office/drawing/2012/chart">
                  <c:ext xmlns:c16="http://schemas.microsoft.com/office/drawing/2014/chart" uri="{C3380CC4-5D6E-409C-BE32-E72D297353CC}">
                    <c16:uniqueId val="{00000005-1F03-4E9C-B855-187220DACB16}"/>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max val="35000"/>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Misty Grouper</a:t>
            </a:r>
          </a:p>
        </c:rich>
      </c:tx>
      <c:overlay val="0"/>
      <c:spPr>
        <a:noFill/>
      </c:spPr>
    </c:title>
    <c:autoTitleDeleted val="0"/>
    <c:plotArea>
      <c:layout/>
      <c:scatterChart>
        <c:scatterStyle val="lineMarker"/>
        <c:varyColors val="0"/>
        <c:ser>
          <c:idx val="0"/>
          <c:order val="0"/>
          <c:tx>
            <c:strRef>
              <c:f>'Deepwater Complex'!$D$4</c:f>
              <c:strCache>
                <c:ptCount val="1"/>
                <c:pt idx="0">
                  <c:v>Total New Wgt</c:v>
                </c:pt>
              </c:strCache>
            </c:strRef>
          </c:tx>
          <c:xVal>
            <c:numRef>
              <c:f>'Deepwater Complex'!$A$5:$A$36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Complex'!$D$5:$D$36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664.98950224999999</c:v>
                </c:pt>
              </c:numCache>
            </c:numRef>
          </c:yVal>
          <c:smooth val="0"/>
          <c:extLst>
            <c:ext xmlns:c16="http://schemas.microsoft.com/office/drawing/2014/chart" uri="{C3380CC4-5D6E-409C-BE32-E72D297353CC}">
              <c16:uniqueId val="{00000000-BB3A-4A8D-89FE-123F22F4C705}"/>
            </c:ext>
          </c:extLst>
        </c:ser>
        <c:ser>
          <c:idx val="3"/>
          <c:order val="2"/>
          <c:tx>
            <c:strRef>
              <c:f>'Deepwater Complex'!$N$4</c:f>
              <c:strCache>
                <c:ptCount val="1"/>
                <c:pt idx="0">
                  <c:v>Total Orig FES</c:v>
                </c:pt>
              </c:strCache>
            </c:strRef>
          </c:tx>
          <c:spPr>
            <a:ln>
              <a:solidFill>
                <a:schemeClr val="accent2"/>
              </a:solidFill>
            </a:ln>
          </c:spPr>
          <c:marker>
            <c:spPr>
              <a:ln>
                <a:solidFill>
                  <a:schemeClr val="accent2"/>
                </a:solidFill>
              </a:ln>
            </c:spPr>
          </c:marker>
          <c:xVal>
            <c:numRef>
              <c:f>'Deepwater Complex'!$K$5:$K$36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Complex'!$N$5:$N$36</c:f>
              <c:numCache>
                <c:formatCode>#,##0</c:formatCode>
                <c:ptCount val="32"/>
                <c:pt idx="0">
                  <c:v>8.8184000000000005</c:v>
                </c:pt>
                <c:pt idx="1">
                  <c:v>55039.353956999999</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1960</c:v>
                </c:pt>
                <c:pt idx="18">
                  <c:v>2863</c:v>
                </c:pt>
                <c:pt idx="19">
                  <c:v>651</c:v>
                </c:pt>
                <c:pt idx="20">
                  <c:v>491</c:v>
                </c:pt>
                <c:pt idx="21">
                  <c:v>4028.8342272</c:v>
                </c:pt>
                <c:pt idx="22">
                  <c:v>1649</c:v>
                </c:pt>
                <c:pt idx="23">
                  <c:v>2349</c:v>
                </c:pt>
                <c:pt idx="24">
                  <c:v>589</c:v>
                </c:pt>
                <c:pt idx="25">
                  <c:v>211</c:v>
                </c:pt>
                <c:pt idx="26">
                  <c:v>57</c:v>
                </c:pt>
                <c:pt idx="27">
                  <c:v>71</c:v>
                </c:pt>
                <c:pt idx="28">
                  <c:v>169.85857620000002</c:v>
                </c:pt>
                <c:pt idx="29">
                  <c:v>23.410647399999998</c:v>
                </c:pt>
                <c:pt idx="30">
                  <c:v>44.365732600000001</c:v>
                </c:pt>
                <c:pt idx="31">
                  <c:v>664.9895022500001</c:v>
                </c:pt>
              </c:numCache>
            </c:numRef>
          </c:yVal>
          <c:smooth val="0"/>
          <c:extLst>
            <c:ext xmlns:c16="http://schemas.microsoft.com/office/drawing/2014/chart" uri="{C3380CC4-5D6E-409C-BE32-E72D297353CC}">
              <c16:uniqueId val="{00000001-BB3A-4A8D-89FE-123F22F4C705}"/>
            </c:ext>
          </c:extLst>
        </c:ser>
        <c:ser>
          <c:idx val="1"/>
          <c:order val="4"/>
          <c:tx>
            <c:strRef>
              <c:f>'Deepwater Complex'!$D$43</c:f>
              <c:strCache>
                <c:ptCount val="1"/>
                <c:pt idx="0">
                  <c:v>New Wgt ABC/ACL</c:v>
                </c:pt>
              </c:strCache>
            </c:strRef>
          </c:tx>
          <c:spPr>
            <a:ln w="38100">
              <a:solidFill>
                <a:schemeClr val="tx1"/>
              </a:solidFill>
            </a:ln>
          </c:spPr>
          <c:marker>
            <c:symbol val="none"/>
          </c:marker>
          <c:xVal>
            <c:numRef>
              <c:f>'Deepwater Complex'!$A$44:$A$49</c:f>
              <c:numCache>
                <c:formatCode>General</c:formatCode>
                <c:ptCount val="6"/>
                <c:pt idx="0">
                  <c:v>2012</c:v>
                </c:pt>
                <c:pt idx="1">
                  <c:v>2013</c:v>
                </c:pt>
                <c:pt idx="2">
                  <c:v>2014</c:v>
                </c:pt>
                <c:pt idx="3">
                  <c:v>2015</c:v>
                </c:pt>
                <c:pt idx="4">
                  <c:v>2016</c:v>
                </c:pt>
                <c:pt idx="5">
                  <c:v>2017</c:v>
                </c:pt>
              </c:numCache>
            </c:numRef>
          </c:xVal>
          <c:yVal>
            <c:numRef>
              <c:f>'Deepwater Complex'!$D$44:$D$49</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2-BB3A-4A8D-89FE-123F22F4C705}"/>
            </c:ext>
          </c:extLst>
        </c:ser>
        <c:ser>
          <c:idx val="2"/>
          <c:order val="5"/>
          <c:tx>
            <c:strRef>
              <c:f>'Deepwater Complex'!$N$43</c:f>
              <c:strCache>
                <c:ptCount val="1"/>
                <c:pt idx="0">
                  <c:v>Orig FES ABC/ACL</c:v>
                </c:pt>
              </c:strCache>
            </c:strRef>
          </c:tx>
          <c:spPr>
            <a:ln>
              <a:solidFill>
                <a:srgbClr val="7030A0"/>
              </a:solidFill>
            </a:ln>
          </c:spPr>
          <c:marker>
            <c:symbol val="none"/>
          </c:marker>
          <c:xVal>
            <c:numRef>
              <c:f>'Deepwater Complex'!$K$44:$K$49</c:f>
              <c:numCache>
                <c:formatCode>General</c:formatCode>
                <c:ptCount val="6"/>
                <c:pt idx="0">
                  <c:v>2012</c:v>
                </c:pt>
                <c:pt idx="1">
                  <c:v>2013</c:v>
                </c:pt>
                <c:pt idx="2">
                  <c:v>2014</c:v>
                </c:pt>
                <c:pt idx="3">
                  <c:v>2015</c:v>
                </c:pt>
                <c:pt idx="4">
                  <c:v>2016</c:v>
                </c:pt>
                <c:pt idx="5">
                  <c:v>2017</c:v>
                </c:pt>
              </c:numCache>
            </c:numRef>
          </c:xVal>
          <c:yVal>
            <c:numRef>
              <c:f>'Deepwater Complex'!$N$44:$N$49</c:f>
              <c:numCache>
                <c:formatCode>#,##0</c:formatCode>
                <c:ptCount val="6"/>
                <c:pt idx="0">
                  <c:v>2863</c:v>
                </c:pt>
                <c:pt idx="1">
                  <c:v>2863</c:v>
                </c:pt>
                <c:pt idx="2">
                  <c:v>2863</c:v>
                </c:pt>
                <c:pt idx="3">
                  <c:v>2863</c:v>
                </c:pt>
                <c:pt idx="4">
                  <c:v>2863</c:v>
                </c:pt>
                <c:pt idx="5">
                  <c:v>2863</c:v>
                </c:pt>
              </c:numCache>
            </c:numRef>
          </c:yVal>
          <c:smooth val="0"/>
          <c:extLst>
            <c:ext xmlns:c16="http://schemas.microsoft.com/office/drawing/2014/chart" uri="{C3380CC4-5D6E-409C-BE32-E72D297353CC}">
              <c16:uniqueId val="{00000003-BB3A-4A8D-89FE-123F22F4C705}"/>
            </c:ext>
          </c:extLst>
        </c:ser>
        <c:dLbls>
          <c:showLegendKey val="0"/>
          <c:showVal val="0"/>
          <c:showCatName val="0"/>
          <c:showSerName val="0"/>
          <c:showPercent val="0"/>
          <c:showBubbleSize val="0"/>
        </c:dLbls>
        <c:axId val="341790656"/>
        <c:axId val="341791232"/>
        <c:extLst>
          <c:ext xmlns:c15="http://schemas.microsoft.com/office/drawing/2012/chart" uri="{02D57815-91ED-43cb-92C2-25804820EDAC}">
            <c15:filteredScatterSeries>
              <c15:ser>
                <c:idx val="4"/>
                <c:order val="1"/>
                <c:tx>
                  <c:strRef>
                    <c:extLst>
                      <c:ext uri="{02D57815-91ED-43cb-92C2-25804820EDAC}">
                        <c15:formulaRef>
                          <c15:sqref>'Deepwater Complex'!$AG$3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'Deepwater Complex'!$AD$4:$AD$35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'Deepwater Complex'!$AG$4:$AG$35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638.98950224999999</c:v>
                      </c:pt>
                    </c:numCache>
                  </c:numRef>
                </c:yVal>
                <c:smooth val="0"/>
                <c:extLst>
                  <c:ext xmlns:c16="http://schemas.microsoft.com/office/drawing/2014/chart" uri="{C3380CC4-5D6E-409C-BE32-E72D297353CC}">
                    <c16:uniqueId val="{00000004-BB3A-4A8D-89FE-123F22F4C705}"/>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'Deepwater Complex'!$AP$3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'Deepwater Complex'!$AM$4:$AM$35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'Deepwater Complex'!$AP$4:$AP$35</c15:sqref>
                        </c15:formulaRef>
                      </c:ext>
                    </c:extLst>
                    <c:numCache>
                      <c:formatCode>#,##0</c:formatCode>
                      <c:ptCount val="32"/>
                      <c:pt idx="0">
                        <c:v>8.8184000000000005</c:v>
                      </c:pt>
                      <c:pt idx="1">
                        <c:v>55039.353956999999</c:v>
                      </c:pt>
                      <c:pt idx="2">
                        <c:v>0</c:v>
                      </c:pt>
                      <c:pt idx="3">
                        <c:v>0</c:v>
                      </c:pt>
                      <c:pt idx="4">
                        <c:v>0</c:v>
                      </c:pt>
                      <c:pt idx="5">
                        <c:v>0</c:v>
                      </c:pt>
                      <c:pt idx="6">
                        <c:v>0</c:v>
                      </c:pt>
                      <c:pt idx="7">
                        <c:v>6.0185579999999996</c:v>
                      </c:pt>
                      <c:pt idx="8">
                        <c:v>0</c:v>
                      </c:pt>
                      <c:pt idx="9">
                        <c:v>0</c:v>
                      </c:pt>
                      <c:pt idx="10">
                        <c:v>3.990326</c:v>
                      </c:pt>
                      <c:pt idx="11">
                        <c:v>0</c:v>
                      </c:pt>
                      <c:pt idx="12">
                        <c:v>8.0247440000000001</c:v>
                      </c:pt>
                      <c:pt idx="13">
                        <c:v>0</c:v>
                      </c:pt>
                      <c:pt idx="14">
                        <c:v>0</c:v>
                      </c:pt>
                      <c:pt idx="15">
                        <c:v>0</c:v>
                      </c:pt>
                      <c:pt idx="16">
                        <c:v>0</c:v>
                      </c:pt>
                      <c:pt idx="17">
                        <c:v>0</c:v>
                      </c:pt>
                      <c:pt idx="18">
                        <c:v>0</c:v>
                      </c:pt>
                      <c:pt idx="19">
                        <c:v>0</c:v>
                      </c:pt>
                      <c:pt idx="20">
                        <c:v>0</c:v>
                      </c:pt>
                      <c:pt idx="21">
                        <c:v>1.8342271999999999</c:v>
                      </c:pt>
                      <c:pt idx="22">
                        <c:v>0</c:v>
                      </c:pt>
                      <c:pt idx="23">
                        <c:v>0</c:v>
                      </c:pt>
                      <c:pt idx="24">
                        <c:v>0</c:v>
                      </c:pt>
                      <c:pt idx="25">
                        <c:v>0</c:v>
                      </c:pt>
                      <c:pt idx="26">
                        <c:v>0</c:v>
                      </c:pt>
                      <c:pt idx="27">
                        <c:v>0</c:v>
                      </c:pt>
                      <c:pt idx="28">
                        <c:v>16.858576200000002</c:v>
                      </c:pt>
                      <c:pt idx="29">
                        <c:v>23.410647399999998</c:v>
                      </c:pt>
                      <c:pt idx="30">
                        <c:v>32.365732600000001</c:v>
                      </c:pt>
                      <c:pt idx="31">
                        <c:v>638.9895022500001</c:v>
                      </c:pt>
                    </c:numCache>
                  </c:numRef>
                </c:yVal>
                <c:smooth val="0"/>
                <c:extLst xmlns:c15="http://schemas.microsoft.com/office/drawing/2012/chart">
                  <c:ext xmlns:c16="http://schemas.microsoft.com/office/drawing/2014/chart" uri="{C3380CC4-5D6E-409C-BE32-E72D297353CC}">
                    <c16:uniqueId val="{00000005-BB3A-4A8D-89FE-123F22F4C705}"/>
                  </c:ext>
                </c:extLst>
              </c15:ser>
            </c15:filteredScatterSeries>
          </c:ext>
        </c:extLst>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'Jacks Complex'!$B$2</c:f>
              <c:strCache>
                <c:ptCount val="1"/>
                <c:pt idx="0">
                  <c:v>Almaco 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Complex'!$B$9:$B$35</c:f>
              <c:numCache>
                <c:formatCode>#,##0</c:formatCode>
                <c:ptCount val="27"/>
                <c:pt idx="0">
                  <c:v>19987.737095999997</c:v>
                </c:pt>
                <c:pt idx="1">
                  <c:v>67740.989946469985</c:v>
                </c:pt>
                <c:pt idx="2">
                  <c:v>54252.492221</c:v>
                </c:pt>
                <c:pt idx="3">
                  <c:v>72971.712214150029</c:v>
                </c:pt>
                <c:pt idx="4">
                  <c:v>91469.476540639982</c:v>
                </c:pt>
                <c:pt idx="5">
                  <c:v>52637.781049999998</c:v>
                </c:pt>
                <c:pt idx="6">
                  <c:v>61877.662079299989</c:v>
                </c:pt>
                <c:pt idx="7">
                  <c:v>58730.393129659999</c:v>
                </c:pt>
                <c:pt idx="8">
                  <c:v>305984.33297713008</c:v>
                </c:pt>
                <c:pt idx="9">
                  <c:v>173017.21479511302</c:v>
                </c:pt>
                <c:pt idx="10">
                  <c:v>252699.09471690794</c:v>
                </c:pt>
                <c:pt idx="11">
                  <c:v>162774.09759270403</c:v>
                </c:pt>
                <c:pt idx="12">
                  <c:v>379224.98115082015</c:v>
                </c:pt>
                <c:pt idx="13">
                  <c:v>325876.34495488001</c:v>
                </c:pt>
                <c:pt idx="14">
                  <c:v>161364.61824419998</c:v>
                </c:pt>
                <c:pt idx="15">
                  <c:v>458447.62384110992</c:v>
                </c:pt>
                <c:pt idx="16">
                  <c:v>482803.56306899013</c:v>
                </c:pt>
                <c:pt idx="17">
                  <c:v>307606.38645881991</c:v>
                </c:pt>
                <c:pt idx="18">
                  <c:v>310699.45814230794</c:v>
                </c:pt>
                <c:pt idx="19">
                  <c:v>261249.41253571899</c:v>
                </c:pt>
                <c:pt idx="20">
                  <c:v>320657.76791126002</c:v>
                </c:pt>
                <c:pt idx="21">
                  <c:v>407679.67012939195</c:v>
                </c:pt>
                <c:pt idx="22">
                  <c:v>275897.01360892103</c:v>
                </c:pt>
                <c:pt idx="23">
                  <c:v>388310.36440179998</c:v>
                </c:pt>
                <c:pt idx="24">
                  <c:v>416581.94583269209</c:v>
                </c:pt>
                <c:pt idx="25">
                  <c:v>602195.73248229793</c:v>
                </c:pt>
                <c:pt idx="26">
                  <c:v>462371.26199735003</c:v>
                </c:pt>
              </c:numCache>
            </c:numRef>
          </c:yVal>
          <c:smooth val="0"/>
          <c:extLst>
            <c:ext xmlns:c16="http://schemas.microsoft.com/office/drawing/2014/chart" uri="{C3380CC4-5D6E-409C-BE32-E72D297353CC}">
              <c16:uniqueId val="{00000000-C99F-4AD4-8FDD-9831D3E688B8}"/>
            </c:ext>
          </c:extLst>
        </c:ser>
        <c:ser>
          <c:idx val="1"/>
          <c:order val="1"/>
          <c:tx>
            <c:strRef>
              <c:f>'Jacks Complex'!$C$2</c:f>
              <c:strCache>
                <c:ptCount val="1"/>
                <c:pt idx="0">
                  <c:v>Banded Rudderfish</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Complex'!$C$9:$C$35</c:f>
              <c:numCache>
                <c:formatCode>#,##0</c:formatCode>
                <c:ptCount val="27"/>
                <c:pt idx="0">
                  <c:v>196.431738</c:v>
                </c:pt>
                <c:pt idx="1">
                  <c:v>9298.0478839999996</c:v>
                </c:pt>
                <c:pt idx="2">
                  <c:v>32068.247145400001</c:v>
                </c:pt>
                <c:pt idx="3">
                  <c:v>26232.48285</c:v>
                </c:pt>
                <c:pt idx="4">
                  <c:v>39849.74274680001</c:v>
                </c:pt>
                <c:pt idx="5">
                  <c:v>34745.757200980006</c:v>
                </c:pt>
                <c:pt idx="6">
                  <c:v>103756.14253889999</c:v>
                </c:pt>
                <c:pt idx="7">
                  <c:v>76030.74733469999</c:v>
                </c:pt>
                <c:pt idx="8">
                  <c:v>133402.39054950001</c:v>
                </c:pt>
                <c:pt idx="9">
                  <c:v>295776.59317440994</c:v>
                </c:pt>
                <c:pt idx="10">
                  <c:v>162263.89107779998</c:v>
                </c:pt>
                <c:pt idx="11">
                  <c:v>90556.606891939984</c:v>
                </c:pt>
                <c:pt idx="12">
                  <c:v>103370.86836383997</c:v>
                </c:pt>
                <c:pt idx="13">
                  <c:v>212376.58476906482</c:v>
                </c:pt>
                <c:pt idx="14">
                  <c:v>97062.405047552005</c:v>
                </c:pt>
                <c:pt idx="15">
                  <c:v>157926.15939475596</c:v>
                </c:pt>
                <c:pt idx="16">
                  <c:v>152869.63219524402</c:v>
                </c:pt>
                <c:pt idx="17">
                  <c:v>110773.07815302</c:v>
                </c:pt>
                <c:pt idx="18">
                  <c:v>139826.46484351903</c:v>
                </c:pt>
                <c:pt idx="19">
                  <c:v>191816.47018039995</c:v>
                </c:pt>
                <c:pt idx="20">
                  <c:v>252472.14793553294</c:v>
                </c:pt>
                <c:pt idx="21">
                  <c:v>258461.19805012204</c:v>
                </c:pt>
                <c:pt idx="22">
                  <c:v>151314.41489412897</c:v>
                </c:pt>
                <c:pt idx="23">
                  <c:v>188326.36796587694</c:v>
                </c:pt>
                <c:pt idx="24">
                  <c:v>122721.31588139596</c:v>
                </c:pt>
                <c:pt idx="25">
                  <c:v>109055.50340376998</c:v>
                </c:pt>
                <c:pt idx="26">
                  <c:v>131354.535936745</c:v>
                </c:pt>
              </c:numCache>
            </c:numRef>
          </c:yVal>
          <c:smooth val="0"/>
          <c:extLst>
            <c:ext xmlns:c16="http://schemas.microsoft.com/office/drawing/2014/chart" uri="{C3380CC4-5D6E-409C-BE32-E72D297353CC}">
              <c16:uniqueId val="{00000001-C99F-4AD4-8FDD-9831D3E688B8}"/>
            </c:ext>
          </c:extLst>
        </c:ser>
        <c:ser>
          <c:idx val="2"/>
          <c:order val="2"/>
          <c:tx>
            <c:strRef>
              <c:f>'Jacks Complex'!$D$2</c:f>
              <c:strCache>
                <c:ptCount val="1"/>
                <c:pt idx="0">
                  <c:v>Lesser Amberjack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Complex'!$D$9:$D$35</c:f>
              <c:numCache>
                <c:formatCode>#,##0</c:formatCode>
                <c:ptCount val="27"/>
                <c:pt idx="0">
                  <c:v>7382.7143560000004</c:v>
                </c:pt>
                <c:pt idx="1">
                  <c:v>21029.809057499999</c:v>
                </c:pt>
                <c:pt idx="2">
                  <c:v>14162.182699610001</c:v>
                </c:pt>
                <c:pt idx="3">
                  <c:v>6706.3010829699997</c:v>
                </c:pt>
                <c:pt idx="4">
                  <c:v>5111.1200680000002</c:v>
                </c:pt>
                <c:pt idx="5">
                  <c:v>9125.7387600000002</c:v>
                </c:pt>
                <c:pt idx="6">
                  <c:v>18382.780137999998</c:v>
                </c:pt>
                <c:pt idx="7">
                  <c:v>9652.1365986000001</c:v>
                </c:pt>
                <c:pt idx="8">
                  <c:v>12395.831431909999</c:v>
                </c:pt>
                <c:pt idx="9">
                  <c:v>11032.27285288</c:v>
                </c:pt>
                <c:pt idx="10">
                  <c:v>9173.3699815</c:v>
                </c:pt>
                <c:pt idx="11">
                  <c:v>8154.8759167100006</c:v>
                </c:pt>
                <c:pt idx="12">
                  <c:v>3574.7696511250001</c:v>
                </c:pt>
                <c:pt idx="13">
                  <c:v>3824.3443985000004</c:v>
                </c:pt>
                <c:pt idx="14">
                  <c:v>9454.2367319000004</c:v>
                </c:pt>
                <c:pt idx="15">
                  <c:v>7714.4509024999998</c:v>
                </c:pt>
                <c:pt idx="16">
                  <c:v>19495.775312000002</c:v>
                </c:pt>
                <c:pt idx="17">
                  <c:v>4605.2610334000001</c:v>
                </c:pt>
                <c:pt idx="18">
                  <c:v>8481.2025238000006</c:v>
                </c:pt>
                <c:pt idx="19">
                  <c:v>13857.8293902</c:v>
                </c:pt>
                <c:pt idx="20">
                  <c:v>48753.768953699</c:v>
                </c:pt>
                <c:pt idx="21">
                  <c:v>14217.074363199999</c:v>
                </c:pt>
                <c:pt idx="22">
                  <c:v>7888.5992544999999</c:v>
                </c:pt>
                <c:pt idx="23">
                  <c:v>9469.5758325850002</c:v>
                </c:pt>
                <c:pt idx="24">
                  <c:v>4561.55985719</c:v>
                </c:pt>
                <c:pt idx="25">
                  <c:v>12915.493920630001</c:v>
                </c:pt>
                <c:pt idx="26">
                  <c:v>16108.016151</c:v>
                </c:pt>
              </c:numCache>
            </c:numRef>
          </c:yVal>
          <c:smooth val="0"/>
          <c:extLst>
            <c:ext xmlns:c16="http://schemas.microsoft.com/office/drawing/2014/chart" uri="{C3380CC4-5D6E-409C-BE32-E72D297353CC}">
              <c16:uniqueId val="{00000002-C99F-4AD4-8FDD-9831D3E688B8}"/>
            </c:ext>
          </c:extLst>
        </c:ser>
        <c:ser>
          <c:idx val="4"/>
          <c:order val="3"/>
          <c:tx>
            <c:strRef>
              <c:f>'Jacks Complex'!$E$3</c:f>
              <c:strCache>
                <c:ptCount val="1"/>
                <c:pt idx="0">
                  <c:v>Total</c:v>
                </c:pt>
              </c:strCache>
            </c:strRef>
          </c:tx>
          <c:spPr>
            <a:ln>
              <a:solidFill>
                <a:schemeClr val="tx2"/>
              </a:solidFill>
            </a:ln>
          </c:spPr>
          <c:marker>
            <c:spPr>
              <a:ln>
                <a:solidFill>
                  <a:srgbClr val="FF0000"/>
                </a:solidFill>
              </a:ln>
            </c:spPr>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Complex'!$E$9:$E$35</c:f>
              <c:numCache>
                <c:formatCode>#,##0</c:formatCode>
                <c:ptCount val="27"/>
                <c:pt idx="0">
                  <c:v>27566.883189999997</c:v>
                </c:pt>
                <c:pt idx="1">
                  <c:v>98068.846887969979</c:v>
                </c:pt>
                <c:pt idx="2">
                  <c:v>100482.92206601</c:v>
                </c:pt>
                <c:pt idx="3">
                  <c:v>105910.49614712002</c:v>
                </c:pt>
                <c:pt idx="4">
                  <c:v>136430.33935544</c:v>
                </c:pt>
                <c:pt idx="5">
                  <c:v>96509.277010980004</c:v>
                </c:pt>
                <c:pt idx="6">
                  <c:v>184016.5847562</c:v>
                </c:pt>
                <c:pt idx="7">
                  <c:v>144413.27706295997</c:v>
                </c:pt>
                <c:pt idx="8">
                  <c:v>451782.55495854007</c:v>
                </c:pt>
                <c:pt idx="9">
                  <c:v>479826.08082240296</c:v>
                </c:pt>
                <c:pt idx="10">
                  <c:v>424136.35577620787</c:v>
                </c:pt>
                <c:pt idx="11">
                  <c:v>261485.580401354</c:v>
                </c:pt>
                <c:pt idx="12">
                  <c:v>486170.61916578515</c:v>
                </c:pt>
                <c:pt idx="13">
                  <c:v>542077.27412244491</c:v>
                </c:pt>
                <c:pt idx="14">
                  <c:v>267881.26002365199</c:v>
                </c:pt>
                <c:pt idx="15">
                  <c:v>624088.23413836583</c:v>
                </c:pt>
                <c:pt idx="16">
                  <c:v>655168.97057623416</c:v>
                </c:pt>
                <c:pt idx="17">
                  <c:v>422984.72564523993</c:v>
                </c:pt>
                <c:pt idx="18">
                  <c:v>459007.12550962699</c:v>
                </c:pt>
                <c:pt idx="19">
                  <c:v>466923.71210631891</c:v>
                </c:pt>
                <c:pt idx="20">
                  <c:v>621883.68480049202</c:v>
                </c:pt>
                <c:pt idx="21">
                  <c:v>680357.94254271395</c:v>
                </c:pt>
                <c:pt idx="22">
                  <c:v>435100.02775755001</c:v>
                </c:pt>
                <c:pt idx="23">
                  <c:v>586106.3082002619</c:v>
                </c:pt>
                <c:pt idx="24">
                  <c:v>543864.82157127804</c:v>
                </c:pt>
                <c:pt idx="25">
                  <c:v>724166.72980669781</c:v>
                </c:pt>
                <c:pt idx="26">
                  <c:v>609833.81408509507</c:v>
                </c:pt>
              </c:numCache>
            </c:numRef>
          </c:yVal>
          <c:smooth val="0"/>
          <c:extLst>
            <c:ext xmlns:c16="http://schemas.microsoft.com/office/drawing/2014/chart" uri="{C3380CC4-5D6E-409C-BE32-E72D297353CC}">
              <c16:uniqueId val="{00000003-C99F-4AD4-8FDD-9831D3E688B8}"/>
            </c:ext>
          </c:extLst>
        </c:ser>
        <c:ser>
          <c:idx val="3"/>
          <c:order val="4"/>
          <c:tx>
            <c:strRef>
              <c:f>'Jacks Complex'!$F$3</c:f>
              <c:strCache>
                <c:ptCount val="1"/>
                <c:pt idx="0">
                  <c:v>New Wgt ABC/ACL</c:v>
                </c:pt>
              </c:strCache>
            </c:strRef>
          </c:tx>
          <c:spPr>
            <a:ln w="38100">
              <a:solidFill>
                <a:schemeClr val="tx1"/>
              </a:solidFill>
            </a:ln>
          </c:spPr>
          <c:marker>
            <c:symbol val="none"/>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Complex'!$F$9:$F$35</c:f>
              <c:numCache>
                <c:formatCode>#,##0</c:formatCode>
                <c:ptCount val="27"/>
                <c:pt idx="21">
                  <c:v>752660.43961346813</c:v>
                </c:pt>
                <c:pt idx="22">
                  <c:v>752660.43961346813</c:v>
                </c:pt>
                <c:pt idx="23">
                  <c:v>752660.43961346813</c:v>
                </c:pt>
                <c:pt idx="24">
                  <c:v>752660.43961346813</c:v>
                </c:pt>
                <c:pt idx="25">
                  <c:v>752660.43961346813</c:v>
                </c:pt>
                <c:pt idx="26">
                  <c:v>752660.43961346813</c:v>
                </c:pt>
              </c:numCache>
            </c:numRef>
          </c:yVal>
          <c:smooth val="0"/>
          <c:extLst>
            <c:ext xmlns:c16="http://schemas.microsoft.com/office/drawing/2014/chart" uri="{C3380CC4-5D6E-409C-BE32-E72D297353CC}">
              <c16:uniqueId val="{00000004-C99F-4AD4-8FDD-9831D3E688B8}"/>
            </c:ext>
          </c:extLst>
        </c:ser>
        <c:dLbls>
          <c:showLegendKey val="0"/>
          <c:showVal val="0"/>
          <c:showCatName val="0"/>
          <c:showSerName val="0"/>
          <c:showPercent val="0"/>
          <c:showBubbleSize val="0"/>
        </c:dLbls>
        <c:axId val="342851584"/>
        <c:axId val="342852160"/>
      </c:scatterChart>
      <c:valAx>
        <c:axId val="342851584"/>
        <c:scaling>
          <c:orientation val="minMax"/>
          <c:max val="2017"/>
          <c:min val="1991"/>
        </c:scaling>
        <c:delete val="0"/>
        <c:axPos val="b"/>
        <c:title>
          <c:tx>
            <c:rich>
              <a:bodyPr/>
              <a:lstStyle/>
              <a:p>
                <a:pPr>
                  <a:defRPr/>
                </a:pPr>
                <a:r>
                  <a:rPr lang="en-US"/>
                  <a:t>Year</a:t>
                </a:r>
              </a:p>
            </c:rich>
          </c:tx>
          <c:overlay val="0"/>
        </c:title>
        <c:numFmt formatCode="General" sourceLinked="1"/>
        <c:majorTickMark val="out"/>
        <c:minorTickMark val="none"/>
        <c:tickLblPos val="nextTo"/>
        <c:crossAx val="342852160"/>
        <c:crosses val="autoZero"/>
        <c:crossBetween val="midCat"/>
      </c:valAx>
      <c:valAx>
        <c:axId val="3428521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1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'Bar Jack'!$D$3</c:f>
              <c:strCache>
                <c:ptCount val="1"/>
                <c:pt idx="0">
                  <c:v>Total New Wgt</c:v>
                </c:pt>
              </c:strCache>
            </c:strRef>
          </c:tx>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Jack'!$D$4:$D$35</c:f>
              <c:numCache>
                <c:formatCode>#,##0</c:formatCode>
                <c:ptCount val="32"/>
                <c:pt idx="0">
                  <c:v>337452.12597887998</c:v>
                </c:pt>
                <c:pt idx="1">
                  <c:v>10694.389373652</c:v>
                </c:pt>
                <c:pt idx="2">
                  <c:v>572.70215473499991</c:v>
                </c:pt>
                <c:pt idx="3">
                  <c:v>116067.91357132999</c:v>
                </c:pt>
                <c:pt idx="4">
                  <c:v>111169.57975139997</c:v>
                </c:pt>
                <c:pt idx="5">
                  <c:v>6736.2905814000014</c:v>
                </c:pt>
                <c:pt idx="6">
                  <c:v>4833.1696160600004</c:v>
                </c:pt>
                <c:pt idx="7">
                  <c:v>29921.479935815009</c:v>
                </c:pt>
                <c:pt idx="8">
                  <c:v>33381.386580529987</c:v>
                </c:pt>
                <c:pt idx="9">
                  <c:v>5810.7741000000005</c:v>
                </c:pt>
                <c:pt idx="10">
                  <c:v>7478.2411384360003</c:v>
                </c:pt>
                <c:pt idx="11">
                  <c:v>60187.901046070001</c:v>
                </c:pt>
                <c:pt idx="12">
                  <c:v>27221.778905127001</c:v>
                </c:pt>
                <c:pt idx="13">
                  <c:v>38269.148918909996</c:v>
                </c:pt>
                <c:pt idx="14">
                  <c:v>38799.849663230001</c:v>
                </c:pt>
                <c:pt idx="15">
                  <c:v>39015.978897199013</c:v>
                </c:pt>
                <c:pt idx="16">
                  <c:v>10810.570479535001</c:v>
                </c:pt>
                <c:pt idx="17">
                  <c:v>4156.4035410199995</c:v>
                </c:pt>
                <c:pt idx="18">
                  <c:v>16428.624959013003</c:v>
                </c:pt>
                <c:pt idx="19">
                  <c:v>58534.792987823996</c:v>
                </c:pt>
                <c:pt idx="20">
                  <c:v>5482.573750945</c:v>
                </c:pt>
                <c:pt idx="21">
                  <c:v>14950.2879801</c:v>
                </c:pt>
                <c:pt idx="22">
                  <c:v>6931.1878523639989</c:v>
                </c:pt>
                <c:pt idx="23">
                  <c:v>22169.334280600007</c:v>
                </c:pt>
                <c:pt idx="24">
                  <c:v>3789.8110876000001</c:v>
                </c:pt>
                <c:pt idx="25">
                  <c:v>66540.380477900006</c:v>
                </c:pt>
                <c:pt idx="26">
                  <c:v>6641.7834869300004</c:v>
                </c:pt>
                <c:pt idx="27">
                  <c:v>11189.332449900001</c:v>
                </c:pt>
                <c:pt idx="28">
                  <c:v>7940.6339698499978</c:v>
                </c:pt>
                <c:pt idx="29">
                  <c:v>20883.357029899998</c:v>
                </c:pt>
                <c:pt idx="30">
                  <c:v>7415.9084897599987</c:v>
                </c:pt>
                <c:pt idx="31">
                  <c:v>61879.397924599973</c:v>
                </c:pt>
              </c:numCache>
            </c:numRef>
          </c:yVal>
          <c:smooth val="0"/>
          <c:extLst>
            <c:ext xmlns:c16="http://schemas.microsoft.com/office/drawing/2014/chart" uri="{C3380CC4-5D6E-409C-BE32-E72D297353CC}">
              <c16:uniqueId val="{00000000-F187-45C6-903C-A9419A1C212D}"/>
            </c:ext>
          </c:extLst>
        </c:ser>
        <c:ser>
          <c:idx val="3"/>
          <c:order val="1"/>
          <c:tx>
            <c:strRef>
              <c:f>'Bar Jack'!$G$3</c:f>
              <c:strCache>
                <c:ptCount val="1"/>
                <c:pt idx="0">
                  <c:v>Total Orig FES</c:v>
                </c:pt>
              </c:strCache>
            </c:strRef>
          </c:tx>
          <c:spPr>
            <a:ln>
              <a:solidFill>
                <a:schemeClr val="accent2"/>
              </a:solidFill>
            </a:ln>
          </c:spPr>
          <c:marker>
            <c:spPr>
              <a:ln>
                <a:solidFill>
                  <a:schemeClr val="accent2"/>
                </a:solidFill>
              </a:ln>
            </c:spPr>
          </c:marker>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Jack'!$G$4:$G$35</c:f>
              <c:numCache>
                <c:formatCode>#,##0</c:formatCode>
                <c:ptCount val="32"/>
                <c:pt idx="0">
                  <c:v>336689.22376253002</c:v>
                </c:pt>
                <c:pt idx="1">
                  <c:v>7133.9755762660016</c:v>
                </c:pt>
                <c:pt idx="2">
                  <c:v>572.00086714899999</c:v>
                </c:pt>
                <c:pt idx="3">
                  <c:v>155074.47161339998</c:v>
                </c:pt>
                <c:pt idx="4">
                  <c:v>110918.65838929998</c:v>
                </c:pt>
                <c:pt idx="5">
                  <c:v>6721.7134702000021</c:v>
                </c:pt>
                <c:pt idx="6">
                  <c:v>4829.30233486</c:v>
                </c:pt>
                <c:pt idx="7">
                  <c:v>37053.960211379977</c:v>
                </c:pt>
                <c:pt idx="8">
                  <c:v>37738.070234129984</c:v>
                </c:pt>
                <c:pt idx="9">
                  <c:v>5810.7741000000005</c:v>
                </c:pt>
                <c:pt idx="10">
                  <c:v>7472.7766101400002</c:v>
                </c:pt>
                <c:pt idx="11">
                  <c:v>65060.124329409999</c:v>
                </c:pt>
                <c:pt idx="12">
                  <c:v>27166.953514713001</c:v>
                </c:pt>
                <c:pt idx="13">
                  <c:v>42919.286830629993</c:v>
                </c:pt>
                <c:pt idx="14">
                  <c:v>38719.668889300003</c:v>
                </c:pt>
                <c:pt idx="15">
                  <c:v>44331.230833782975</c:v>
                </c:pt>
                <c:pt idx="16">
                  <c:v>10799.897909579</c:v>
                </c:pt>
                <c:pt idx="17">
                  <c:v>4154.7973668499999</c:v>
                </c:pt>
                <c:pt idx="18">
                  <c:v>16409.873001971002</c:v>
                </c:pt>
                <c:pt idx="19">
                  <c:v>47150.381569555997</c:v>
                </c:pt>
                <c:pt idx="20">
                  <c:v>5480.2806982510001</c:v>
                </c:pt>
                <c:pt idx="21">
                  <c:v>14932.319400200002</c:v>
                </c:pt>
                <c:pt idx="22">
                  <c:v>6924.7333260259993</c:v>
                </c:pt>
                <c:pt idx="23">
                  <c:v>22129.872192600007</c:v>
                </c:pt>
                <c:pt idx="24">
                  <c:v>3789.8110876000001</c:v>
                </c:pt>
                <c:pt idx="25">
                  <c:v>122834.21331019999</c:v>
                </c:pt>
                <c:pt idx="26">
                  <c:v>6638.0010975499999</c:v>
                </c:pt>
                <c:pt idx="27">
                  <c:v>11178.961884100001</c:v>
                </c:pt>
                <c:pt idx="28">
                  <c:v>7935.8632690299974</c:v>
                </c:pt>
                <c:pt idx="29">
                  <c:v>20843.817648099997</c:v>
                </c:pt>
                <c:pt idx="30">
                  <c:v>7403.7318729299986</c:v>
                </c:pt>
                <c:pt idx="31">
                  <c:v>61741.747967199975</c:v>
                </c:pt>
              </c:numCache>
            </c:numRef>
          </c:yVal>
          <c:smooth val="0"/>
          <c:extLst>
            <c:ext xmlns:c16="http://schemas.microsoft.com/office/drawing/2014/chart" uri="{C3380CC4-5D6E-409C-BE32-E72D297353CC}">
              <c16:uniqueId val="{00000003-F187-45C6-903C-A9419A1C212D}"/>
            </c:ext>
          </c:extLst>
        </c:ser>
        <c:ser>
          <c:idx val="5"/>
          <c:order val="2"/>
          <c:tx>
            <c:strRef>
              <c:f>'Bar Jack'!$I$3</c:f>
              <c:strCache>
                <c:ptCount val="1"/>
                <c:pt idx="0">
                  <c:v>New Wgt ABC</c:v>
                </c:pt>
              </c:strCache>
            </c:strRef>
          </c:tx>
          <c:spPr>
            <a:ln>
              <a:solidFill>
                <a:schemeClr val="tx1"/>
              </a:solidFill>
            </a:ln>
          </c:spPr>
          <c:marker>
            <c:symbol val="none"/>
          </c:marker>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Jack'!$I$4:$I$35</c:f>
              <c:numCache>
                <c:formatCode>#,##0</c:formatCode>
                <c:ptCount val="32"/>
                <c:pt idx="26">
                  <c:v>38799.849663230001</c:v>
                </c:pt>
                <c:pt idx="27">
                  <c:v>38799.849663230001</c:v>
                </c:pt>
                <c:pt idx="28">
                  <c:v>38799.849663230001</c:v>
                </c:pt>
                <c:pt idx="29">
                  <c:v>105362.6273780832</c:v>
                </c:pt>
                <c:pt idx="30">
                  <c:v>105362.6273780832</c:v>
                </c:pt>
                <c:pt idx="31">
                  <c:v>105362.6273780832</c:v>
                </c:pt>
              </c:numCache>
            </c:numRef>
          </c:yVal>
          <c:smooth val="0"/>
          <c:extLst>
            <c:ext xmlns:c16="http://schemas.microsoft.com/office/drawing/2014/chart" uri="{C3380CC4-5D6E-409C-BE32-E72D297353CC}">
              <c16:uniqueId val="{00000005-F187-45C6-903C-A9419A1C212D}"/>
            </c:ext>
          </c:extLst>
        </c:ser>
        <c:ser>
          <c:idx val="6"/>
          <c:order val="3"/>
          <c:tx>
            <c:strRef>
              <c:f>'Bar Jack'!$J$3</c:f>
              <c:strCache>
                <c:ptCount val="1"/>
                <c:pt idx="0">
                  <c:v>Orig Rec ABC</c:v>
                </c:pt>
              </c:strCache>
            </c:strRef>
          </c:tx>
          <c:spPr>
            <a:ln>
              <a:solidFill>
                <a:srgbClr val="7030A0"/>
              </a:solidFill>
            </a:ln>
          </c:spPr>
          <c:marker>
            <c:symbol val="none"/>
          </c:marker>
          <c:xVal>
            <c:numRef>
              <c:f>'Bar Jack'!$C$30:$C$35</c:f>
              <c:numCache>
                <c:formatCode>General</c:formatCode>
                <c:ptCount val="6"/>
                <c:pt idx="0">
                  <c:v>2012</c:v>
                </c:pt>
                <c:pt idx="1">
                  <c:v>2013</c:v>
                </c:pt>
                <c:pt idx="2">
                  <c:v>2014</c:v>
                </c:pt>
                <c:pt idx="3">
                  <c:v>2015</c:v>
                </c:pt>
                <c:pt idx="4">
                  <c:v>2016</c:v>
                </c:pt>
                <c:pt idx="5">
                  <c:v>2017</c:v>
                </c:pt>
              </c:numCache>
            </c:numRef>
          </c:xVal>
          <c:yVal>
            <c:numRef>
              <c:f>'Bar Jack'!$J$30:$J$35</c:f>
              <c:numCache>
                <c:formatCode>#,##0</c:formatCode>
                <c:ptCount val="6"/>
                <c:pt idx="0">
                  <c:v>42919.286830629993</c:v>
                </c:pt>
                <c:pt idx="1">
                  <c:v>42919.286830629993</c:v>
                </c:pt>
                <c:pt idx="2">
                  <c:v>42919.286830629993</c:v>
                </c:pt>
                <c:pt idx="3">
                  <c:v>84870.686825200799</c:v>
                </c:pt>
                <c:pt idx="4">
                  <c:v>84870.686825200799</c:v>
                </c:pt>
                <c:pt idx="5">
                  <c:v>84870.686825200799</c:v>
                </c:pt>
              </c:numCache>
            </c:numRef>
          </c:yVal>
          <c:smooth val="0"/>
          <c:extLst>
            <c:ext xmlns:c16="http://schemas.microsoft.com/office/drawing/2014/chart" uri="{C3380CC4-5D6E-409C-BE32-E72D297353CC}">
              <c16:uniqueId val="{00000001-1264-4CF7-9CC0-07749548AE59}"/>
            </c:ext>
          </c:extLst>
        </c:ser>
        <c:dLbls>
          <c:showLegendKey val="0"/>
          <c:showVal val="0"/>
          <c:showCatName val="0"/>
          <c:showSerName val="0"/>
          <c:showPercent val="0"/>
          <c:showBubbleSize val="0"/>
        </c:dLbls>
        <c:axId val="338518016"/>
        <c:axId val="338518592"/>
      </c:scatterChart>
      <c:valAx>
        <c:axId val="3385180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18592"/>
        <c:crosses val="autoZero"/>
        <c:crossBetween val="midCat"/>
      </c:valAx>
      <c:valAx>
        <c:axId val="338518592"/>
        <c:scaling>
          <c:orientation val="minMax"/>
          <c:max val="35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1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4"/>
          <c:order val="1"/>
          <c:tx>
            <c:strRef>
              <c:f>'Jacks Complex'!$V$3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'Jacks Complex'!$U$9:$U$35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Complex'!$V$9:$V$35</c:f>
              <c:numCache>
                <c:formatCode>#,##0</c:formatCode>
                <c:ptCount val="27"/>
                <c:pt idx="0">
                  <c:v>17188.737095999997</c:v>
                </c:pt>
                <c:pt idx="1">
                  <c:v>66037.989946469985</c:v>
                </c:pt>
                <c:pt idx="2">
                  <c:v>37322.492221</c:v>
                </c:pt>
                <c:pt idx="3">
                  <c:v>51962.712214150022</c:v>
                </c:pt>
                <c:pt idx="4">
                  <c:v>70708.476540639982</c:v>
                </c:pt>
                <c:pt idx="5">
                  <c:v>36390.781049999998</c:v>
                </c:pt>
                <c:pt idx="6">
                  <c:v>35820.662079299989</c:v>
                </c:pt>
                <c:pt idx="7">
                  <c:v>35301.393129659999</c:v>
                </c:pt>
                <c:pt idx="8">
                  <c:v>228637.33297713008</c:v>
                </c:pt>
                <c:pt idx="9">
                  <c:v>110917.21479511302</c:v>
                </c:pt>
                <c:pt idx="10">
                  <c:v>159615.09471690794</c:v>
                </c:pt>
                <c:pt idx="11">
                  <c:v>75680.097592704027</c:v>
                </c:pt>
                <c:pt idx="12">
                  <c:v>300626.98115082015</c:v>
                </c:pt>
                <c:pt idx="13">
                  <c:v>188218.34495488001</c:v>
                </c:pt>
                <c:pt idx="14">
                  <c:v>70391.618244199984</c:v>
                </c:pt>
                <c:pt idx="15">
                  <c:v>346117.62384110992</c:v>
                </c:pt>
                <c:pt idx="16">
                  <c:v>319705.56306899013</c:v>
                </c:pt>
                <c:pt idx="17">
                  <c:v>133084.38645881991</c:v>
                </c:pt>
                <c:pt idx="18">
                  <c:v>139200.45814230794</c:v>
                </c:pt>
                <c:pt idx="19">
                  <c:v>44196.412535718991</c:v>
                </c:pt>
                <c:pt idx="20">
                  <c:v>92237.767911260031</c:v>
                </c:pt>
                <c:pt idx="21">
                  <c:v>167468.67012939192</c:v>
                </c:pt>
                <c:pt idx="22">
                  <c:v>136235.01360892103</c:v>
                </c:pt>
                <c:pt idx="23">
                  <c:v>208193.36440179998</c:v>
                </c:pt>
                <c:pt idx="24">
                  <c:v>294492.94583269209</c:v>
                </c:pt>
                <c:pt idx="25">
                  <c:v>462288.73248229793</c:v>
                </c:pt>
                <c:pt idx="26">
                  <c:v>360026.26199735003</c:v>
                </c:pt>
              </c:numCache>
            </c:numRef>
          </c:yVal>
          <c:smooth val="0"/>
          <c:extLst>
            <c:ext xmlns:c16="http://schemas.microsoft.com/office/drawing/2014/chart" uri="{C3380CC4-5D6E-409C-BE32-E72D297353CC}">
              <c16:uniqueId val="{00000001-60F2-4600-BFC5-7DB733316B5F}"/>
            </c:ext>
          </c:extLst>
        </c:ser>
        <c:ser>
          <c:idx val="5"/>
          <c:order val="3"/>
          <c:tx>
            <c:strRef>
              <c:f>'Jacks Complex'!$AB$3</c:f>
              <c:strCache>
                <c:ptCount val="1"/>
                <c:pt idx="0">
                  <c:v>Orig FES Rec</c:v>
                </c:pt>
              </c:strCache>
            </c:strRef>
          </c:tx>
          <c:xVal>
            <c:numRef>
              <c:f>'Jacks Complex'!$AA$9:$AA$35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Complex'!$AB$9:$AB$35</c:f>
              <c:numCache>
                <c:formatCode>#,##0</c:formatCode>
                <c:ptCount val="27"/>
                <c:pt idx="0">
                  <c:v>17188.737095999997</c:v>
                </c:pt>
                <c:pt idx="1">
                  <c:v>66376.062040309989</c:v>
                </c:pt>
                <c:pt idx="2">
                  <c:v>37361.5199355</c:v>
                </c:pt>
                <c:pt idx="3">
                  <c:v>52154.652441780017</c:v>
                </c:pt>
                <c:pt idx="4">
                  <c:v>70968.818924449995</c:v>
                </c:pt>
                <c:pt idx="5">
                  <c:v>36390.781049999998</c:v>
                </c:pt>
                <c:pt idx="6">
                  <c:v>35896.304114899991</c:v>
                </c:pt>
                <c:pt idx="7">
                  <c:v>35358.146638699996</c:v>
                </c:pt>
                <c:pt idx="8">
                  <c:v>218405.95791570004</c:v>
                </c:pt>
                <c:pt idx="9">
                  <c:v>129117.98270306303</c:v>
                </c:pt>
                <c:pt idx="10">
                  <c:v>158900.62853030697</c:v>
                </c:pt>
                <c:pt idx="11">
                  <c:v>71837.443515203966</c:v>
                </c:pt>
                <c:pt idx="12">
                  <c:v>295294.20666102006</c:v>
                </c:pt>
                <c:pt idx="13">
                  <c:v>188218.34495488007</c:v>
                </c:pt>
                <c:pt idx="14">
                  <c:v>58101.522212399992</c:v>
                </c:pt>
                <c:pt idx="15">
                  <c:v>346117.62384110992</c:v>
                </c:pt>
                <c:pt idx="16">
                  <c:v>315803.18354238011</c:v>
                </c:pt>
                <c:pt idx="17">
                  <c:v>125954.33166718997</c:v>
                </c:pt>
                <c:pt idx="18">
                  <c:v>139200.45814230794</c:v>
                </c:pt>
                <c:pt idx="19">
                  <c:v>49957.04306028998</c:v>
                </c:pt>
                <c:pt idx="20">
                  <c:v>138988.02728530008</c:v>
                </c:pt>
                <c:pt idx="21">
                  <c:v>142214.04516476192</c:v>
                </c:pt>
                <c:pt idx="22">
                  <c:v>137522.74821268802</c:v>
                </c:pt>
                <c:pt idx="23">
                  <c:v>195427.32137103</c:v>
                </c:pt>
                <c:pt idx="24">
                  <c:v>278913.20663621195</c:v>
                </c:pt>
                <c:pt idx="25">
                  <c:v>466654.95302410802</c:v>
                </c:pt>
                <c:pt idx="26">
                  <c:v>353941.76308268995</c:v>
                </c:pt>
              </c:numCache>
            </c:numRef>
          </c:yVal>
          <c:smooth val="0"/>
          <c:extLst>
            <c:ext xmlns:c16="http://schemas.microsoft.com/office/drawing/2014/chart" uri="{C3380CC4-5D6E-409C-BE32-E72D297353CC}">
              <c16:uniqueId val="{00000002-60F2-4600-BFC5-7DB733316B5F}"/>
            </c:ext>
          </c:extLst>
        </c:ser>
        <c:ser>
          <c:idx val="6"/>
          <c:order val="4"/>
          <c:tx>
            <c:strRef>
              <c:f>'Jacks Complex'!$W$67</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xVal>
            <c:numRef>
              <c:f>'Jacks Complex'!$Q$68:$Q$94</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extLst xmlns:c15="http://schemas.microsoft.com/office/drawing/2012/chart"/>
            </c:numRef>
          </c:xVal>
          <c:yVal>
            <c:numRef>
              <c:f>'Jacks Complex'!$W$68:$W$94</c:f>
              <c:numCache>
                <c:formatCode>#,##0</c:formatCode>
                <c:ptCount val="27"/>
                <c:pt idx="0">
                  <c:v>17188.737095999997</c:v>
                </c:pt>
                <c:pt idx="1">
                  <c:v>26345.55337606154</c:v>
                </c:pt>
                <c:pt idx="2">
                  <c:v>33770.244669200401</c:v>
                </c:pt>
                <c:pt idx="3">
                  <c:v>44601.858111082096</c:v>
                </c:pt>
                <c:pt idx="4">
                  <c:v>42014.133079943829</c:v>
                </c:pt>
                <c:pt idx="5">
                  <c:v>36390.781049999998</c:v>
                </c:pt>
                <c:pt idx="6">
                  <c:v>26215.36006808457</c:v>
                </c:pt>
                <c:pt idx="7">
                  <c:v>71701.291163261951</c:v>
                </c:pt>
                <c:pt idx="8">
                  <c:v>259309.1726994327</c:v>
                </c:pt>
                <c:pt idx="9">
                  <c:v>132559.73107747585</c:v>
                </c:pt>
                <c:pt idx="10">
                  <c:v>142522.83581174203</c:v>
                </c:pt>
                <c:pt idx="11">
                  <c:v>58159.856860306354</c:v>
                </c:pt>
                <c:pt idx="12">
                  <c:v>190119.45181640354</c:v>
                </c:pt>
                <c:pt idx="13">
                  <c:v>184729.10654860031</c:v>
                </c:pt>
                <c:pt idx="14">
                  <c:v>67472.155712506035</c:v>
                </c:pt>
                <c:pt idx="15">
                  <c:v>284448.1743118111</c:v>
                </c:pt>
                <c:pt idx="16">
                  <c:v>344160.21124574268</c:v>
                </c:pt>
                <c:pt idx="17">
                  <c:v>95671.199883346941</c:v>
                </c:pt>
                <c:pt idx="18">
                  <c:v>59370.01125557565</c:v>
                </c:pt>
                <c:pt idx="19">
                  <c:v>44318.764092846417</c:v>
                </c:pt>
                <c:pt idx="20">
                  <c:v>88832.527696219477</c:v>
                </c:pt>
                <c:pt idx="21">
                  <c:v>128980.38863539185</c:v>
                </c:pt>
                <c:pt idx="22">
                  <c:v>161057.45114740208</c:v>
                </c:pt>
                <c:pt idx="23">
                  <c:v>175907.54636682273</c:v>
                </c:pt>
                <c:pt idx="24">
                  <c:v>281481.31791852595</c:v>
                </c:pt>
                <c:pt idx="25">
                  <c:v>452889.88367110386</c:v>
                </c:pt>
                <c:pt idx="26">
                  <c:v>260548.92352642943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92AC-45B3-9533-28230A8C0A0B}"/>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0"/>
                <c:order val="0"/>
                <c:tx>
                  <c:strRef>
                    <c:extLst>
                      <c:ext uri="{02D57815-91ED-43cb-92C2-25804820EDAC}">
                        <c15:formulaRef>
                          <c15:sqref>'Jacks Complex'!$B$3</c15:sqref>
                        </c15:formulaRef>
                      </c:ext>
                    </c:extLst>
                    <c:strCache>
                      <c:ptCount val="1"/>
                      <c:pt idx="0">
                        <c:v>Total New Wgt</c:v>
                      </c:pt>
                    </c:strCache>
                  </c:strRef>
                </c:tx>
                <c:xVal>
                  <c:numRef>
                    <c:extLst>
                      <c:ext uri="{02D57815-91ED-43cb-92C2-25804820EDAC}">
                        <c15:formulaRef>
                          <c15:sqref>'Jacks Complex'!$A$9:$A$35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Complex'!$B$9:$B$35</c15:sqref>
                        </c15:formulaRef>
                      </c:ext>
                    </c:extLst>
                    <c:numCache>
                      <c:formatCode>#,##0</c:formatCode>
                      <c:ptCount val="27"/>
                      <c:pt idx="0">
                        <c:v>19987.737095999997</c:v>
                      </c:pt>
                      <c:pt idx="1">
                        <c:v>67740.989946469985</c:v>
                      </c:pt>
                      <c:pt idx="2">
                        <c:v>54252.492221</c:v>
                      </c:pt>
                      <c:pt idx="3">
                        <c:v>72971.712214150029</c:v>
                      </c:pt>
                      <c:pt idx="4">
                        <c:v>91469.476540639982</c:v>
                      </c:pt>
                      <c:pt idx="5">
                        <c:v>52637.781049999998</c:v>
                      </c:pt>
                      <c:pt idx="6">
                        <c:v>61877.662079299989</c:v>
                      </c:pt>
                      <c:pt idx="7">
                        <c:v>58730.393129659999</c:v>
                      </c:pt>
                      <c:pt idx="8">
                        <c:v>305984.33297713008</c:v>
                      </c:pt>
                      <c:pt idx="9">
                        <c:v>173017.21479511302</c:v>
                      </c:pt>
                      <c:pt idx="10">
                        <c:v>252699.09471690794</c:v>
                      </c:pt>
                      <c:pt idx="11">
                        <c:v>162774.09759270403</c:v>
                      </c:pt>
                      <c:pt idx="12">
                        <c:v>379224.98115082015</c:v>
                      </c:pt>
                      <c:pt idx="13">
                        <c:v>325876.34495488001</c:v>
                      </c:pt>
                      <c:pt idx="14">
                        <c:v>161364.61824419998</c:v>
                      </c:pt>
                      <c:pt idx="15">
                        <c:v>458447.62384110992</c:v>
                      </c:pt>
                      <c:pt idx="16">
                        <c:v>482803.56306899013</c:v>
                      </c:pt>
                      <c:pt idx="17">
                        <c:v>307606.38645881991</c:v>
                      </c:pt>
                      <c:pt idx="18">
                        <c:v>310699.45814230794</c:v>
                      </c:pt>
                      <c:pt idx="19">
                        <c:v>261249.41253571899</c:v>
                      </c:pt>
                      <c:pt idx="20">
                        <c:v>320657.76791126002</c:v>
                      </c:pt>
                      <c:pt idx="21">
                        <c:v>407679.67012939195</c:v>
                      </c:pt>
                      <c:pt idx="22">
                        <c:v>275897.01360892103</c:v>
                      </c:pt>
                      <c:pt idx="23">
                        <c:v>388310.36440179998</c:v>
                      </c:pt>
                      <c:pt idx="24">
                        <c:v>416581.94583269209</c:v>
                      </c:pt>
                      <c:pt idx="25">
                        <c:v>602195.73248229793</c:v>
                      </c:pt>
                      <c:pt idx="26">
                        <c:v>462371.26199735003</c:v>
                      </c:pt>
                    </c:numCache>
                  </c:numRef>
                </c:yVal>
                <c:smooth val="0"/>
                <c:extLst>
                  <c:ext xmlns:c16="http://schemas.microsoft.com/office/drawing/2014/chart" uri="{C3380CC4-5D6E-409C-BE32-E72D297353CC}">
                    <c16:uniqueId val="{00000000-1D17-4517-84D4-047ED4FFACCA}"/>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'Jacks Complex'!$I$3</c15:sqref>
                        </c15:formulaRef>
                      </c:ext>
                    </c:extLst>
                    <c:strCache>
                      <c:ptCount val="1"/>
                      <c:pt idx="0">
                        <c:v>Total Orig FES</c:v>
                      </c:pt>
                    </c:strCache>
                  </c:strRef>
                </c:tx>
                <c:spPr>
                  <a:ln>
                    <a:solidFill>
                      <a:schemeClr val="accent2"/>
                    </a:solidFill>
                  </a:ln>
                </c:spPr>
                <c:marker>
                  <c:symbol val="x"/>
                  <c:size val="7"/>
                  <c:spPr>
                    <a:ln>
                      <a:solidFill>
                        <a:schemeClr val="accent2"/>
                      </a:solidFill>
                    </a:ln>
                  </c:spPr>
                </c:marker>
                <c:xVal>
                  <c:numRef>
                    <c:extLst xmlns:c15="http://schemas.microsoft.com/office/drawing/2012/chart">
                      <c:ext xmlns:c15="http://schemas.microsoft.com/office/drawing/2012/chart" uri="{02D57815-91ED-43cb-92C2-25804820EDAC}">
                        <c15:formulaRef>
                          <c15:sqref>'Jacks Complex'!$H$9:$H$35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Complex'!$I$9:$I$35</c15:sqref>
                        </c15:formulaRef>
                      </c:ext>
                    </c:extLst>
                    <c:numCache>
                      <c:formatCode>#,##0</c:formatCode>
                      <c:ptCount val="27"/>
                      <c:pt idx="0">
                        <c:v>19987.737095999997</c:v>
                      </c:pt>
                      <c:pt idx="1">
                        <c:v>68079.062040309989</c:v>
                      </c:pt>
                      <c:pt idx="2">
                        <c:v>54291.5199355</c:v>
                      </c:pt>
                      <c:pt idx="3">
                        <c:v>73163.652441780025</c:v>
                      </c:pt>
                      <c:pt idx="4">
                        <c:v>91729.818924449995</c:v>
                      </c:pt>
                      <c:pt idx="5">
                        <c:v>52637.781049999998</c:v>
                      </c:pt>
                      <c:pt idx="6">
                        <c:v>61953.304114899991</c:v>
                      </c:pt>
                      <c:pt idx="7">
                        <c:v>58787.146638699996</c:v>
                      </c:pt>
                      <c:pt idx="8">
                        <c:v>295752.95791570004</c:v>
                      </c:pt>
                      <c:pt idx="9">
                        <c:v>191217.98270306303</c:v>
                      </c:pt>
                      <c:pt idx="10">
                        <c:v>251984.62853030697</c:v>
                      </c:pt>
                      <c:pt idx="11">
                        <c:v>158931.44351520395</c:v>
                      </c:pt>
                      <c:pt idx="12">
                        <c:v>373892.20666102006</c:v>
                      </c:pt>
                      <c:pt idx="13">
                        <c:v>325876.34495488007</c:v>
                      </c:pt>
                      <c:pt idx="14">
                        <c:v>149074.52221239998</c:v>
                      </c:pt>
                      <c:pt idx="15">
                        <c:v>458447.62384110992</c:v>
                      </c:pt>
                      <c:pt idx="16">
                        <c:v>478901.18354238011</c:v>
                      </c:pt>
                      <c:pt idx="17">
                        <c:v>300476.33166718995</c:v>
                      </c:pt>
                      <c:pt idx="18">
                        <c:v>310699.45814230794</c:v>
                      </c:pt>
                      <c:pt idx="19">
                        <c:v>267010.04306028999</c:v>
                      </c:pt>
                      <c:pt idx="20">
                        <c:v>367408.02728530008</c:v>
                      </c:pt>
                      <c:pt idx="21">
                        <c:v>382425.04516476195</c:v>
                      </c:pt>
                      <c:pt idx="22">
                        <c:v>277184.74821268802</c:v>
                      </c:pt>
                      <c:pt idx="23">
                        <c:v>375544.32137103</c:v>
                      </c:pt>
                      <c:pt idx="24">
                        <c:v>401002.20663621195</c:v>
                      </c:pt>
                      <c:pt idx="25">
                        <c:v>606561.95302410796</c:v>
                      </c:pt>
                      <c:pt idx="26">
                        <c:v>456286.76308268995</c:v>
                      </c:pt>
                    </c:numCache>
                  </c:numRef>
                </c:yVal>
                <c:smooth val="0"/>
                <c:extLst xmlns:c15="http://schemas.microsoft.com/office/drawing/2012/chart">
                  <c:ext xmlns:c16="http://schemas.microsoft.com/office/drawing/2014/chart" uri="{C3380CC4-5D6E-409C-BE32-E72D297353CC}">
                    <c16:uniqueId val="{00000000-60F2-4600-BFC5-7DB733316B5F}"/>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'Jacks Complex'!$B$42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'Jacks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Complex'!$B$43:$B$48</c15:sqref>
                        </c15:formulaRef>
                      </c:ext>
                    </c:extLst>
                    <c:numCache>
                      <c:formatCode>#,##0</c:formatCode>
                      <c:ptCount val="6"/>
                      <c:pt idx="0">
                        <c:v>579364.27568278823</c:v>
                      </c:pt>
                      <c:pt idx="1">
                        <c:v>579364.27568278823</c:v>
                      </c:pt>
                      <c:pt idx="2">
                        <c:v>579364.27568278823</c:v>
                      </c:pt>
                      <c:pt idx="3">
                        <c:v>579364.27568278823</c:v>
                      </c:pt>
                      <c:pt idx="4">
                        <c:v>579364.27568278823</c:v>
                      </c:pt>
                      <c:pt idx="5">
                        <c:v>579364.27568278823</c:v>
                      </c:pt>
                    </c:numCache>
                  </c:numRef>
                </c:yVal>
                <c:smooth val="0"/>
                <c:extLst xmlns:c15="http://schemas.microsoft.com/office/drawing/2012/chart">
                  <c:ext xmlns:c16="http://schemas.microsoft.com/office/drawing/2014/chart" uri="{C3380CC4-5D6E-409C-BE32-E72D297353CC}">
                    <c16:uniqueId val="{00000001-1D17-4517-84D4-047ED4FFACCA}"/>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'Jacks Complex'!$H$42</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'Jacks Complex'!$G$43:$G$48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Complex'!$H$43:$H$48</c15:sqref>
                        </c15:formulaRef>
                      </c:ext>
                    </c:extLst>
                    <c:numCache>
                      <c:formatCode>#,##0</c:formatCode>
                      <c:ptCount val="6"/>
                      <c:pt idx="0">
                        <c:v>373892.20666102006</c:v>
                      </c:pt>
                      <c:pt idx="1">
                        <c:v>373892.20666102006</c:v>
                      </c:pt>
                      <c:pt idx="2">
                        <c:v>373892.20666102006</c:v>
                      </c:pt>
                      <c:pt idx="3">
                        <c:v>373892.20666102006</c:v>
                      </c:pt>
                      <c:pt idx="4">
                        <c:v>373892.20666102006</c:v>
                      </c:pt>
                      <c:pt idx="5">
                        <c:v>373892.20666102006</c:v>
                      </c:pt>
                    </c:numCache>
                  </c:numRef>
                </c:yVal>
                <c:smooth val="0"/>
                <c:extLst xmlns:c15="http://schemas.microsoft.com/office/drawing/2012/chart">
                  <c:ext xmlns:c16="http://schemas.microsoft.com/office/drawing/2014/chart" uri="{C3380CC4-5D6E-409C-BE32-E72D297353CC}">
                    <c16:uniqueId val="{00000000-536D-4DBA-A9D3-9437AE980201}"/>
                  </c:ext>
                </c:extLst>
              </c15:ser>
            </c15:filteredScatterSeries>
          </c:ext>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4"/>
          <c:order val="1"/>
          <c:tx>
            <c:strRef>
              <c:f>'Jacks Complex'!$W$3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'Jacks Complex'!$U$9:$U$35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Complex'!$W$9:$W$35</c:f>
              <c:numCache>
                <c:formatCode>#,##0</c:formatCode>
                <c:ptCount val="27"/>
                <c:pt idx="0">
                  <c:v>79.431737999999996</c:v>
                </c:pt>
                <c:pt idx="1">
                  <c:v>4342.0478839999996</c:v>
                </c:pt>
                <c:pt idx="2">
                  <c:v>30853.247145400001</c:v>
                </c:pt>
                <c:pt idx="3">
                  <c:v>21582.48285</c:v>
                </c:pt>
                <c:pt idx="4">
                  <c:v>35455.74274680001</c:v>
                </c:pt>
                <c:pt idx="5">
                  <c:v>25018.757200980002</c:v>
                </c:pt>
                <c:pt idx="6">
                  <c:v>56146.1425389</c:v>
                </c:pt>
                <c:pt idx="7">
                  <c:v>40596.747334699998</c:v>
                </c:pt>
                <c:pt idx="8">
                  <c:v>81242.390549499993</c:v>
                </c:pt>
                <c:pt idx="9">
                  <c:v>236861.59317440997</c:v>
                </c:pt>
                <c:pt idx="10">
                  <c:v>135851.89107779998</c:v>
                </c:pt>
                <c:pt idx="11">
                  <c:v>69899.606891939984</c:v>
                </c:pt>
                <c:pt idx="12">
                  <c:v>86297.868363839967</c:v>
                </c:pt>
                <c:pt idx="13">
                  <c:v>180309.58476906482</c:v>
                </c:pt>
                <c:pt idx="14">
                  <c:v>61363.405047552005</c:v>
                </c:pt>
                <c:pt idx="15">
                  <c:v>126032.15939475594</c:v>
                </c:pt>
                <c:pt idx="16">
                  <c:v>122964.63219524403</c:v>
                </c:pt>
                <c:pt idx="17">
                  <c:v>83463.078153020004</c:v>
                </c:pt>
                <c:pt idx="18">
                  <c:v>87140.464843519017</c:v>
                </c:pt>
                <c:pt idx="19">
                  <c:v>147905.47018039995</c:v>
                </c:pt>
                <c:pt idx="20">
                  <c:v>152824.14793553294</c:v>
                </c:pt>
                <c:pt idx="21">
                  <c:v>177636.19805012204</c:v>
                </c:pt>
                <c:pt idx="22">
                  <c:v>86389.414894128975</c:v>
                </c:pt>
                <c:pt idx="23">
                  <c:v>135128.36796587694</c:v>
                </c:pt>
                <c:pt idx="24">
                  <c:v>60539.31588139596</c:v>
                </c:pt>
                <c:pt idx="25">
                  <c:v>57928.503403769988</c:v>
                </c:pt>
                <c:pt idx="26">
                  <c:v>111399.53593674501</c:v>
                </c:pt>
              </c:numCache>
            </c:numRef>
          </c:yVal>
          <c:smooth val="0"/>
          <c:extLst>
            <c:ext xmlns:c16="http://schemas.microsoft.com/office/drawing/2014/chart" uri="{C3380CC4-5D6E-409C-BE32-E72D297353CC}">
              <c16:uniqueId val="{00000001-BDDE-497C-9337-4708582EA750}"/>
            </c:ext>
          </c:extLst>
        </c:ser>
        <c:ser>
          <c:idx val="5"/>
          <c:order val="3"/>
          <c:tx>
            <c:strRef>
              <c:f>'Jacks Complex'!$AC$3</c:f>
              <c:strCache>
                <c:ptCount val="1"/>
                <c:pt idx="0">
                  <c:v>Orig FES Rec</c:v>
                </c:pt>
              </c:strCache>
            </c:strRef>
          </c:tx>
          <c:xVal>
            <c:numRef>
              <c:f>'Jacks Complex'!$AA$9:$AA$35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Complex'!$AC$9:$AC$35</c:f>
              <c:numCache>
                <c:formatCode>#,##0</c:formatCode>
                <c:ptCount val="27"/>
                <c:pt idx="0">
                  <c:v>79.431737999999996</c:v>
                </c:pt>
                <c:pt idx="1">
                  <c:v>4342.0478839999996</c:v>
                </c:pt>
                <c:pt idx="2">
                  <c:v>30872.4940613</c:v>
                </c:pt>
                <c:pt idx="3">
                  <c:v>21582.48285</c:v>
                </c:pt>
                <c:pt idx="4">
                  <c:v>35504.425640500005</c:v>
                </c:pt>
                <c:pt idx="5">
                  <c:v>25042.056916359998</c:v>
                </c:pt>
                <c:pt idx="6">
                  <c:v>56368.635510849992</c:v>
                </c:pt>
                <c:pt idx="7">
                  <c:v>40634.202755699996</c:v>
                </c:pt>
                <c:pt idx="8">
                  <c:v>81684.376534499985</c:v>
                </c:pt>
                <c:pt idx="9">
                  <c:v>241262.63474037996</c:v>
                </c:pt>
                <c:pt idx="10">
                  <c:v>135851.89107780001</c:v>
                </c:pt>
                <c:pt idx="11">
                  <c:v>70439.087410549982</c:v>
                </c:pt>
                <c:pt idx="12">
                  <c:v>86515.090686039955</c:v>
                </c:pt>
                <c:pt idx="13">
                  <c:v>181385.92219246484</c:v>
                </c:pt>
                <c:pt idx="14">
                  <c:v>66312.009655180023</c:v>
                </c:pt>
                <c:pt idx="15">
                  <c:v>126049.40633394694</c:v>
                </c:pt>
                <c:pt idx="16">
                  <c:v>122964.63219524403</c:v>
                </c:pt>
                <c:pt idx="17">
                  <c:v>82749.161449420004</c:v>
                </c:pt>
                <c:pt idx="18">
                  <c:v>86310.102678604031</c:v>
                </c:pt>
                <c:pt idx="19">
                  <c:v>147875.07414502997</c:v>
                </c:pt>
                <c:pt idx="20">
                  <c:v>150847.18119283294</c:v>
                </c:pt>
                <c:pt idx="21">
                  <c:v>199382.22905732205</c:v>
                </c:pt>
                <c:pt idx="22">
                  <c:v>98445.471181598972</c:v>
                </c:pt>
                <c:pt idx="23">
                  <c:v>131343.34094371699</c:v>
                </c:pt>
                <c:pt idx="24">
                  <c:v>57495.06819977596</c:v>
                </c:pt>
                <c:pt idx="25">
                  <c:v>57928.503403770002</c:v>
                </c:pt>
                <c:pt idx="26">
                  <c:v>111939.11071132201</c:v>
                </c:pt>
              </c:numCache>
            </c:numRef>
          </c:yVal>
          <c:smooth val="0"/>
          <c:extLst>
            <c:ext xmlns:c16="http://schemas.microsoft.com/office/drawing/2014/chart" uri="{C3380CC4-5D6E-409C-BE32-E72D297353CC}">
              <c16:uniqueId val="{00000003-BDDE-497C-9337-4708582EA750}"/>
            </c:ext>
          </c:extLst>
        </c:ser>
        <c:ser>
          <c:idx val="6"/>
          <c:order val="4"/>
          <c:tx>
            <c:strRef>
              <c:f>'Jacks Complex'!$AH$67</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xVal>
            <c:numRef>
              <c:f>'Jacks Complex'!$AB$68:$AB$94</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extLst xmlns:c15="http://schemas.microsoft.com/office/drawing/2012/chart"/>
            </c:numRef>
          </c:xVal>
          <c:yVal>
            <c:numRef>
              <c:f>'Jacks Complex'!$AH$68:$AH$94</c:f>
              <c:numCache>
                <c:formatCode>#,##0</c:formatCode>
                <c:ptCount val="27"/>
                <c:pt idx="0">
                  <c:v>79.431737999999996</c:v>
                </c:pt>
                <c:pt idx="1">
                  <c:v>4342.0478839999996</c:v>
                </c:pt>
                <c:pt idx="2">
                  <c:v>27969.120991920052</c:v>
                </c:pt>
                <c:pt idx="3">
                  <c:v>21582.48285</c:v>
                </c:pt>
                <c:pt idx="4">
                  <c:v>28243.164444222897</c:v>
                </c:pt>
                <c:pt idx="5">
                  <c:v>21492.470228965682</c:v>
                </c:pt>
                <c:pt idx="6">
                  <c:v>34245.394041212749</c:v>
                </c:pt>
                <c:pt idx="7">
                  <c:v>43669.399647069695</c:v>
                </c:pt>
                <c:pt idx="8">
                  <c:v>107397.03232243602</c:v>
                </c:pt>
                <c:pt idx="9">
                  <c:v>208462.92485815546</c:v>
                </c:pt>
                <c:pt idx="10">
                  <c:v>114783.32873024375</c:v>
                </c:pt>
                <c:pt idx="11">
                  <c:v>76135.134403706092</c:v>
                </c:pt>
                <c:pt idx="12">
                  <c:v>89498.712373706556</c:v>
                </c:pt>
                <c:pt idx="13">
                  <c:v>179367.28618695238</c:v>
                </c:pt>
                <c:pt idx="14">
                  <c:v>66773.634467671945</c:v>
                </c:pt>
                <c:pt idx="15">
                  <c:v>125513.33864218288</c:v>
                </c:pt>
                <c:pt idx="16">
                  <c:v>129817.52829943386</c:v>
                </c:pt>
                <c:pt idx="17">
                  <c:v>81017.317970311444</c:v>
                </c:pt>
                <c:pt idx="18">
                  <c:v>86076.46863223656</c:v>
                </c:pt>
                <c:pt idx="19">
                  <c:v>145203.46375729947</c:v>
                </c:pt>
                <c:pt idx="20">
                  <c:v>154762.6377835944</c:v>
                </c:pt>
                <c:pt idx="21">
                  <c:v>172748.19005875968</c:v>
                </c:pt>
                <c:pt idx="22">
                  <c:v>93890.756970317496</c:v>
                </c:pt>
                <c:pt idx="23">
                  <c:v>112570.53762618182</c:v>
                </c:pt>
                <c:pt idx="24">
                  <c:v>64145.345751652989</c:v>
                </c:pt>
                <c:pt idx="25">
                  <c:v>54384.376886926679</c:v>
                </c:pt>
                <c:pt idx="26">
                  <c:v>45784.725285810266</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25AD-4AD2-910F-C41003E4988F}"/>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0"/>
                <c:order val="0"/>
                <c:tx>
                  <c:strRef>
                    <c:extLst>
                      <c:ext uri="{02D57815-91ED-43cb-92C2-25804820EDAC}">
                        <c15:formulaRef>
                          <c15:sqref>'Jacks Complex'!$C$3</c15:sqref>
                        </c15:formulaRef>
                      </c:ext>
                    </c:extLst>
                    <c:strCache>
                      <c:ptCount val="1"/>
                      <c:pt idx="0">
                        <c:v>Total New Wgt</c:v>
                      </c:pt>
                    </c:strCache>
                  </c:strRef>
                </c:tx>
                <c:xVal>
                  <c:numRef>
                    <c:extLst>
                      <c:ext uri="{02D57815-91ED-43cb-92C2-25804820EDAC}">
                        <c15:formulaRef>
                          <c15:sqref>'Jacks Complex'!$A$9:$A$35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Complex'!$C$9:$C$35</c15:sqref>
                        </c15:formulaRef>
                      </c:ext>
                    </c:extLst>
                    <c:numCache>
                      <c:formatCode>#,##0</c:formatCode>
                      <c:ptCount val="27"/>
                      <c:pt idx="0">
                        <c:v>196.431738</c:v>
                      </c:pt>
                      <c:pt idx="1">
                        <c:v>9298.0478839999996</c:v>
                      </c:pt>
                      <c:pt idx="2">
                        <c:v>32068.247145400001</c:v>
                      </c:pt>
                      <c:pt idx="3">
                        <c:v>26232.48285</c:v>
                      </c:pt>
                      <c:pt idx="4">
                        <c:v>39849.74274680001</c:v>
                      </c:pt>
                      <c:pt idx="5">
                        <c:v>34745.757200980006</c:v>
                      </c:pt>
                      <c:pt idx="6">
                        <c:v>103756.14253889999</c:v>
                      </c:pt>
                      <c:pt idx="7">
                        <c:v>76030.74733469999</c:v>
                      </c:pt>
                      <c:pt idx="8">
                        <c:v>133402.39054950001</c:v>
                      </c:pt>
                      <c:pt idx="9">
                        <c:v>295776.59317440994</c:v>
                      </c:pt>
                      <c:pt idx="10">
                        <c:v>162263.89107779998</c:v>
                      </c:pt>
                      <c:pt idx="11">
                        <c:v>90556.606891939984</c:v>
                      </c:pt>
                      <c:pt idx="12">
                        <c:v>103370.86836383997</c:v>
                      </c:pt>
                      <c:pt idx="13">
                        <c:v>212376.58476906482</c:v>
                      </c:pt>
                      <c:pt idx="14">
                        <c:v>97062.405047552005</c:v>
                      </c:pt>
                      <c:pt idx="15">
                        <c:v>157926.15939475596</c:v>
                      </c:pt>
                      <c:pt idx="16">
                        <c:v>152869.63219524402</c:v>
                      </c:pt>
                      <c:pt idx="17">
                        <c:v>110773.07815302</c:v>
                      </c:pt>
                      <c:pt idx="18">
                        <c:v>139826.46484351903</c:v>
                      </c:pt>
                      <c:pt idx="19">
                        <c:v>191816.47018039995</c:v>
                      </c:pt>
                      <c:pt idx="20">
                        <c:v>252472.14793553294</c:v>
                      </c:pt>
                      <c:pt idx="21">
                        <c:v>258461.19805012204</c:v>
                      </c:pt>
                      <c:pt idx="22">
                        <c:v>151314.41489412897</c:v>
                      </c:pt>
                      <c:pt idx="23">
                        <c:v>188326.36796587694</c:v>
                      </c:pt>
                      <c:pt idx="24">
                        <c:v>122721.31588139596</c:v>
                      </c:pt>
                      <c:pt idx="25">
                        <c:v>109055.50340376998</c:v>
                      </c:pt>
                      <c:pt idx="26">
                        <c:v>131354.535936745</c:v>
                      </c:pt>
                    </c:numCache>
                  </c:numRef>
                </c:yVal>
                <c:smooth val="0"/>
                <c:extLst>
                  <c:ext xmlns:c16="http://schemas.microsoft.com/office/drawing/2014/chart" uri="{C3380CC4-5D6E-409C-BE32-E72D297353CC}">
                    <c16:uniqueId val="{00000000-BDDE-497C-9337-4708582EA750}"/>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'Jacks Complex'!$J$3</c15:sqref>
                        </c15:formulaRef>
                      </c:ext>
                    </c:extLst>
                    <c:strCache>
                      <c:ptCount val="1"/>
                      <c:pt idx="0">
                        <c:v>Total Orig FES</c:v>
                      </c:pt>
                    </c:strCache>
                  </c:strRef>
                </c:tx>
                <c:spPr>
                  <a:ln>
                    <a:solidFill>
                      <a:schemeClr val="accent2"/>
                    </a:solidFill>
                  </a:ln>
                </c:spPr>
                <c:marker>
                  <c:symbol val="x"/>
                  <c:size val="7"/>
                  <c:spPr>
                    <a:ln>
                      <a:solidFill>
                        <a:schemeClr val="accent2"/>
                      </a:solidFill>
                    </a:ln>
                  </c:spPr>
                </c:marker>
                <c:xVal>
                  <c:numRef>
                    <c:extLst xmlns:c15="http://schemas.microsoft.com/office/drawing/2012/chart">
                      <c:ext xmlns:c15="http://schemas.microsoft.com/office/drawing/2012/chart" uri="{02D57815-91ED-43cb-92C2-25804820EDAC}">
                        <c15:formulaRef>
                          <c15:sqref>'Jacks Complex'!$H$9:$H$35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Complex'!$J$9:$J$35</c15:sqref>
                        </c15:formulaRef>
                      </c:ext>
                    </c:extLst>
                    <c:numCache>
                      <c:formatCode>#,##0</c:formatCode>
                      <c:ptCount val="27"/>
                      <c:pt idx="0">
                        <c:v>196.431738</c:v>
                      </c:pt>
                      <c:pt idx="1">
                        <c:v>9298.0478839999996</c:v>
                      </c:pt>
                      <c:pt idx="2">
                        <c:v>32087.4940613</c:v>
                      </c:pt>
                      <c:pt idx="3">
                        <c:v>26232.48285</c:v>
                      </c:pt>
                      <c:pt idx="4">
                        <c:v>39898.425640500005</c:v>
                      </c:pt>
                      <c:pt idx="5">
                        <c:v>34769.056916360001</c:v>
                      </c:pt>
                      <c:pt idx="6">
                        <c:v>103978.63551085</c:v>
                      </c:pt>
                      <c:pt idx="7">
                        <c:v>76068.202755699996</c:v>
                      </c:pt>
                      <c:pt idx="8">
                        <c:v>133844.37653449998</c:v>
                      </c:pt>
                      <c:pt idx="9">
                        <c:v>300177.63474037999</c:v>
                      </c:pt>
                      <c:pt idx="10">
                        <c:v>162263.89107780001</c:v>
                      </c:pt>
                      <c:pt idx="11">
                        <c:v>91096.087410549982</c:v>
                      </c:pt>
                      <c:pt idx="12">
                        <c:v>103588.09068603996</c:v>
                      </c:pt>
                      <c:pt idx="13">
                        <c:v>213452.92219246484</c:v>
                      </c:pt>
                      <c:pt idx="14">
                        <c:v>102011.00965518002</c:v>
                      </c:pt>
                      <c:pt idx="15">
                        <c:v>157943.40633394694</c:v>
                      </c:pt>
                      <c:pt idx="16">
                        <c:v>152869.63219524402</c:v>
                      </c:pt>
                      <c:pt idx="17">
                        <c:v>110059.16144942</c:v>
                      </c:pt>
                      <c:pt idx="18">
                        <c:v>138996.10267860402</c:v>
                      </c:pt>
                      <c:pt idx="19">
                        <c:v>191786.07414502997</c:v>
                      </c:pt>
                      <c:pt idx="20">
                        <c:v>250495.18119283294</c:v>
                      </c:pt>
                      <c:pt idx="21">
                        <c:v>280207.22905732202</c:v>
                      </c:pt>
                      <c:pt idx="22">
                        <c:v>163370.47118159896</c:v>
                      </c:pt>
                      <c:pt idx="23">
                        <c:v>184541.34094371699</c:v>
                      </c:pt>
                      <c:pt idx="24">
                        <c:v>119677.06819977597</c:v>
                      </c:pt>
                      <c:pt idx="25">
                        <c:v>109055.50340377001</c:v>
                      </c:pt>
                      <c:pt idx="26">
                        <c:v>131894.11071132199</c:v>
                      </c:pt>
                    </c:numCache>
                  </c:numRef>
                </c:yVal>
                <c:smooth val="0"/>
                <c:extLst xmlns:c15="http://schemas.microsoft.com/office/drawing/2012/chart">
                  <c:ext xmlns:c16="http://schemas.microsoft.com/office/drawing/2014/chart" uri="{C3380CC4-5D6E-409C-BE32-E72D297353CC}">
                    <c16:uniqueId val="{00000002-BDDE-497C-9337-4708582EA750}"/>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'Jacks Complex'!$C$42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'Jacks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Complex'!$C$43:$C$48</c15:sqref>
                        </c15:formulaRef>
                      </c:ext>
                    </c:extLst>
                    <c:numCache>
                      <c:formatCode>#,##0</c:formatCode>
                      <c:ptCount val="6"/>
                      <c:pt idx="0">
                        <c:v>162263.89107779998</c:v>
                      </c:pt>
                      <c:pt idx="1">
                        <c:v>162263.89107779998</c:v>
                      </c:pt>
                      <c:pt idx="2">
                        <c:v>162263.89107779998</c:v>
                      </c:pt>
                      <c:pt idx="3">
                        <c:v>162263.89107779998</c:v>
                      </c:pt>
                      <c:pt idx="4">
                        <c:v>162263.89107779998</c:v>
                      </c:pt>
                      <c:pt idx="5">
                        <c:v>162263.89107779998</c:v>
                      </c:pt>
                    </c:numCache>
                  </c:numRef>
                </c:yVal>
                <c:smooth val="0"/>
                <c:extLst xmlns:c15="http://schemas.microsoft.com/office/drawing/2012/chart">
                  <c:ext xmlns:c16="http://schemas.microsoft.com/office/drawing/2014/chart" uri="{C3380CC4-5D6E-409C-BE32-E72D297353CC}">
                    <c16:uniqueId val="{00000004-BDDE-497C-9337-4708582EA750}"/>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'Jacks Complex'!$J$42</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'Jacks Complex'!$G$43:$G$48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Complex'!$J$43:$J$48</c15:sqref>
                        </c15:formulaRef>
                      </c:ext>
                    </c:extLst>
                    <c:numCache>
                      <c:formatCode>#,##0</c:formatCode>
                      <c:ptCount val="6"/>
                      <c:pt idx="0">
                        <c:v>162263.89107780001</c:v>
                      </c:pt>
                      <c:pt idx="1">
                        <c:v>162263.89107780001</c:v>
                      </c:pt>
                      <c:pt idx="2">
                        <c:v>162263.89107780001</c:v>
                      </c:pt>
                      <c:pt idx="3">
                        <c:v>162263.89107780001</c:v>
                      </c:pt>
                      <c:pt idx="4">
                        <c:v>162263.89107780001</c:v>
                      </c:pt>
                      <c:pt idx="5">
                        <c:v>162263.89107780001</c:v>
                      </c:pt>
                    </c:numCache>
                  </c:numRef>
                </c:yVal>
                <c:smooth val="0"/>
                <c:extLst xmlns:c15="http://schemas.microsoft.com/office/drawing/2012/chart">
                  <c:ext xmlns:c16="http://schemas.microsoft.com/office/drawing/2014/chart" uri="{C3380CC4-5D6E-409C-BE32-E72D297353CC}">
                    <c16:uniqueId val="{00000005-BDDE-497C-9337-4708582EA750}"/>
                  </c:ext>
                </c:extLst>
              </c15:ser>
            </c15:filteredScatterSeries>
          </c:ext>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4"/>
          <c:order val="1"/>
          <c:tx>
            <c:strRef>
              <c:f>'Jacks Complex'!$X$3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'Jacks Complex'!$U$9:$U$35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Complex'!$X$9:$X$35</c:f>
              <c:numCache>
                <c:formatCode>#,##0</c:formatCode>
                <c:ptCount val="27"/>
                <c:pt idx="0">
                  <c:v>10.714355999999999</c:v>
                </c:pt>
                <c:pt idx="1">
                  <c:v>7380.8090574999997</c:v>
                </c:pt>
                <c:pt idx="2">
                  <c:v>10312.182699610001</c:v>
                </c:pt>
                <c:pt idx="3">
                  <c:v>598.30108296999992</c:v>
                </c:pt>
                <c:pt idx="4">
                  <c:v>21.120068</c:v>
                </c:pt>
                <c:pt idx="5">
                  <c:v>2474.7387600000002</c:v>
                </c:pt>
                <c:pt idx="6">
                  <c:v>1300.7801379999999</c:v>
                </c:pt>
                <c:pt idx="7">
                  <c:v>4794.1365986000001</c:v>
                </c:pt>
                <c:pt idx="8">
                  <c:v>2274.83143191</c:v>
                </c:pt>
                <c:pt idx="9">
                  <c:v>5260.2728528800008</c:v>
                </c:pt>
                <c:pt idx="10">
                  <c:v>4761.3699815</c:v>
                </c:pt>
                <c:pt idx="11">
                  <c:v>4110.8759167100006</c:v>
                </c:pt>
                <c:pt idx="12">
                  <c:v>67.769651124999996</c:v>
                </c:pt>
                <c:pt idx="13">
                  <c:v>1615.3443985000001</c:v>
                </c:pt>
                <c:pt idx="14">
                  <c:v>1314.2367319</c:v>
                </c:pt>
                <c:pt idx="15">
                  <c:v>4111.4509024999998</c:v>
                </c:pt>
                <c:pt idx="16">
                  <c:v>14948.775312000002</c:v>
                </c:pt>
                <c:pt idx="17">
                  <c:v>3671.2610333999996</c:v>
                </c:pt>
                <c:pt idx="18">
                  <c:v>156.20252379999999</c:v>
                </c:pt>
                <c:pt idx="19">
                  <c:v>3.8293902000000002</c:v>
                </c:pt>
                <c:pt idx="20">
                  <c:v>397.76895369899995</c:v>
                </c:pt>
                <c:pt idx="21">
                  <c:v>44.074363200000001</c:v>
                </c:pt>
                <c:pt idx="22">
                  <c:v>5726.5992544999999</c:v>
                </c:pt>
                <c:pt idx="23">
                  <c:v>6327.5758325850002</c:v>
                </c:pt>
                <c:pt idx="24">
                  <c:v>1642.55985719</c:v>
                </c:pt>
                <c:pt idx="25">
                  <c:v>897.49392063000016</c:v>
                </c:pt>
                <c:pt idx="26">
                  <c:v>244.01615099999998</c:v>
                </c:pt>
              </c:numCache>
            </c:numRef>
          </c:yVal>
          <c:smooth val="0"/>
          <c:extLst>
            <c:ext xmlns:c16="http://schemas.microsoft.com/office/drawing/2014/chart" uri="{C3380CC4-5D6E-409C-BE32-E72D297353CC}">
              <c16:uniqueId val="{00000001-8A5A-4AB4-A87B-FB4E7720FFF1}"/>
            </c:ext>
          </c:extLst>
        </c:ser>
        <c:ser>
          <c:idx val="5"/>
          <c:order val="3"/>
          <c:tx>
            <c:strRef>
              <c:f>'Jacks Complex'!$AD$3</c:f>
              <c:strCache>
                <c:ptCount val="1"/>
                <c:pt idx="0">
                  <c:v>Orig FES Rec</c:v>
                </c:pt>
              </c:strCache>
            </c:strRef>
          </c:tx>
          <c:xVal>
            <c:numRef>
              <c:f>'Jacks Complex'!$AA$9:$AA$35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Complex'!$AD$9:$AD$35</c:f>
              <c:numCache>
                <c:formatCode>#,##0</c:formatCode>
                <c:ptCount val="27"/>
                <c:pt idx="0">
                  <c:v>10.714355999999999</c:v>
                </c:pt>
                <c:pt idx="1">
                  <c:v>7399.4266038000005</c:v>
                </c:pt>
                <c:pt idx="2">
                  <c:v>18300.914256550004</c:v>
                </c:pt>
                <c:pt idx="3">
                  <c:v>600.29710059999991</c:v>
                </c:pt>
                <c:pt idx="4">
                  <c:v>21.120068</c:v>
                </c:pt>
                <c:pt idx="5">
                  <c:v>2483.8427705999998</c:v>
                </c:pt>
                <c:pt idx="6">
                  <c:v>1300.7801379999999</c:v>
                </c:pt>
                <c:pt idx="7">
                  <c:v>4811.061541</c:v>
                </c:pt>
                <c:pt idx="8">
                  <c:v>2282.5137940800005</c:v>
                </c:pt>
                <c:pt idx="9">
                  <c:v>5271.4953676700006</c:v>
                </c:pt>
                <c:pt idx="10">
                  <c:v>4778.9476728999998</c:v>
                </c:pt>
                <c:pt idx="11">
                  <c:v>4125.0350589600002</c:v>
                </c:pt>
                <c:pt idx="12">
                  <c:v>68.022821678</c:v>
                </c:pt>
                <c:pt idx="13">
                  <c:v>1284.1907293000002</c:v>
                </c:pt>
                <c:pt idx="14">
                  <c:v>1318.7794868000001</c:v>
                </c:pt>
                <c:pt idx="15">
                  <c:v>4125.3675062000002</c:v>
                </c:pt>
                <c:pt idx="16">
                  <c:v>14948.775312000002</c:v>
                </c:pt>
                <c:pt idx="17">
                  <c:v>3684.6691990999998</c:v>
                </c:pt>
                <c:pt idx="18">
                  <c:v>156.20252379999999</c:v>
                </c:pt>
                <c:pt idx="19">
                  <c:v>3.8293902000000002</c:v>
                </c:pt>
                <c:pt idx="20">
                  <c:v>398.44785690999998</c:v>
                </c:pt>
                <c:pt idx="21">
                  <c:v>44.074363200000001</c:v>
                </c:pt>
                <c:pt idx="22">
                  <c:v>5730.4621535000006</c:v>
                </c:pt>
                <c:pt idx="23">
                  <c:v>6335.2622533479998</c:v>
                </c:pt>
                <c:pt idx="24">
                  <c:v>1645.9779211500002</c:v>
                </c:pt>
                <c:pt idx="25">
                  <c:v>897.96181972000022</c:v>
                </c:pt>
                <c:pt idx="26">
                  <c:v>244.01615099999998</c:v>
                </c:pt>
              </c:numCache>
            </c:numRef>
          </c:yVal>
          <c:smooth val="0"/>
          <c:extLst>
            <c:ext xmlns:c16="http://schemas.microsoft.com/office/drawing/2014/chart" uri="{C3380CC4-5D6E-409C-BE32-E72D297353CC}">
              <c16:uniqueId val="{00000003-8A5A-4AB4-A87B-FB4E7720FFF1}"/>
            </c:ext>
          </c:extLst>
        </c:ser>
        <c:ser>
          <c:idx val="6"/>
          <c:order val="6"/>
          <c:tx>
            <c:strRef>
              <c:f>'Jacks Complex'!$AS$67</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'Jacks Complex'!$AM$68:$AM$94</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extLst xmlns:c15="http://schemas.microsoft.com/office/drawing/2012/chart"/>
            </c:numRef>
          </c:xVal>
          <c:yVal>
            <c:numRef>
              <c:f>'Jacks Complex'!$AS$68:$AS$94</c:f>
              <c:numCache>
                <c:formatCode>#,##0</c:formatCode>
                <c:ptCount val="27"/>
                <c:pt idx="0">
                  <c:v>10.714355999999999</c:v>
                </c:pt>
                <c:pt idx="1">
                  <c:v>3626.4196902925828</c:v>
                </c:pt>
                <c:pt idx="2">
                  <c:v>3283.8778475871914</c:v>
                </c:pt>
                <c:pt idx="3">
                  <c:v>383.98456563174784</c:v>
                </c:pt>
                <c:pt idx="4">
                  <c:v>21.120068</c:v>
                </c:pt>
                <c:pt idx="5">
                  <c:v>763.82574017835043</c:v>
                </c:pt>
                <c:pt idx="6">
                  <c:v>1300.7801379999999</c:v>
                </c:pt>
                <c:pt idx="7">
                  <c:v>12332.836282657294</c:v>
                </c:pt>
                <c:pt idx="8">
                  <c:v>5575.0574444652402</c:v>
                </c:pt>
                <c:pt idx="9">
                  <c:v>4716.6942596270183</c:v>
                </c:pt>
                <c:pt idx="10">
                  <c:v>12055.373621058829</c:v>
                </c:pt>
                <c:pt idx="11">
                  <c:v>27167.799661821635</c:v>
                </c:pt>
                <c:pt idx="12">
                  <c:v>85.551029594611563</c:v>
                </c:pt>
                <c:pt idx="13">
                  <c:v>1615.3602855660945</c:v>
                </c:pt>
                <c:pt idx="14">
                  <c:v>2650.6084028112818</c:v>
                </c:pt>
                <c:pt idx="15">
                  <c:v>5739.8559691311657</c:v>
                </c:pt>
                <c:pt idx="16">
                  <c:v>14948.775312000002</c:v>
                </c:pt>
                <c:pt idx="17">
                  <c:v>3595.30321903308</c:v>
                </c:pt>
                <c:pt idx="18">
                  <c:v>156.20252379999999</c:v>
                </c:pt>
                <c:pt idx="19">
                  <c:v>3.8293902000000002</c:v>
                </c:pt>
                <c:pt idx="20">
                  <c:v>370.96016148453538</c:v>
                </c:pt>
                <c:pt idx="21">
                  <c:v>44.074363200000001</c:v>
                </c:pt>
                <c:pt idx="22">
                  <c:v>14931.974062725141</c:v>
                </c:pt>
                <c:pt idx="23">
                  <c:v>5926.6897730979572</c:v>
                </c:pt>
                <c:pt idx="24">
                  <c:v>1776.8343301982777</c:v>
                </c:pt>
                <c:pt idx="25">
                  <c:v>1161.318415944987</c:v>
                </c:pt>
                <c:pt idx="26">
                  <c:v>244.01615099999998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EFF-49EE-BE4C-9F1B6049095D}"/>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0"/>
                <c:order val="0"/>
                <c:tx>
                  <c:strRef>
                    <c:extLst>
                      <c:ext uri="{02D57815-91ED-43cb-92C2-25804820EDAC}">
                        <c15:formulaRef>
                          <c15:sqref>'Jacks Complex'!$D$3</c15:sqref>
                        </c15:formulaRef>
                      </c:ext>
                    </c:extLst>
                    <c:strCache>
                      <c:ptCount val="1"/>
                      <c:pt idx="0">
                        <c:v>Total New Wgt</c:v>
                      </c:pt>
                    </c:strCache>
                  </c:strRef>
                </c:tx>
                <c:xVal>
                  <c:numRef>
                    <c:extLst>
                      <c:ext uri="{02D57815-91ED-43cb-92C2-25804820EDAC}">
                        <c15:formulaRef>
                          <c15:sqref>'Jacks Complex'!$A$9:$A$35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Complex'!$D$9:$D$35</c15:sqref>
                        </c15:formulaRef>
                      </c:ext>
                    </c:extLst>
                    <c:numCache>
                      <c:formatCode>#,##0</c:formatCode>
                      <c:ptCount val="27"/>
                      <c:pt idx="0">
                        <c:v>7382.7143560000004</c:v>
                      </c:pt>
                      <c:pt idx="1">
                        <c:v>21029.809057499999</c:v>
                      </c:pt>
                      <c:pt idx="2">
                        <c:v>14162.182699610001</c:v>
                      </c:pt>
                      <c:pt idx="3">
                        <c:v>6706.3010829699997</c:v>
                      </c:pt>
                      <c:pt idx="4">
                        <c:v>5111.1200680000002</c:v>
                      </c:pt>
                      <c:pt idx="5">
                        <c:v>9125.7387600000002</c:v>
                      </c:pt>
                      <c:pt idx="6">
                        <c:v>18382.780137999998</c:v>
                      </c:pt>
                      <c:pt idx="7">
                        <c:v>9652.1365986000001</c:v>
                      </c:pt>
                      <c:pt idx="8">
                        <c:v>12395.831431909999</c:v>
                      </c:pt>
                      <c:pt idx="9">
                        <c:v>11032.27285288</c:v>
                      </c:pt>
                      <c:pt idx="10">
                        <c:v>9173.3699815</c:v>
                      </c:pt>
                      <c:pt idx="11">
                        <c:v>8154.8759167100006</c:v>
                      </c:pt>
                      <c:pt idx="12">
                        <c:v>3574.7696511250001</c:v>
                      </c:pt>
                      <c:pt idx="13">
                        <c:v>3824.3443985000004</c:v>
                      </c:pt>
                      <c:pt idx="14">
                        <c:v>9454.2367319000004</c:v>
                      </c:pt>
                      <c:pt idx="15">
                        <c:v>7714.4509024999998</c:v>
                      </c:pt>
                      <c:pt idx="16">
                        <c:v>19495.775312000002</c:v>
                      </c:pt>
                      <c:pt idx="17">
                        <c:v>4605.2610334000001</c:v>
                      </c:pt>
                      <c:pt idx="18">
                        <c:v>8481.2025238000006</c:v>
                      </c:pt>
                      <c:pt idx="19">
                        <c:v>13857.8293902</c:v>
                      </c:pt>
                      <c:pt idx="20">
                        <c:v>48753.768953699</c:v>
                      </c:pt>
                      <c:pt idx="21">
                        <c:v>14217.074363199999</c:v>
                      </c:pt>
                      <c:pt idx="22">
                        <c:v>7888.5992544999999</c:v>
                      </c:pt>
                      <c:pt idx="23">
                        <c:v>9469.5758325850002</c:v>
                      </c:pt>
                      <c:pt idx="24">
                        <c:v>4561.55985719</c:v>
                      </c:pt>
                      <c:pt idx="25">
                        <c:v>12915.493920630001</c:v>
                      </c:pt>
                      <c:pt idx="26">
                        <c:v>16108.016151</c:v>
                      </c:pt>
                    </c:numCache>
                  </c:numRef>
                </c:yVal>
                <c:smooth val="0"/>
                <c:extLst>
                  <c:ext xmlns:c16="http://schemas.microsoft.com/office/drawing/2014/chart" uri="{C3380CC4-5D6E-409C-BE32-E72D297353CC}">
                    <c16:uniqueId val="{00000000-8A5A-4AB4-A87B-FB4E7720FFF1}"/>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'Jacks Complex'!$K$3</c15:sqref>
                        </c15:formulaRef>
                      </c:ext>
                    </c:extLst>
                    <c:strCache>
                      <c:ptCount val="1"/>
                      <c:pt idx="0">
                        <c:v>Total Orig FES</c:v>
                      </c:pt>
                    </c:strCache>
                  </c:strRef>
                </c:tx>
                <c:spPr>
                  <a:ln>
                    <a:solidFill>
                      <a:schemeClr val="accent2"/>
                    </a:solidFill>
                  </a:ln>
                </c:spPr>
                <c:marker>
                  <c:symbol val="x"/>
                  <c:size val="7"/>
                  <c:spPr>
                    <a:ln>
                      <a:solidFill>
                        <a:schemeClr val="accent2"/>
                      </a:solidFill>
                    </a:ln>
                  </c:spPr>
                </c:marker>
                <c:xVal>
                  <c:numRef>
                    <c:extLst xmlns:c15="http://schemas.microsoft.com/office/drawing/2012/chart">
                      <c:ext xmlns:c15="http://schemas.microsoft.com/office/drawing/2012/chart" uri="{02D57815-91ED-43cb-92C2-25804820EDAC}">
                        <c15:formulaRef>
                          <c15:sqref>'Jacks Complex'!$H$9:$H$35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Complex'!$K$9:$K$35</c15:sqref>
                        </c15:formulaRef>
                      </c:ext>
                    </c:extLst>
                    <c:numCache>
                      <c:formatCode>#,##0</c:formatCode>
                      <c:ptCount val="27"/>
                      <c:pt idx="0">
                        <c:v>7382.7143560000004</c:v>
                      </c:pt>
                      <c:pt idx="1">
                        <c:v>21048.426603799999</c:v>
                      </c:pt>
                      <c:pt idx="2">
                        <c:v>22150.914256550004</c:v>
                      </c:pt>
                      <c:pt idx="3">
                        <c:v>6708.2971005999998</c:v>
                      </c:pt>
                      <c:pt idx="4">
                        <c:v>5111.1200680000002</c:v>
                      </c:pt>
                      <c:pt idx="5">
                        <c:v>9134.8427706000002</c:v>
                      </c:pt>
                      <c:pt idx="6">
                        <c:v>18382.780137999998</c:v>
                      </c:pt>
                      <c:pt idx="7">
                        <c:v>9669.0615409999991</c:v>
                      </c:pt>
                      <c:pt idx="8">
                        <c:v>12403.513794080001</c:v>
                      </c:pt>
                      <c:pt idx="9">
                        <c:v>11043.495367670001</c:v>
                      </c:pt>
                      <c:pt idx="10">
                        <c:v>9190.9476728999998</c:v>
                      </c:pt>
                      <c:pt idx="11">
                        <c:v>8169.0350589600002</c:v>
                      </c:pt>
                      <c:pt idx="12">
                        <c:v>3575.0228216780001</c:v>
                      </c:pt>
                      <c:pt idx="13">
                        <c:v>3493.1907293000004</c:v>
                      </c:pt>
                      <c:pt idx="14">
                        <c:v>9458.7794868000001</c:v>
                      </c:pt>
                      <c:pt idx="15">
                        <c:v>7728.3675062000002</c:v>
                      </c:pt>
                      <c:pt idx="16">
                        <c:v>19495.775312000002</c:v>
                      </c:pt>
                      <c:pt idx="17">
                        <c:v>4618.6691990999998</c:v>
                      </c:pt>
                      <c:pt idx="18">
                        <c:v>8481.2025238000006</c:v>
                      </c:pt>
                      <c:pt idx="19">
                        <c:v>13857.8293902</c:v>
                      </c:pt>
                      <c:pt idx="20">
                        <c:v>48754.447856910003</c:v>
                      </c:pt>
                      <c:pt idx="21">
                        <c:v>14217.074363199999</c:v>
                      </c:pt>
                      <c:pt idx="22">
                        <c:v>7892.4621535000006</c:v>
                      </c:pt>
                      <c:pt idx="23">
                        <c:v>9477.2622533479989</c:v>
                      </c:pt>
                      <c:pt idx="24">
                        <c:v>4564.9779211499999</c:v>
                      </c:pt>
                      <c:pt idx="25">
                        <c:v>12915.96181972</c:v>
                      </c:pt>
                      <c:pt idx="26">
                        <c:v>16108.016151</c:v>
                      </c:pt>
                    </c:numCache>
                  </c:numRef>
                </c:yVal>
                <c:smooth val="0"/>
                <c:extLst xmlns:c15="http://schemas.microsoft.com/office/drawing/2012/chart">
                  <c:ext xmlns:c16="http://schemas.microsoft.com/office/drawing/2014/chart" uri="{C3380CC4-5D6E-409C-BE32-E72D297353CC}">
                    <c16:uniqueId val="{00000002-8A5A-4AB4-A87B-FB4E7720FFF1}"/>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'Jacks Complex'!$D$42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'Jacks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Complex'!$D$43:$D$48</c15:sqref>
                        </c15:formulaRef>
                      </c:ext>
                    </c:extLst>
                    <c:numCache>
                      <c:formatCode>#,##0</c:formatCode>
                      <c:ptCount val="6"/>
                      <c:pt idx="0">
                        <c:v>11032.27285288</c:v>
                      </c:pt>
                      <c:pt idx="1">
                        <c:v>11032.27285288</c:v>
                      </c:pt>
                      <c:pt idx="2">
                        <c:v>11032.27285288</c:v>
                      </c:pt>
                      <c:pt idx="3">
                        <c:v>11032.27285288</c:v>
                      </c:pt>
                      <c:pt idx="4">
                        <c:v>11032.27285288</c:v>
                      </c:pt>
                      <c:pt idx="5">
                        <c:v>11032.27285288</c:v>
                      </c:pt>
                    </c:numCache>
                  </c:numRef>
                </c:yVal>
                <c:smooth val="0"/>
                <c:extLst xmlns:c15="http://schemas.microsoft.com/office/drawing/2012/chart">
                  <c:ext xmlns:c16="http://schemas.microsoft.com/office/drawing/2014/chart" uri="{C3380CC4-5D6E-409C-BE32-E72D297353CC}">
                    <c16:uniqueId val="{00000004-8A5A-4AB4-A87B-FB4E7720FFF1}"/>
                  </c:ext>
                </c:extLst>
              </c15:ser>
            </c15:filteredScatterSeries>
            <c15:filteredScatterSeries>
              <c15:ser>
                <c:idx val="2"/>
                <c:order val="5"/>
                <c:tx>
                  <c:strRef>
                    <c:extLst xmlns:c15="http://schemas.microsoft.com/office/drawing/2012/chart">
                      <c:ext xmlns:c15="http://schemas.microsoft.com/office/drawing/2012/chart" uri="{02D57815-91ED-43cb-92C2-25804820EDAC}">
                        <c15:formulaRef>
                          <c15:sqref>'Jacks Complex'!$K$42</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'Jacks Complex'!$G$43:$G$48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Complex'!$K$43:$K$48</c15:sqref>
                        </c15:formulaRef>
                      </c:ext>
                    </c:extLst>
                    <c:numCache>
                      <c:formatCode>#,##0</c:formatCode>
                      <c:ptCount val="6"/>
                      <c:pt idx="0">
                        <c:v>11043.495367670001</c:v>
                      </c:pt>
                      <c:pt idx="1">
                        <c:v>11043.495367670001</c:v>
                      </c:pt>
                      <c:pt idx="2">
                        <c:v>11043.495367670001</c:v>
                      </c:pt>
                      <c:pt idx="3">
                        <c:v>11043.495367670001</c:v>
                      </c:pt>
                      <c:pt idx="4">
                        <c:v>11043.495367670001</c:v>
                      </c:pt>
                      <c:pt idx="5">
                        <c:v>11043.495367670001</c:v>
                      </c:pt>
                    </c:numCache>
                  </c:numRef>
                </c:yVal>
                <c:smooth val="0"/>
                <c:extLst xmlns:c15="http://schemas.microsoft.com/office/drawing/2012/chart">
                  <c:ext xmlns:c16="http://schemas.microsoft.com/office/drawing/2014/chart" uri="{C3380CC4-5D6E-409C-BE32-E72D297353CC}">
                    <c16:uniqueId val="{00000005-8A5A-4AB4-A87B-FB4E7720FFF1}"/>
                  </c:ext>
                </c:extLst>
              </c15:ser>
            </c15:filteredScatterSeries>
          </c:ext>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0"/>
          <c:order val="0"/>
          <c:tx>
            <c:strRef>
              <c:f>'Jacks Complex'!$B$3</c:f>
              <c:strCache>
                <c:ptCount val="1"/>
                <c:pt idx="0">
                  <c:v>Total New Wgt</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Complex'!$B$9:$B$35</c:f>
              <c:numCache>
                <c:formatCode>#,##0</c:formatCode>
                <c:ptCount val="27"/>
                <c:pt idx="0">
                  <c:v>19987.737095999997</c:v>
                </c:pt>
                <c:pt idx="1">
                  <c:v>67740.989946469985</c:v>
                </c:pt>
                <c:pt idx="2">
                  <c:v>54252.492221</c:v>
                </c:pt>
                <c:pt idx="3">
                  <c:v>72971.712214150029</c:v>
                </c:pt>
                <c:pt idx="4">
                  <c:v>91469.476540639982</c:v>
                </c:pt>
                <c:pt idx="5">
                  <c:v>52637.781049999998</c:v>
                </c:pt>
                <c:pt idx="6">
                  <c:v>61877.662079299989</c:v>
                </c:pt>
                <c:pt idx="7">
                  <c:v>58730.393129659999</c:v>
                </c:pt>
                <c:pt idx="8">
                  <c:v>305984.33297713008</c:v>
                </c:pt>
                <c:pt idx="9">
                  <c:v>173017.21479511302</c:v>
                </c:pt>
                <c:pt idx="10">
                  <c:v>252699.09471690794</c:v>
                </c:pt>
                <c:pt idx="11">
                  <c:v>162774.09759270403</c:v>
                </c:pt>
                <c:pt idx="12">
                  <c:v>379224.98115082015</c:v>
                </c:pt>
                <c:pt idx="13">
                  <c:v>325876.34495488001</c:v>
                </c:pt>
                <c:pt idx="14">
                  <c:v>161364.61824419998</c:v>
                </c:pt>
                <c:pt idx="15">
                  <c:v>458447.62384110992</c:v>
                </c:pt>
                <c:pt idx="16">
                  <c:v>482803.56306899013</c:v>
                </c:pt>
                <c:pt idx="17">
                  <c:v>307606.38645881991</c:v>
                </c:pt>
                <c:pt idx="18">
                  <c:v>310699.45814230794</c:v>
                </c:pt>
                <c:pt idx="19">
                  <c:v>261249.41253571899</c:v>
                </c:pt>
                <c:pt idx="20">
                  <c:v>320657.76791126002</c:v>
                </c:pt>
                <c:pt idx="21">
                  <c:v>407679.67012939195</c:v>
                </c:pt>
                <c:pt idx="22">
                  <c:v>275897.01360892103</c:v>
                </c:pt>
                <c:pt idx="23">
                  <c:v>388310.36440179998</c:v>
                </c:pt>
                <c:pt idx="24">
                  <c:v>416581.94583269209</c:v>
                </c:pt>
                <c:pt idx="25">
                  <c:v>602195.73248229793</c:v>
                </c:pt>
                <c:pt idx="26">
                  <c:v>462371.26199735003</c:v>
                </c:pt>
              </c:numCache>
            </c:numRef>
          </c:yVal>
          <c:smooth val="0"/>
          <c:extLst>
            <c:ext xmlns:c16="http://schemas.microsoft.com/office/drawing/2014/chart" uri="{C3380CC4-5D6E-409C-BE32-E72D297353CC}">
              <c16:uniqueId val="{00000000-B9B3-43D8-9FFE-02C2ACA91794}"/>
            </c:ext>
          </c:extLst>
        </c:ser>
        <c:ser>
          <c:idx val="3"/>
          <c:order val="2"/>
          <c:tx>
            <c:strRef>
              <c:f>'Jacks Complex'!$I$3</c:f>
              <c:strCache>
                <c:ptCount val="1"/>
                <c:pt idx="0">
                  <c:v>Total Orig FES</c:v>
                </c:pt>
              </c:strCache>
            </c:strRef>
          </c:tx>
          <c:spPr>
            <a:ln>
              <a:solidFill>
                <a:schemeClr val="accent2"/>
              </a:solidFill>
            </a:ln>
          </c:spPr>
          <c:marker>
            <c:symbol val="x"/>
            <c:size val="7"/>
            <c:spPr>
              <a:ln>
                <a:solidFill>
                  <a:schemeClr val="accent2"/>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Complex'!$I$9:$I$35</c:f>
              <c:numCache>
                <c:formatCode>#,##0</c:formatCode>
                <c:ptCount val="27"/>
                <c:pt idx="0">
                  <c:v>19987.737095999997</c:v>
                </c:pt>
                <c:pt idx="1">
                  <c:v>68079.062040309989</c:v>
                </c:pt>
                <c:pt idx="2">
                  <c:v>54291.5199355</c:v>
                </c:pt>
                <c:pt idx="3">
                  <c:v>73163.652441780025</c:v>
                </c:pt>
                <c:pt idx="4">
                  <c:v>91729.818924449995</c:v>
                </c:pt>
                <c:pt idx="5">
                  <c:v>52637.781049999998</c:v>
                </c:pt>
                <c:pt idx="6">
                  <c:v>61953.304114899991</c:v>
                </c:pt>
                <c:pt idx="7">
                  <c:v>58787.146638699996</c:v>
                </c:pt>
                <c:pt idx="8">
                  <c:v>295752.95791570004</c:v>
                </c:pt>
                <c:pt idx="9">
                  <c:v>191217.98270306303</c:v>
                </c:pt>
                <c:pt idx="10">
                  <c:v>251984.62853030697</c:v>
                </c:pt>
                <c:pt idx="11">
                  <c:v>158931.44351520395</c:v>
                </c:pt>
                <c:pt idx="12">
                  <c:v>373892.20666102006</c:v>
                </c:pt>
                <c:pt idx="13">
                  <c:v>325876.34495488007</c:v>
                </c:pt>
                <c:pt idx="14">
                  <c:v>149074.52221239998</c:v>
                </c:pt>
                <c:pt idx="15">
                  <c:v>458447.62384110992</c:v>
                </c:pt>
                <c:pt idx="16">
                  <c:v>478901.18354238011</c:v>
                </c:pt>
                <c:pt idx="17">
                  <c:v>300476.33166718995</c:v>
                </c:pt>
                <c:pt idx="18">
                  <c:v>310699.45814230794</c:v>
                </c:pt>
                <c:pt idx="19">
                  <c:v>267010.04306028999</c:v>
                </c:pt>
                <c:pt idx="20">
                  <c:v>367408.02728530008</c:v>
                </c:pt>
                <c:pt idx="21">
                  <c:v>382425.04516476195</c:v>
                </c:pt>
                <c:pt idx="22">
                  <c:v>277184.74821268802</c:v>
                </c:pt>
                <c:pt idx="23">
                  <c:v>375544.32137103</c:v>
                </c:pt>
                <c:pt idx="24">
                  <c:v>401002.20663621195</c:v>
                </c:pt>
                <c:pt idx="25">
                  <c:v>606561.95302410796</c:v>
                </c:pt>
                <c:pt idx="26">
                  <c:v>456286.76308268995</c:v>
                </c:pt>
              </c:numCache>
            </c:numRef>
          </c:yVal>
          <c:smooth val="0"/>
          <c:extLst>
            <c:ext xmlns:c16="http://schemas.microsoft.com/office/drawing/2014/chart" uri="{C3380CC4-5D6E-409C-BE32-E72D297353CC}">
              <c16:uniqueId val="{00000002-B9B3-43D8-9FFE-02C2ACA91794}"/>
            </c:ext>
          </c:extLst>
        </c:ser>
        <c:ser>
          <c:idx val="1"/>
          <c:order val="5"/>
          <c:tx>
            <c:strRef>
              <c:f>'Jacks Complex'!$B$42</c:f>
              <c:strCache>
                <c:ptCount val="1"/>
                <c:pt idx="0">
                  <c:v>New Wgt ABC/ACL</c:v>
                </c:pt>
              </c:strCache>
            </c:strRef>
          </c:tx>
          <c:spPr>
            <a:ln w="38100">
              <a:solidFill>
                <a:schemeClr val="tx1"/>
              </a:solidFill>
            </a:ln>
          </c:spPr>
          <c:marker>
            <c:symbol val="none"/>
          </c:marker>
          <c:xVal>
            <c:numRef>
              <c:f>'Jacks Complex'!$A$43:$A$48</c:f>
              <c:numCache>
                <c:formatCode>General</c:formatCode>
                <c:ptCount val="6"/>
                <c:pt idx="0">
                  <c:v>2012</c:v>
                </c:pt>
                <c:pt idx="1">
                  <c:v>2013</c:v>
                </c:pt>
                <c:pt idx="2">
                  <c:v>2014</c:v>
                </c:pt>
                <c:pt idx="3">
                  <c:v>2015</c:v>
                </c:pt>
                <c:pt idx="4">
                  <c:v>2016</c:v>
                </c:pt>
                <c:pt idx="5">
                  <c:v>2017</c:v>
                </c:pt>
              </c:numCache>
            </c:numRef>
          </c:xVal>
          <c:yVal>
            <c:numRef>
              <c:f>'Jacks Complex'!$B$43:$B$48</c:f>
              <c:numCache>
                <c:formatCode>#,##0</c:formatCode>
                <c:ptCount val="6"/>
                <c:pt idx="0">
                  <c:v>579364.27568278823</c:v>
                </c:pt>
                <c:pt idx="1">
                  <c:v>579364.27568278823</c:v>
                </c:pt>
                <c:pt idx="2">
                  <c:v>579364.27568278823</c:v>
                </c:pt>
                <c:pt idx="3">
                  <c:v>579364.27568278823</c:v>
                </c:pt>
                <c:pt idx="4">
                  <c:v>579364.27568278823</c:v>
                </c:pt>
                <c:pt idx="5">
                  <c:v>579364.27568278823</c:v>
                </c:pt>
              </c:numCache>
            </c:numRef>
          </c:yVal>
          <c:smooth val="0"/>
          <c:extLst>
            <c:ext xmlns:c16="http://schemas.microsoft.com/office/drawing/2014/chart" uri="{C3380CC4-5D6E-409C-BE32-E72D297353CC}">
              <c16:uniqueId val="{00000005-B9B3-43D8-9FFE-02C2ACA91794}"/>
            </c:ext>
          </c:extLst>
        </c:ser>
        <c:ser>
          <c:idx val="8"/>
          <c:order val="7"/>
          <c:tx>
            <c:strRef>
              <c:f>'Jacks Complex'!$I$42</c:f>
              <c:strCache>
                <c:ptCount val="1"/>
                <c:pt idx="0">
                  <c:v>Orig FES ABC/ACL</c:v>
                </c:pt>
              </c:strCache>
            </c:strRef>
          </c:tx>
          <c:spPr>
            <a:ln w="34925">
              <a:solidFill>
                <a:srgbClr val="FF0000"/>
              </a:solidFill>
            </a:ln>
          </c:spPr>
          <c:marker>
            <c:symbol val="none"/>
          </c:marker>
          <c:xVal>
            <c:numRef>
              <c:f>'Jacks Complex'!$G$43:$G$48</c:f>
              <c:numCache>
                <c:formatCode>General</c:formatCode>
                <c:ptCount val="6"/>
                <c:pt idx="0">
                  <c:v>2012</c:v>
                </c:pt>
                <c:pt idx="1">
                  <c:v>2013</c:v>
                </c:pt>
                <c:pt idx="2">
                  <c:v>2014</c:v>
                </c:pt>
                <c:pt idx="3">
                  <c:v>2015</c:v>
                </c:pt>
                <c:pt idx="4">
                  <c:v>2016</c:v>
                </c:pt>
                <c:pt idx="5">
                  <c:v>2017</c:v>
                </c:pt>
              </c:numCache>
            </c:numRef>
          </c:xVal>
          <c:yVal>
            <c:numRef>
              <c:f>'Jacks Complex'!$I$43:$I$48</c:f>
              <c:numCache>
                <c:formatCode>#,##0</c:formatCode>
                <c:ptCount val="6"/>
                <c:pt idx="0">
                  <c:v>574681.4202508562</c:v>
                </c:pt>
                <c:pt idx="1">
                  <c:v>574681.4202508562</c:v>
                </c:pt>
                <c:pt idx="2">
                  <c:v>574681.4202508562</c:v>
                </c:pt>
                <c:pt idx="3">
                  <c:v>574681.4202508562</c:v>
                </c:pt>
                <c:pt idx="4">
                  <c:v>574681.4202508562</c:v>
                </c:pt>
                <c:pt idx="5">
                  <c:v>574681.4202508562</c:v>
                </c:pt>
              </c:numCache>
            </c:numRef>
          </c:yVal>
          <c:smooth val="0"/>
          <c:extLst>
            <c:ext xmlns:c16="http://schemas.microsoft.com/office/drawing/2014/chart" uri="{C3380CC4-5D6E-409C-BE32-E72D297353CC}">
              <c16:uniqueId val="{00000000-B4BB-4371-9E78-3577E2957AD6}"/>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4"/>
                <c:order val="1"/>
                <c:tx>
                  <c:strRef>
                    <c:extLst>
                      <c:ext uri="{02D57815-91ED-43cb-92C2-25804820EDAC}">
                        <c15:formulaRef>
                          <c15:sqref>'Jacks Complex'!$V$3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'Jacks Complex'!$U$9:$U$35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Complex'!$V$9:$V$35</c15:sqref>
                        </c15:formulaRef>
                      </c:ext>
                    </c:extLst>
                    <c:numCache>
                      <c:formatCode>#,##0</c:formatCode>
                      <c:ptCount val="27"/>
                      <c:pt idx="0">
                        <c:v>17188.737095999997</c:v>
                      </c:pt>
                      <c:pt idx="1">
                        <c:v>66037.989946469985</c:v>
                      </c:pt>
                      <c:pt idx="2">
                        <c:v>37322.492221</c:v>
                      </c:pt>
                      <c:pt idx="3">
                        <c:v>51962.712214150022</c:v>
                      </c:pt>
                      <c:pt idx="4">
                        <c:v>70708.476540639982</c:v>
                      </c:pt>
                      <c:pt idx="5">
                        <c:v>36390.781049999998</c:v>
                      </c:pt>
                      <c:pt idx="6">
                        <c:v>35820.662079299989</c:v>
                      </c:pt>
                      <c:pt idx="7">
                        <c:v>35301.393129659999</c:v>
                      </c:pt>
                      <c:pt idx="8">
                        <c:v>228637.33297713008</c:v>
                      </c:pt>
                      <c:pt idx="9">
                        <c:v>110917.21479511302</c:v>
                      </c:pt>
                      <c:pt idx="10">
                        <c:v>159615.09471690794</c:v>
                      </c:pt>
                      <c:pt idx="11">
                        <c:v>75680.097592704027</c:v>
                      </c:pt>
                      <c:pt idx="12">
                        <c:v>300626.98115082015</c:v>
                      </c:pt>
                      <c:pt idx="13">
                        <c:v>188218.34495488001</c:v>
                      </c:pt>
                      <c:pt idx="14">
                        <c:v>70391.618244199984</c:v>
                      </c:pt>
                      <c:pt idx="15">
                        <c:v>346117.62384110992</c:v>
                      </c:pt>
                      <c:pt idx="16">
                        <c:v>319705.56306899013</c:v>
                      </c:pt>
                      <c:pt idx="17">
                        <c:v>133084.38645881991</c:v>
                      </c:pt>
                      <c:pt idx="18">
                        <c:v>139200.45814230794</c:v>
                      </c:pt>
                      <c:pt idx="19">
                        <c:v>44196.412535718991</c:v>
                      </c:pt>
                      <c:pt idx="20">
                        <c:v>92237.767911260031</c:v>
                      </c:pt>
                      <c:pt idx="21">
                        <c:v>167468.67012939192</c:v>
                      </c:pt>
                      <c:pt idx="22">
                        <c:v>136235.01360892103</c:v>
                      </c:pt>
                      <c:pt idx="23">
                        <c:v>208193.36440179998</c:v>
                      </c:pt>
                      <c:pt idx="24">
                        <c:v>294492.94583269209</c:v>
                      </c:pt>
                      <c:pt idx="25">
                        <c:v>462288.73248229793</c:v>
                      </c:pt>
                      <c:pt idx="26">
                        <c:v>360026.26199735003</c:v>
                      </c:pt>
                    </c:numCache>
                  </c:numRef>
                </c:yVal>
                <c:smooth val="0"/>
                <c:extLst>
                  <c:ext xmlns:c16="http://schemas.microsoft.com/office/drawing/2014/chart" uri="{C3380CC4-5D6E-409C-BE32-E72D297353CC}">
                    <c16:uniqueId val="{00000001-B9B3-43D8-9FFE-02C2ACA91794}"/>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'Jacks Complex'!$AB$3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'Jacks Complex'!$AA$9:$AA$35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Complex'!$AB$9:$AB$35</c15:sqref>
                        </c15:formulaRef>
                      </c:ext>
                    </c:extLst>
                    <c:numCache>
                      <c:formatCode>#,##0</c:formatCode>
                      <c:ptCount val="27"/>
                      <c:pt idx="0">
                        <c:v>17188.737095999997</c:v>
                      </c:pt>
                      <c:pt idx="1">
                        <c:v>66376.062040309989</c:v>
                      </c:pt>
                      <c:pt idx="2">
                        <c:v>37361.5199355</c:v>
                      </c:pt>
                      <c:pt idx="3">
                        <c:v>52154.652441780017</c:v>
                      </c:pt>
                      <c:pt idx="4">
                        <c:v>70968.818924449995</c:v>
                      </c:pt>
                      <c:pt idx="5">
                        <c:v>36390.781049999998</c:v>
                      </c:pt>
                      <c:pt idx="6">
                        <c:v>35896.304114899991</c:v>
                      </c:pt>
                      <c:pt idx="7">
                        <c:v>35358.146638699996</c:v>
                      </c:pt>
                      <c:pt idx="8">
                        <c:v>218405.95791570004</c:v>
                      </c:pt>
                      <c:pt idx="9">
                        <c:v>129117.98270306303</c:v>
                      </c:pt>
                      <c:pt idx="10">
                        <c:v>158900.62853030697</c:v>
                      </c:pt>
                      <c:pt idx="11">
                        <c:v>71837.443515203966</c:v>
                      </c:pt>
                      <c:pt idx="12">
                        <c:v>295294.20666102006</c:v>
                      </c:pt>
                      <c:pt idx="13">
                        <c:v>188218.34495488007</c:v>
                      </c:pt>
                      <c:pt idx="14">
                        <c:v>58101.522212399992</c:v>
                      </c:pt>
                      <c:pt idx="15">
                        <c:v>346117.62384110992</c:v>
                      </c:pt>
                      <c:pt idx="16">
                        <c:v>315803.18354238011</c:v>
                      </c:pt>
                      <c:pt idx="17">
                        <c:v>125954.33166718997</c:v>
                      </c:pt>
                      <c:pt idx="18">
                        <c:v>139200.45814230794</c:v>
                      </c:pt>
                      <c:pt idx="19">
                        <c:v>49957.04306028998</c:v>
                      </c:pt>
                      <c:pt idx="20">
                        <c:v>138988.02728530008</c:v>
                      </c:pt>
                      <c:pt idx="21">
                        <c:v>142214.04516476192</c:v>
                      </c:pt>
                      <c:pt idx="22">
                        <c:v>137522.74821268802</c:v>
                      </c:pt>
                      <c:pt idx="23">
                        <c:v>195427.32137103</c:v>
                      </c:pt>
                      <c:pt idx="24">
                        <c:v>278913.20663621195</c:v>
                      </c:pt>
                      <c:pt idx="25">
                        <c:v>466654.95302410802</c:v>
                      </c:pt>
                      <c:pt idx="26">
                        <c:v>353941.76308268995</c:v>
                      </c:pt>
                    </c:numCache>
                  </c:numRef>
                </c:yVal>
                <c:smooth val="0"/>
                <c:extLst xmlns:c15="http://schemas.microsoft.com/office/drawing/2012/chart">
                  <c:ext xmlns:c16="http://schemas.microsoft.com/office/drawing/2014/chart" uri="{C3380CC4-5D6E-409C-BE32-E72D297353CC}">
                    <c16:uniqueId val="{00000003-B9B3-43D8-9FFE-02C2ACA91794}"/>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'Jacks Complex'!$W$67</c15:sqref>
                        </c15:formulaRef>
                      </c:ext>
                    </c:extLst>
                    <c:strCache>
                      <c:ptCount val="1"/>
                      <c:pt idx="0">
                        <c:v>MRIP+HB</c:v>
                      </c:pt>
                    </c:strCache>
                  </c:strRef>
                </c:tx>
                <c:spPr>
                  <a:ln>
                    <a:solidFill>
                      <a:schemeClr val="bg1">
                        <a:lumMod val="50000"/>
                      </a:schemeClr>
                    </a:solid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'Jacks Complex'!$Q$68:$Q$94</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Complex'!$W$68:$W$94</c15:sqref>
                        </c15:formulaRef>
                      </c:ext>
                    </c:extLst>
                    <c:numCache>
                      <c:formatCode>#,##0</c:formatCode>
                      <c:ptCount val="27"/>
                      <c:pt idx="0">
                        <c:v>17188.737095999997</c:v>
                      </c:pt>
                      <c:pt idx="1">
                        <c:v>26345.55337606154</c:v>
                      </c:pt>
                      <c:pt idx="2">
                        <c:v>33770.244669200401</c:v>
                      </c:pt>
                      <c:pt idx="3">
                        <c:v>44601.858111082096</c:v>
                      </c:pt>
                      <c:pt idx="4">
                        <c:v>42014.133079943829</c:v>
                      </c:pt>
                      <c:pt idx="5">
                        <c:v>36390.781049999998</c:v>
                      </c:pt>
                      <c:pt idx="6">
                        <c:v>26215.36006808457</c:v>
                      </c:pt>
                      <c:pt idx="7">
                        <c:v>71701.291163261951</c:v>
                      </c:pt>
                      <c:pt idx="8">
                        <c:v>259309.1726994327</c:v>
                      </c:pt>
                      <c:pt idx="9">
                        <c:v>132559.73107747585</c:v>
                      </c:pt>
                      <c:pt idx="10">
                        <c:v>142522.83581174203</c:v>
                      </c:pt>
                      <c:pt idx="11">
                        <c:v>58159.856860306354</c:v>
                      </c:pt>
                      <c:pt idx="12">
                        <c:v>190119.45181640354</c:v>
                      </c:pt>
                      <c:pt idx="13">
                        <c:v>184729.10654860031</c:v>
                      </c:pt>
                      <c:pt idx="14">
                        <c:v>67472.155712506035</c:v>
                      </c:pt>
                      <c:pt idx="15">
                        <c:v>284448.1743118111</c:v>
                      </c:pt>
                      <c:pt idx="16">
                        <c:v>344160.21124574268</c:v>
                      </c:pt>
                      <c:pt idx="17">
                        <c:v>95671.199883346941</c:v>
                      </c:pt>
                      <c:pt idx="18">
                        <c:v>59370.01125557565</c:v>
                      </c:pt>
                      <c:pt idx="19">
                        <c:v>44318.764092846417</c:v>
                      </c:pt>
                      <c:pt idx="20">
                        <c:v>88832.527696219477</c:v>
                      </c:pt>
                      <c:pt idx="21">
                        <c:v>128980.38863539185</c:v>
                      </c:pt>
                      <c:pt idx="22">
                        <c:v>161057.45114740208</c:v>
                      </c:pt>
                      <c:pt idx="23">
                        <c:v>175907.54636682273</c:v>
                      </c:pt>
                      <c:pt idx="24">
                        <c:v>281481.31791852595</c:v>
                      </c:pt>
                      <c:pt idx="25">
                        <c:v>452889.88367110386</c:v>
                      </c:pt>
                      <c:pt idx="26">
                        <c:v>260548.92352642943</c:v>
                      </c:pt>
                    </c:numCache>
                  </c:numRef>
                </c:yVal>
                <c:smooth val="0"/>
                <c:extLst xmlns:c15="http://schemas.microsoft.com/office/drawing/2012/chart">
                  <c:ext xmlns:c16="http://schemas.microsoft.com/office/drawing/2014/chart" uri="{C3380CC4-5D6E-409C-BE32-E72D297353CC}">
                    <c16:uniqueId val="{00000004-B9B3-43D8-9FFE-02C2ACA91794}"/>
                  </c:ext>
                </c:extLst>
              </c15:ser>
            </c15:filteredScatterSeries>
            <c15:filteredScatterSeries>
              <c15:ser>
                <c:idx val="2"/>
                <c:order val="6"/>
                <c:tx>
                  <c:strRef>
                    <c:extLst xmlns:c15="http://schemas.microsoft.com/office/drawing/2012/chart">
                      <c:ext xmlns:c15="http://schemas.microsoft.com/office/drawing/2012/chart" uri="{02D57815-91ED-43cb-92C2-25804820EDAC}">
                        <c15:formulaRef>
                          <c15:sqref>'Jacks Complex'!$H$42</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'Jacks Complex'!$G$43:$G$48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'Jacks Complex'!$H$43:$H$48</c15:sqref>
                        </c15:formulaRef>
                      </c:ext>
                    </c:extLst>
                    <c:numCache>
                      <c:formatCode>#,##0</c:formatCode>
                      <c:ptCount val="6"/>
                      <c:pt idx="0">
                        <c:v>373892.20666102006</c:v>
                      </c:pt>
                      <c:pt idx="1">
                        <c:v>373892.20666102006</c:v>
                      </c:pt>
                      <c:pt idx="2">
                        <c:v>373892.20666102006</c:v>
                      </c:pt>
                      <c:pt idx="3">
                        <c:v>373892.20666102006</c:v>
                      </c:pt>
                      <c:pt idx="4">
                        <c:v>373892.20666102006</c:v>
                      </c:pt>
                      <c:pt idx="5">
                        <c:v>373892.20666102006</c:v>
                      </c:pt>
                    </c:numCache>
                  </c:numRef>
                </c:yVal>
                <c:smooth val="0"/>
                <c:extLst xmlns:c15="http://schemas.microsoft.com/office/drawing/2012/chart">
                  <c:ext xmlns:c16="http://schemas.microsoft.com/office/drawing/2014/chart" uri="{C3380CC4-5D6E-409C-BE32-E72D297353CC}">
                    <c16:uniqueId val="{00000006-B9B3-43D8-9FFE-02C2ACA91794}"/>
                  </c:ext>
                </c:extLst>
              </c15:ser>
            </c15:filteredScatterSeries>
          </c:ext>
        </c:extLst>
      </c:scatterChart>
      <c:scatterChart>
        <c:scatterStyle val="lineMarker"/>
        <c:varyColors val="0"/>
        <c:ser>
          <c:idx val="7"/>
          <c:order val="8"/>
          <c:tx>
            <c:v>SERFS CPUE</c:v>
          </c:tx>
          <c:spPr>
            <a:ln>
              <a:solidFill>
                <a:srgbClr val="00B050"/>
              </a:solidFill>
            </a:ln>
          </c:spPr>
          <c:marker>
            <c:symbol val="circle"/>
            <c:size val="7"/>
            <c:spPr>
              <a:solidFill>
                <a:srgbClr val="00B050"/>
              </a:solidFill>
              <a:ln>
                <a:solidFill>
                  <a:srgbClr val="00B050"/>
                </a:solidFill>
              </a:ln>
            </c:spPr>
          </c:marker>
          <c:xVal>
            <c:numRef>
              <c:f>'Jacks Complex'!$CB$2:$CB$30</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xVal>
          <c:yVal>
            <c:numRef>
              <c:f>'Jacks Complex'!$CE$2:$CE$30</c:f>
              <c:numCache>
                <c:formatCode>General</c:formatCode>
                <c:ptCount val="29"/>
                <c:pt idx="0">
                  <c:v>6.3897763578274758E-3</c:v>
                </c:pt>
                <c:pt idx="2">
                  <c:v>3.472222222222222E-3</c:v>
                </c:pt>
                <c:pt idx="4">
                  <c:v>1.5503875968992248E-2</c:v>
                </c:pt>
                <c:pt idx="5">
                  <c:v>1.1080332409972299E-2</c:v>
                </c:pt>
                <c:pt idx="6">
                  <c:v>2.7700831024930748E-3</c:v>
                </c:pt>
                <c:pt idx="7">
                  <c:v>5.0000000000000001E-3</c:v>
                </c:pt>
                <c:pt idx="8">
                  <c:v>7.0422535211267607E-3</c:v>
                </c:pt>
                <c:pt idx="10">
                  <c:v>1.3422818791946308E-2</c:v>
                </c:pt>
                <c:pt idx="14">
                  <c:v>3.5460992907801418E-3</c:v>
                </c:pt>
                <c:pt idx="15">
                  <c:v>6.6006600660066007E-3</c:v>
                </c:pt>
                <c:pt idx="17">
                  <c:v>8.9020771513353119E-3</c:v>
                </c:pt>
                <c:pt idx="18">
                  <c:v>6.6006600660066007E-3</c:v>
                </c:pt>
                <c:pt idx="19">
                  <c:v>2.7227722772277228E-2</c:v>
                </c:pt>
                <c:pt idx="20">
                  <c:v>4.1379310344827587E-3</c:v>
                </c:pt>
                <c:pt idx="22">
                  <c:v>1.3710368466152529E-2</c:v>
                </c:pt>
                <c:pt idx="23">
                  <c:v>1.704966641957005E-2</c:v>
                </c:pt>
                <c:pt idx="24">
                  <c:v>8.1577158395649222E-3</c:v>
                </c:pt>
                <c:pt idx="25">
                  <c:v>2.0590253946465339E-2</c:v>
                </c:pt>
                <c:pt idx="26">
                  <c:v>2.8878441907320349E-2</c:v>
                </c:pt>
                <c:pt idx="27">
                  <c:v>3.0474840538625089E-2</c:v>
                </c:pt>
                <c:pt idx="28">
                  <c:v>3.6057692307692304E-2</c:v>
                </c:pt>
              </c:numCache>
            </c:numRef>
          </c:yVal>
          <c:smooth val="0"/>
          <c:extLst>
            <c:ext xmlns:c16="http://schemas.microsoft.com/office/drawing/2014/chart" uri="{C3380CC4-5D6E-409C-BE32-E72D297353CC}">
              <c16:uniqueId val="{00000000-3014-480F-926B-5743C71C76C0}"/>
            </c:ext>
          </c:extLst>
        </c:ser>
        <c:dLbls>
          <c:showLegendKey val="0"/>
          <c:showVal val="0"/>
          <c:showCatName val="0"/>
          <c:showSerName val="0"/>
          <c:showPercent val="0"/>
          <c:showBubbleSize val="0"/>
        </c:dLbls>
        <c:axId val="573798520"/>
        <c:axId val="566441664"/>
      </c:scatterChart>
      <c:valAx>
        <c:axId val="342854464"/>
        <c:scaling>
          <c:orientation val="minMax"/>
          <c:max val="2018"/>
          <c:min val="1990"/>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valAx>
        <c:axId val="566441664"/>
        <c:scaling>
          <c:orientation val="minMax"/>
        </c:scaling>
        <c:delete val="0"/>
        <c:axPos val="r"/>
        <c:numFmt formatCode="General" sourceLinked="1"/>
        <c:majorTickMark val="out"/>
        <c:minorTickMark val="none"/>
        <c:tickLblPos val="nextTo"/>
        <c:crossAx val="573798520"/>
        <c:crosses val="max"/>
        <c:crossBetween val="midCat"/>
      </c:valAx>
      <c:valAx>
        <c:axId val="573798520"/>
        <c:scaling>
          <c:orientation val="minMax"/>
        </c:scaling>
        <c:delete val="1"/>
        <c:axPos val="b"/>
        <c:numFmt formatCode="General" sourceLinked="1"/>
        <c:majorTickMark val="out"/>
        <c:minorTickMark val="none"/>
        <c:tickLblPos val="nextTo"/>
        <c:crossAx val="5664416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0"/>
          <c:order val="0"/>
          <c:tx>
            <c:strRef>
              <c:f>'Jacks Complex'!$C$3</c:f>
              <c:strCache>
                <c:ptCount val="1"/>
                <c:pt idx="0">
                  <c:v>Total New Wgt</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Complex'!$C$9:$C$35</c:f>
              <c:numCache>
                <c:formatCode>#,##0</c:formatCode>
                <c:ptCount val="27"/>
                <c:pt idx="0">
                  <c:v>196.431738</c:v>
                </c:pt>
                <c:pt idx="1">
                  <c:v>9298.0478839999996</c:v>
                </c:pt>
                <c:pt idx="2">
                  <c:v>32068.247145400001</c:v>
                </c:pt>
                <c:pt idx="3">
                  <c:v>26232.48285</c:v>
                </c:pt>
                <c:pt idx="4">
                  <c:v>39849.74274680001</c:v>
                </c:pt>
                <c:pt idx="5">
                  <c:v>34745.757200980006</c:v>
                </c:pt>
                <c:pt idx="6">
                  <c:v>103756.14253889999</c:v>
                </c:pt>
                <c:pt idx="7">
                  <c:v>76030.74733469999</c:v>
                </c:pt>
                <c:pt idx="8">
                  <c:v>133402.39054950001</c:v>
                </c:pt>
                <c:pt idx="9">
                  <c:v>295776.59317440994</c:v>
                </c:pt>
                <c:pt idx="10">
                  <c:v>162263.89107779998</c:v>
                </c:pt>
                <c:pt idx="11">
                  <c:v>90556.606891939984</c:v>
                </c:pt>
                <c:pt idx="12">
                  <c:v>103370.86836383997</c:v>
                </c:pt>
                <c:pt idx="13">
                  <c:v>212376.58476906482</c:v>
                </c:pt>
                <c:pt idx="14">
                  <c:v>97062.405047552005</c:v>
                </c:pt>
                <c:pt idx="15">
                  <c:v>157926.15939475596</c:v>
                </c:pt>
                <c:pt idx="16">
                  <c:v>152869.63219524402</c:v>
                </c:pt>
                <c:pt idx="17">
                  <c:v>110773.07815302</c:v>
                </c:pt>
                <c:pt idx="18">
                  <c:v>139826.46484351903</c:v>
                </c:pt>
                <c:pt idx="19">
                  <c:v>191816.47018039995</c:v>
                </c:pt>
                <c:pt idx="20">
                  <c:v>252472.14793553294</c:v>
                </c:pt>
                <c:pt idx="21">
                  <c:v>258461.19805012204</c:v>
                </c:pt>
                <c:pt idx="22">
                  <c:v>151314.41489412897</c:v>
                </c:pt>
                <c:pt idx="23">
                  <c:v>188326.36796587694</c:v>
                </c:pt>
                <c:pt idx="24">
                  <c:v>122721.31588139596</c:v>
                </c:pt>
                <c:pt idx="25">
                  <c:v>109055.50340376998</c:v>
                </c:pt>
                <c:pt idx="26">
                  <c:v>131354.535936745</c:v>
                </c:pt>
              </c:numCache>
            </c:numRef>
          </c:yVal>
          <c:smooth val="0"/>
          <c:extLst>
            <c:ext xmlns:c16="http://schemas.microsoft.com/office/drawing/2014/chart" uri="{C3380CC4-5D6E-409C-BE32-E72D297353CC}">
              <c16:uniqueId val="{00000000-6BAD-41BF-B247-D830EA0D2C30}"/>
            </c:ext>
          </c:extLst>
        </c:ser>
        <c:ser>
          <c:idx val="3"/>
          <c:order val="2"/>
          <c:tx>
            <c:strRef>
              <c:f>'Jacks Complex'!$J$3</c:f>
              <c:strCache>
                <c:ptCount val="1"/>
                <c:pt idx="0">
                  <c:v>Total Orig FES</c:v>
                </c:pt>
              </c:strCache>
            </c:strRef>
          </c:tx>
          <c:spPr>
            <a:ln>
              <a:solidFill>
                <a:schemeClr val="accent2"/>
              </a:solidFill>
            </a:ln>
          </c:spPr>
          <c:marker>
            <c:symbol val="x"/>
            <c:size val="7"/>
            <c:spPr>
              <a:ln>
                <a:solidFill>
                  <a:schemeClr val="accent2"/>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Complex'!$J$9:$J$35</c:f>
              <c:numCache>
                <c:formatCode>#,##0</c:formatCode>
                <c:ptCount val="27"/>
                <c:pt idx="0">
                  <c:v>196.431738</c:v>
                </c:pt>
                <c:pt idx="1">
                  <c:v>9298.0478839999996</c:v>
                </c:pt>
                <c:pt idx="2">
                  <c:v>32087.4940613</c:v>
                </c:pt>
                <c:pt idx="3">
                  <c:v>26232.48285</c:v>
                </c:pt>
                <c:pt idx="4">
                  <c:v>39898.425640500005</c:v>
                </c:pt>
                <c:pt idx="5">
                  <c:v>34769.056916360001</c:v>
                </c:pt>
                <c:pt idx="6">
                  <c:v>103978.63551085</c:v>
                </c:pt>
                <c:pt idx="7">
                  <c:v>76068.202755699996</c:v>
                </c:pt>
                <c:pt idx="8">
                  <c:v>133844.37653449998</c:v>
                </c:pt>
                <c:pt idx="9">
                  <c:v>300177.63474037999</c:v>
                </c:pt>
                <c:pt idx="10">
                  <c:v>162263.89107780001</c:v>
                </c:pt>
                <c:pt idx="11">
                  <c:v>91096.087410549982</c:v>
                </c:pt>
                <c:pt idx="12">
                  <c:v>103588.09068603996</c:v>
                </c:pt>
                <c:pt idx="13">
                  <c:v>213452.92219246484</c:v>
                </c:pt>
                <c:pt idx="14">
                  <c:v>102011.00965518002</c:v>
                </c:pt>
                <c:pt idx="15">
                  <c:v>157943.40633394694</c:v>
                </c:pt>
                <c:pt idx="16">
                  <c:v>152869.63219524402</c:v>
                </c:pt>
                <c:pt idx="17">
                  <c:v>110059.16144942</c:v>
                </c:pt>
                <c:pt idx="18">
                  <c:v>138996.10267860402</c:v>
                </c:pt>
                <c:pt idx="19">
                  <c:v>191786.07414502997</c:v>
                </c:pt>
                <c:pt idx="20">
                  <c:v>250495.18119283294</c:v>
                </c:pt>
                <c:pt idx="21">
                  <c:v>280207.22905732202</c:v>
                </c:pt>
                <c:pt idx="22">
                  <c:v>163370.47118159896</c:v>
                </c:pt>
                <c:pt idx="23">
                  <c:v>184541.34094371699</c:v>
                </c:pt>
                <c:pt idx="24">
                  <c:v>119677.06819977597</c:v>
                </c:pt>
                <c:pt idx="25">
                  <c:v>109055.50340377001</c:v>
                </c:pt>
                <c:pt idx="26">
                  <c:v>131894.11071132199</c:v>
                </c:pt>
              </c:numCache>
            </c:numRef>
          </c:yVal>
          <c:smooth val="0"/>
          <c:extLst>
            <c:ext xmlns:c16="http://schemas.microsoft.com/office/drawing/2014/chart" uri="{C3380CC4-5D6E-409C-BE32-E72D297353CC}">
              <c16:uniqueId val="{00000002-6BAD-41BF-B247-D830EA0D2C30}"/>
            </c:ext>
          </c:extLst>
        </c:ser>
        <c:ser>
          <c:idx val="1"/>
          <c:order val="5"/>
          <c:tx>
            <c:strRef>
              <c:f>'Jacks Complex'!$C$42</c:f>
              <c:strCache>
                <c:ptCount val="1"/>
                <c:pt idx="0">
                  <c:v>New Wgt ABC/ACL</c:v>
                </c:pt>
              </c:strCache>
            </c:strRef>
          </c:tx>
          <c:spPr>
            <a:ln w="38100">
              <a:solidFill>
                <a:schemeClr val="tx1"/>
              </a:solidFill>
            </a:ln>
          </c:spPr>
          <c:marker>
            <c:symbol val="none"/>
          </c:marker>
          <c:xVal>
            <c:numRef>
              <c:f>'Jacks Complex'!$A$43:$A$48</c:f>
              <c:numCache>
                <c:formatCode>General</c:formatCode>
                <c:ptCount val="6"/>
                <c:pt idx="0">
                  <c:v>2012</c:v>
                </c:pt>
                <c:pt idx="1">
                  <c:v>2013</c:v>
                </c:pt>
                <c:pt idx="2">
                  <c:v>2014</c:v>
                </c:pt>
                <c:pt idx="3">
                  <c:v>2015</c:v>
                </c:pt>
                <c:pt idx="4">
                  <c:v>2016</c:v>
                </c:pt>
                <c:pt idx="5">
                  <c:v>2017</c:v>
                </c:pt>
              </c:numCache>
            </c:numRef>
          </c:xVal>
          <c:yVal>
            <c:numRef>
              <c:f>'Jacks Complex'!$C$43:$C$48</c:f>
              <c:numCache>
                <c:formatCode>#,##0</c:formatCode>
                <c:ptCount val="6"/>
                <c:pt idx="0">
                  <c:v>162263.89107779998</c:v>
                </c:pt>
                <c:pt idx="1">
                  <c:v>162263.89107779998</c:v>
                </c:pt>
                <c:pt idx="2">
                  <c:v>162263.89107779998</c:v>
                </c:pt>
                <c:pt idx="3">
                  <c:v>162263.89107779998</c:v>
                </c:pt>
                <c:pt idx="4">
                  <c:v>162263.89107779998</c:v>
                </c:pt>
                <c:pt idx="5">
                  <c:v>162263.89107779998</c:v>
                </c:pt>
              </c:numCache>
            </c:numRef>
          </c:yVal>
          <c:smooth val="0"/>
          <c:extLst>
            <c:ext xmlns:c16="http://schemas.microsoft.com/office/drawing/2014/chart" uri="{C3380CC4-5D6E-409C-BE32-E72D297353CC}">
              <c16:uniqueId val="{00000005-6BAD-41BF-B247-D830EA0D2C30}"/>
            </c:ext>
          </c:extLst>
        </c:ser>
        <c:ser>
          <c:idx val="2"/>
          <c:order val="6"/>
          <c:tx>
            <c:strRef>
              <c:f>'Jacks Complex'!$J$42</c:f>
              <c:strCache>
                <c:ptCount val="1"/>
                <c:pt idx="0">
                  <c:v>Orig FES ABC/ACL</c:v>
                </c:pt>
              </c:strCache>
            </c:strRef>
          </c:tx>
          <c:spPr>
            <a:ln>
              <a:solidFill>
                <a:srgbClr val="7030A0"/>
              </a:solidFill>
            </a:ln>
          </c:spPr>
          <c:marker>
            <c:symbol val="none"/>
          </c:marker>
          <c:xVal>
            <c:numRef>
              <c:f>'Jacks Complex'!$G$43:$G$48</c:f>
              <c:numCache>
                <c:formatCode>General</c:formatCode>
                <c:ptCount val="6"/>
                <c:pt idx="0">
                  <c:v>2012</c:v>
                </c:pt>
                <c:pt idx="1">
                  <c:v>2013</c:v>
                </c:pt>
                <c:pt idx="2">
                  <c:v>2014</c:v>
                </c:pt>
                <c:pt idx="3">
                  <c:v>2015</c:v>
                </c:pt>
                <c:pt idx="4">
                  <c:v>2016</c:v>
                </c:pt>
                <c:pt idx="5">
                  <c:v>2017</c:v>
                </c:pt>
              </c:numCache>
            </c:numRef>
          </c:xVal>
          <c:yVal>
            <c:numRef>
              <c:f>'Jacks Complex'!$J$43:$J$48</c:f>
              <c:numCache>
                <c:formatCode>#,##0</c:formatCode>
                <c:ptCount val="6"/>
                <c:pt idx="0">
                  <c:v>162263.89107780001</c:v>
                </c:pt>
                <c:pt idx="1">
                  <c:v>162263.89107780001</c:v>
                </c:pt>
                <c:pt idx="2">
                  <c:v>162263.89107780001</c:v>
                </c:pt>
                <c:pt idx="3">
                  <c:v>162263.89107780001</c:v>
                </c:pt>
                <c:pt idx="4">
                  <c:v>162263.89107780001</c:v>
                </c:pt>
                <c:pt idx="5">
                  <c:v>162263.89107780001</c:v>
                </c:pt>
              </c:numCache>
            </c:numRef>
          </c:yVal>
          <c:smooth val="0"/>
          <c:extLst>
            <c:ext xmlns:c16="http://schemas.microsoft.com/office/drawing/2014/chart" uri="{C3380CC4-5D6E-409C-BE32-E72D297353CC}">
              <c16:uniqueId val="{00000006-6BAD-41BF-B247-D830EA0D2C30}"/>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4"/>
                <c:order val="1"/>
                <c:tx>
                  <c:strRef>
                    <c:extLst>
                      <c:ext uri="{02D57815-91ED-43cb-92C2-25804820EDAC}">
                        <c15:formulaRef>
                          <c15:sqref>'Jacks Complex'!$W$3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'Jacks Complex'!$U$9:$U$35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Complex'!$W$9:$W$35</c15:sqref>
                        </c15:formulaRef>
                      </c:ext>
                    </c:extLst>
                    <c:numCache>
                      <c:formatCode>#,##0</c:formatCode>
                      <c:ptCount val="27"/>
                      <c:pt idx="0">
                        <c:v>79.431737999999996</c:v>
                      </c:pt>
                      <c:pt idx="1">
                        <c:v>4342.0478839999996</c:v>
                      </c:pt>
                      <c:pt idx="2">
                        <c:v>30853.247145400001</c:v>
                      </c:pt>
                      <c:pt idx="3">
                        <c:v>21582.48285</c:v>
                      </c:pt>
                      <c:pt idx="4">
                        <c:v>35455.74274680001</c:v>
                      </c:pt>
                      <c:pt idx="5">
                        <c:v>25018.757200980002</c:v>
                      </c:pt>
                      <c:pt idx="6">
                        <c:v>56146.1425389</c:v>
                      </c:pt>
                      <c:pt idx="7">
                        <c:v>40596.747334699998</c:v>
                      </c:pt>
                      <c:pt idx="8">
                        <c:v>81242.390549499993</c:v>
                      </c:pt>
                      <c:pt idx="9">
                        <c:v>236861.59317440997</c:v>
                      </c:pt>
                      <c:pt idx="10">
                        <c:v>135851.89107779998</c:v>
                      </c:pt>
                      <c:pt idx="11">
                        <c:v>69899.606891939984</c:v>
                      </c:pt>
                      <c:pt idx="12">
                        <c:v>86297.868363839967</c:v>
                      </c:pt>
                      <c:pt idx="13">
                        <c:v>180309.58476906482</c:v>
                      </c:pt>
                      <c:pt idx="14">
                        <c:v>61363.405047552005</c:v>
                      </c:pt>
                      <c:pt idx="15">
                        <c:v>126032.15939475594</c:v>
                      </c:pt>
                      <c:pt idx="16">
                        <c:v>122964.63219524403</c:v>
                      </c:pt>
                      <c:pt idx="17">
                        <c:v>83463.078153020004</c:v>
                      </c:pt>
                      <c:pt idx="18">
                        <c:v>87140.464843519017</c:v>
                      </c:pt>
                      <c:pt idx="19">
                        <c:v>147905.47018039995</c:v>
                      </c:pt>
                      <c:pt idx="20">
                        <c:v>152824.14793553294</c:v>
                      </c:pt>
                      <c:pt idx="21">
                        <c:v>177636.19805012204</c:v>
                      </c:pt>
                      <c:pt idx="22">
                        <c:v>86389.414894128975</c:v>
                      </c:pt>
                      <c:pt idx="23">
                        <c:v>135128.36796587694</c:v>
                      </c:pt>
                      <c:pt idx="24">
                        <c:v>60539.31588139596</c:v>
                      </c:pt>
                      <c:pt idx="25">
                        <c:v>57928.503403769988</c:v>
                      </c:pt>
                      <c:pt idx="26">
                        <c:v>111399.53593674501</c:v>
                      </c:pt>
                    </c:numCache>
                  </c:numRef>
                </c:yVal>
                <c:smooth val="0"/>
                <c:extLst>
                  <c:ext xmlns:c16="http://schemas.microsoft.com/office/drawing/2014/chart" uri="{C3380CC4-5D6E-409C-BE32-E72D297353CC}">
                    <c16:uniqueId val="{00000001-6BAD-41BF-B247-D830EA0D2C30}"/>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'Jacks Complex'!$AC$3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'Jacks Complex'!$AA$9:$AA$35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Complex'!$AC$9:$AC$35</c15:sqref>
                        </c15:formulaRef>
                      </c:ext>
                    </c:extLst>
                    <c:numCache>
                      <c:formatCode>#,##0</c:formatCode>
                      <c:ptCount val="27"/>
                      <c:pt idx="0">
                        <c:v>79.431737999999996</c:v>
                      </c:pt>
                      <c:pt idx="1">
                        <c:v>4342.0478839999996</c:v>
                      </c:pt>
                      <c:pt idx="2">
                        <c:v>30872.4940613</c:v>
                      </c:pt>
                      <c:pt idx="3">
                        <c:v>21582.48285</c:v>
                      </c:pt>
                      <c:pt idx="4">
                        <c:v>35504.425640500005</c:v>
                      </c:pt>
                      <c:pt idx="5">
                        <c:v>25042.056916359998</c:v>
                      </c:pt>
                      <c:pt idx="6">
                        <c:v>56368.635510849992</c:v>
                      </c:pt>
                      <c:pt idx="7">
                        <c:v>40634.202755699996</c:v>
                      </c:pt>
                      <c:pt idx="8">
                        <c:v>81684.376534499985</c:v>
                      </c:pt>
                      <c:pt idx="9">
                        <c:v>241262.63474037996</c:v>
                      </c:pt>
                      <c:pt idx="10">
                        <c:v>135851.89107780001</c:v>
                      </c:pt>
                      <c:pt idx="11">
                        <c:v>70439.087410549982</c:v>
                      </c:pt>
                      <c:pt idx="12">
                        <c:v>86515.090686039955</c:v>
                      </c:pt>
                      <c:pt idx="13">
                        <c:v>181385.92219246484</c:v>
                      </c:pt>
                      <c:pt idx="14">
                        <c:v>66312.009655180023</c:v>
                      </c:pt>
                      <c:pt idx="15">
                        <c:v>126049.40633394694</c:v>
                      </c:pt>
                      <c:pt idx="16">
                        <c:v>122964.63219524403</c:v>
                      </c:pt>
                      <c:pt idx="17">
                        <c:v>82749.161449420004</c:v>
                      </c:pt>
                      <c:pt idx="18">
                        <c:v>86310.102678604031</c:v>
                      </c:pt>
                      <c:pt idx="19">
                        <c:v>147875.07414502997</c:v>
                      </c:pt>
                      <c:pt idx="20">
                        <c:v>150847.18119283294</c:v>
                      </c:pt>
                      <c:pt idx="21">
                        <c:v>199382.22905732205</c:v>
                      </c:pt>
                      <c:pt idx="22">
                        <c:v>98445.471181598972</c:v>
                      </c:pt>
                      <c:pt idx="23">
                        <c:v>131343.34094371699</c:v>
                      </c:pt>
                      <c:pt idx="24">
                        <c:v>57495.06819977596</c:v>
                      </c:pt>
                      <c:pt idx="25">
                        <c:v>57928.503403770002</c:v>
                      </c:pt>
                      <c:pt idx="26">
                        <c:v>111939.11071132201</c:v>
                      </c:pt>
                    </c:numCache>
                  </c:numRef>
                </c:yVal>
                <c:smooth val="0"/>
                <c:extLst xmlns:c15="http://schemas.microsoft.com/office/drawing/2012/chart">
                  <c:ext xmlns:c16="http://schemas.microsoft.com/office/drawing/2014/chart" uri="{C3380CC4-5D6E-409C-BE32-E72D297353CC}">
                    <c16:uniqueId val="{00000003-6BAD-41BF-B247-D830EA0D2C30}"/>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'Jacks Complex'!$AH$67</c15:sqref>
                        </c15:formulaRef>
                      </c:ext>
                    </c:extLst>
                    <c:strCache>
                      <c:ptCount val="1"/>
                      <c:pt idx="0">
                        <c:v>MRIP+HB</c:v>
                      </c:pt>
                    </c:strCache>
                  </c:strRef>
                </c:tx>
                <c:spPr>
                  <a:ln>
                    <a:solidFill>
                      <a:schemeClr val="bg1">
                        <a:lumMod val="50000"/>
                      </a:schemeClr>
                    </a:solid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'Jacks Complex'!$AB$68:$AB$94</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Complex'!$AH$68:$AH$94</c15:sqref>
                        </c15:formulaRef>
                      </c:ext>
                    </c:extLst>
                    <c:numCache>
                      <c:formatCode>#,##0</c:formatCode>
                      <c:ptCount val="27"/>
                      <c:pt idx="0">
                        <c:v>79.431737999999996</c:v>
                      </c:pt>
                      <c:pt idx="1">
                        <c:v>4342.0478839999996</c:v>
                      </c:pt>
                      <c:pt idx="2">
                        <c:v>27969.120991920052</c:v>
                      </c:pt>
                      <c:pt idx="3">
                        <c:v>21582.48285</c:v>
                      </c:pt>
                      <c:pt idx="4">
                        <c:v>28243.164444222897</c:v>
                      </c:pt>
                      <c:pt idx="5">
                        <c:v>21492.470228965682</c:v>
                      </c:pt>
                      <c:pt idx="6">
                        <c:v>34245.394041212749</c:v>
                      </c:pt>
                      <c:pt idx="7">
                        <c:v>43669.399647069695</c:v>
                      </c:pt>
                      <c:pt idx="8">
                        <c:v>107397.03232243602</c:v>
                      </c:pt>
                      <c:pt idx="9">
                        <c:v>208462.92485815546</c:v>
                      </c:pt>
                      <c:pt idx="10">
                        <c:v>114783.32873024375</c:v>
                      </c:pt>
                      <c:pt idx="11">
                        <c:v>76135.134403706092</c:v>
                      </c:pt>
                      <c:pt idx="12">
                        <c:v>89498.712373706556</c:v>
                      </c:pt>
                      <c:pt idx="13">
                        <c:v>179367.28618695238</c:v>
                      </c:pt>
                      <c:pt idx="14">
                        <c:v>66773.634467671945</c:v>
                      </c:pt>
                      <c:pt idx="15">
                        <c:v>125513.33864218288</c:v>
                      </c:pt>
                      <c:pt idx="16">
                        <c:v>129817.52829943386</c:v>
                      </c:pt>
                      <c:pt idx="17">
                        <c:v>81017.317970311444</c:v>
                      </c:pt>
                      <c:pt idx="18">
                        <c:v>86076.46863223656</c:v>
                      </c:pt>
                      <c:pt idx="19">
                        <c:v>145203.46375729947</c:v>
                      </c:pt>
                      <c:pt idx="20">
                        <c:v>154762.6377835944</c:v>
                      </c:pt>
                      <c:pt idx="21">
                        <c:v>172748.19005875968</c:v>
                      </c:pt>
                      <c:pt idx="22">
                        <c:v>93890.756970317496</c:v>
                      </c:pt>
                      <c:pt idx="23">
                        <c:v>112570.53762618182</c:v>
                      </c:pt>
                      <c:pt idx="24">
                        <c:v>64145.345751652989</c:v>
                      </c:pt>
                      <c:pt idx="25">
                        <c:v>54384.376886926679</c:v>
                      </c:pt>
                      <c:pt idx="26">
                        <c:v>45784.725285810266</c:v>
                      </c:pt>
                    </c:numCache>
                  </c:numRef>
                </c:yVal>
                <c:smooth val="0"/>
                <c:extLst xmlns:c15="http://schemas.microsoft.com/office/drawing/2012/chart">
                  <c:ext xmlns:c16="http://schemas.microsoft.com/office/drawing/2014/chart" uri="{C3380CC4-5D6E-409C-BE32-E72D297353CC}">
                    <c16:uniqueId val="{00000004-6BAD-41BF-B247-D830EA0D2C30}"/>
                  </c:ext>
                </c:extLst>
              </c15:ser>
            </c15:filteredScatterSeries>
          </c:ext>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0"/>
          <c:order val="0"/>
          <c:tx>
            <c:strRef>
              <c:f>'Jacks Complex'!$D$3</c:f>
              <c:strCache>
                <c:ptCount val="1"/>
                <c:pt idx="0">
                  <c:v>Total New Wgt</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Complex'!$D$9:$D$35</c:f>
              <c:numCache>
                <c:formatCode>#,##0</c:formatCode>
                <c:ptCount val="27"/>
                <c:pt idx="0">
                  <c:v>7382.7143560000004</c:v>
                </c:pt>
                <c:pt idx="1">
                  <c:v>21029.809057499999</c:v>
                </c:pt>
                <c:pt idx="2">
                  <c:v>14162.182699610001</c:v>
                </c:pt>
                <c:pt idx="3">
                  <c:v>6706.3010829699997</c:v>
                </c:pt>
                <c:pt idx="4">
                  <c:v>5111.1200680000002</c:v>
                </c:pt>
                <c:pt idx="5">
                  <c:v>9125.7387600000002</c:v>
                </c:pt>
                <c:pt idx="6">
                  <c:v>18382.780137999998</c:v>
                </c:pt>
                <c:pt idx="7">
                  <c:v>9652.1365986000001</c:v>
                </c:pt>
                <c:pt idx="8">
                  <c:v>12395.831431909999</c:v>
                </c:pt>
                <c:pt idx="9">
                  <c:v>11032.27285288</c:v>
                </c:pt>
                <c:pt idx="10">
                  <c:v>9173.3699815</c:v>
                </c:pt>
                <c:pt idx="11">
                  <c:v>8154.8759167100006</c:v>
                </c:pt>
                <c:pt idx="12">
                  <c:v>3574.7696511250001</c:v>
                </c:pt>
                <c:pt idx="13">
                  <c:v>3824.3443985000004</c:v>
                </c:pt>
                <c:pt idx="14">
                  <c:v>9454.2367319000004</c:v>
                </c:pt>
                <c:pt idx="15">
                  <c:v>7714.4509024999998</c:v>
                </c:pt>
                <c:pt idx="16">
                  <c:v>19495.775312000002</c:v>
                </c:pt>
                <c:pt idx="17">
                  <c:v>4605.2610334000001</c:v>
                </c:pt>
                <c:pt idx="18">
                  <c:v>8481.2025238000006</c:v>
                </c:pt>
                <c:pt idx="19">
                  <c:v>13857.8293902</c:v>
                </c:pt>
                <c:pt idx="20">
                  <c:v>48753.768953699</c:v>
                </c:pt>
                <c:pt idx="21">
                  <c:v>14217.074363199999</c:v>
                </c:pt>
                <c:pt idx="22">
                  <c:v>7888.5992544999999</c:v>
                </c:pt>
                <c:pt idx="23">
                  <c:v>9469.5758325850002</c:v>
                </c:pt>
                <c:pt idx="24">
                  <c:v>4561.55985719</c:v>
                </c:pt>
                <c:pt idx="25">
                  <c:v>12915.493920630001</c:v>
                </c:pt>
                <c:pt idx="26">
                  <c:v>16108.016151</c:v>
                </c:pt>
              </c:numCache>
            </c:numRef>
          </c:yVal>
          <c:smooth val="0"/>
          <c:extLst>
            <c:ext xmlns:c16="http://schemas.microsoft.com/office/drawing/2014/chart" uri="{C3380CC4-5D6E-409C-BE32-E72D297353CC}">
              <c16:uniqueId val="{00000000-B758-437C-AAE8-CC6492FAB483}"/>
            </c:ext>
          </c:extLst>
        </c:ser>
        <c:ser>
          <c:idx val="3"/>
          <c:order val="2"/>
          <c:tx>
            <c:strRef>
              <c:f>'Jacks Complex'!$K$3</c:f>
              <c:strCache>
                <c:ptCount val="1"/>
                <c:pt idx="0">
                  <c:v>Total Orig FES</c:v>
                </c:pt>
              </c:strCache>
            </c:strRef>
          </c:tx>
          <c:spPr>
            <a:ln>
              <a:solidFill>
                <a:schemeClr val="accent2"/>
              </a:solidFill>
            </a:ln>
          </c:spPr>
          <c:marker>
            <c:symbol val="x"/>
            <c:size val="7"/>
            <c:spPr>
              <a:ln>
                <a:solidFill>
                  <a:schemeClr val="accent2"/>
                </a:solidFill>
              </a:ln>
            </c:spPr>
          </c:marker>
          <c:xVal>
            <c:numRef>
              <c:f>'Jacks Complex'!$H$9:$H$35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Complex'!$K$9:$K$35</c:f>
              <c:numCache>
                <c:formatCode>#,##0</c:formatCode>
                <c:ptCount val="27"/>
                <c:pt idx="0">
                  <c:v>7382.7143560000004</c:v>
                </c:pt>
                <c:pt idx="1">
                  <c:v>21048.426603799999</c:v>
                </c:pt>
                <c:pt idx="2">
                  <c:v>22150.914256550004</c:v>
                </c:pt>
                <c:pt idx="3">
                  <c:v>6708.2971005999998</c:v>
                </c:pt>
                <c:pt idx="4">
                  <c:v>5111.1200680000002</c:v>
                </c:pt>
                <c:pt idx="5">
                  <c:v>9134.8427706000002</c:v>
                </c:pt>
                <c:pt idx="6">
                  <c:v>18382.780137999998</c:v>
                </c:pt>
                <c:pt idx="7">
                  <c:v>9669.0615409999991</c:v>
                </c:pt>
                <c:pt idx="8">
                  <c:v>12403.513794080001</c:v>
                </c:pt>
                <c:pt idx="9">
                  <c:v>11043.495367670001</c:v>
                </c:pt>
                <c:pt idx="10">
                  <c:v>9190.9476728999998</c:v>
                </c:pt>
                <c:pt idx="11">
                  <c:v>8169.0350589600002</c:v>
                </c:pt>
                <c:pt idx="12">
                  <c:v>3575.0228216780001</c:v>
                </c:pt>
                <c:pt idx="13">
                  <c:v>3493.1907293000004</c:v>
                </c:pt>
                <c:pt idx="14">
                  <c:v>9458.7794868000001</c:v>
                </c:pt>
                <c:pt idx="15">
                  <c:v>7728.3675062000002</c:v>
                </c:pt>
                <c:pt idx="16">
                  <c:v>19495.775312000002</c:v>
                </c:pt>
                <c:pt idx="17">
                  <c:v>4618.6691990999998</c:v>
                </c:pt>
                <c:pt idx="18">
                  <c:v>8481.2025238000006</c:v>
                </c:pt>
                <c:pt idx="19">
                  <c:v>13857.8293902</c:v>
                </c:pt>
                <c:pt idx="20">
                  <c:v>48754.447856910003</c:v>
                </c:pt>
                <c:pt idx="21">
                  <c:v>14217.074363199999</c:v>
                </c:pt>
                <c:pt idx="22">
                  <c:v>7892.4621535000006</c:v>
                </c:pt>
                <c:pt idx="23">
                  <c:v>9477.2622533479989</c:v>
                </c:pt>
                <c:pt idx="24">
                  <c:v>4564.9779211499999</c:v>
                </c:pt>
                <c:pt idx="25">
                  <c:v>12915.96181972</c:v>
                </c:pt>
                <c:pt idx="26">
                  <c:v>16108.016151</c:v>
                </c:pt>
              </c:numCache>
            </c:numRef>
          </c:yVal>
          <c:smooth val="0"/>
          <c:extLst>
            <c:ext xmlns:c16="http://schemas.microsoft.com/office/drawing/2014/chart" uri="{C3380CC4-5D6E-409C-BE32-E72D297353CC}">
              <c16:uniqueId val="{00000002-B758-437C-AAE8-CC6492FAB483}"/>
            </c:ext>
          </c:extLst>
        </c:ser>
        <c:ser>
          <c:idx val="1"/>
          <c:order val="4"/>
          <c:tx>
            <c:strRef>
              <c:f>'Jacks Complex'!$D$42</c:f>
              <c:strCache>
                <c:ptCount val="1"/>
                <c:pt idx="0">
                  <c:v>New Wgt ABC/ACL</c:v>
                </c:pt>
              </c:strCache>
            </c:strRef>
          </c:tx>
          <c:spPr>
            <a:ln w="38100">
              <a:solidFill>
                <a:schemeClr val="tx1"/>
              </a:solidFill>
            </a:ln>
          </c:spPr>
          <c:marker>
            <c:symbol val="none"/>
          </c:marker>
          <c:xVal>
            <c:numRef>
              <c:f>'Jacks Complex'!$A$43:$A$48</c:f>
              <c:numCache>
                <c:formatCode>General</c:formatCode>
                <c:ptCount val="6"/>
                <c:pt idx="0">
                  <c:v>2012</c:v>
                </c:pt>
                <c:pt idx="1">
                  <c:v>2013</c:v>
                </c:pt>
                <c:pt idx="2">
                  <c:v>2014</c:v>
                </c:pt>
                <c:pt idx="3">
                  <c:v>2015</c:v>
                </c:pt>
                <c:pt idx="4">
                  <c:v>2016</c:v>
                </c:pt>
                <c:pt idx="5">
                  <c:v>2017</c:v>
                </c:pt>
              </c:numCache>
            </c:numRef>
          </c:xVal>
          <c:yVal>
            <c:numRef>
              <c:f>'Jacks Complex'!$D$43:$D$48</c:f>
              <c:numCache>
                <c:formatCode>#,##0</c:formatCode>
                <c:ptCount val="6"/>
                <c:pt idx="0">
                  <c:v>11032.27285288</c:v>
                </c:pt>
                <c:pt idx="1">
                  <c:v>11032.27285288</c:v>
                </c:pt>
                <c:pt idx="2">
                  <c:v>11032.27285288</c:v>
                </c:pt>
                <c:pt idx="3">
                  <c:v>11032.27285288</c:v>
                </c:pt>
                <c:pt idx="4">
                  <c:v>11032.27285288</c:v>
                </c:pt>
                <c:pt idx="5">
                  <c:v>11032.27285288</c:v>
                </c:pt>
              </c:numCache>
            </c:numRef>
          </c:yVal>
          <c:smooth val="0"/>
          <c:extLst>
            <c:ext xmlns:c16="http://schemas.microsoft.com/office/drawing/2014/chart" uri="{C3380CC4-5D6E-409C-BE32-E72D297353CC}">
              <c16:uniqueId val="{00000004-B758-437C-AAE8-CC6492FAB483}"/>
            </c:ext>
          </c:extLst>
        </c:ser>
        <c:ser>
          <c:idx val="2"/>
          <c:order val="5"/>
          <c:tx>
            <c:strRef>
              <c:f>'Jacks Complex'!$K$42</c:f>
              <c:strCache>
                <c:ptCount val="1"/>
                <c:pt idx="0">
                  <c:v>Orig FES ABC/ACL</c:v>
                </c:pt>
              </c:strCache>
            </c:strRef>
          </c:tx>
          <c:spPr>
            <a:ln>
              <a:solidFill>
                <a:srgbClr val="7030A0"/>
              </a:solidFill>
            </a:ln>
          </c:spPr>
          <c:marker>
            <c:symbol val="none"/>
          </c:marker>
          <c:xVal>
            <c:numRef>
              <c:f>'Jacks Complex'!$G$43:$G$48</c:f>
              <c:numCache>
                <c:formatCode>General</c:formatCode>
                <c:ptCount val="6"/>
                <c:pt idx="0">
                  <c:v>2012</c:v>
                </c:pt>
                <c:pt idx="1">
                  <c:v>2013</c:v>
                </c:pt>
                <c:pt idx="2">
                  <c:v>2014</c:v>
                </c:pt>
                <c:pt idx="3">
                  <c:v>2015</c:v>
                </c:pt>
                <c:pt idx="4">
                  <c:v>2016</c:v>
                </c:pt>
                <c:pt idx="5">
                  <c:v>2017</c:v>
                </c:pt>
              </c:numCache>
            </c:numRef>
          </c:xVal>
          <c:yVal>
            <c:numRef>
              <c:f>'Jacks Complex'!$K$43:$K$48</c:f>
              <c:numCache>
                <c:formatCode>#,##0</c:formatCode>
                <c:ptCount val="6"/>
                <c:pt idx="0">
                  <c:v>11043.495367670001</c:v>
                </c:pt>
                <c:pt idx="1">
                  <c:v>11043.495367670001</c:v>
                </c:pt>
                <c:pt idx="2">
                  <c:v>11043.495367670001</c:v>
                </c:pt>
                <c:pt idx="3">
                  <c:v>11043.495367670001</c:v>
                </c:pt>
                <c:pt idx="4">
                  <c:v>11043.495367670001</c:v>
                </c:pt>
                <c:pt idx="5">
                  <c:v>11043.495367670001</c:v>
                </c:pt>
              </c:numCache>
            </c:numRef>
          </c:yVal>
          <c:smooth val="0"/>
          <c:extLst>
            <c:ext xmlns:c16="http://schemas.microsoft.com/office/drawing/2014/chart" uri="{C3380CC4-5D6E-409C-BE32-E72D297353CC}">
              <c16:uniqueId val="{00000005-B758-437C-AAE8-CC6492FAB483}"/>
            </c:ext>
          </c:extLst>
        </c:ser>
        <c:dLbls>
          <c:showLegendKey val="0"/>
          <c:showVal val="0"/>
          <c:showCatName val="0"/>
          <c:showSerName val="0"/>
          <c:showPercent val="0"/>
          <c:showBubbleSize val="0"/>
        </c:dLbls>
        <c:axId val="342854464"/>
        <c:axId val="342855040"/>
        <c:extLst>
          <c:ext xmlns:c15="http://schemas.microsoft.com/office/drawing/2012/chart" uri="{02D57815-91ED-43cb-92C2-25804820EDAC}">
            <c15:filteredScatterSeries>
              <c15:ser>
                <c:idx val="4"/>
                <c:order val="1"/>
                <c:tx>
                  <c:strRef>
                    <c:extLst>
                      <c:ext uri="{02D57815-91ED-43cb-92C2-25804820EDAC}">
                        <c15:formulaRef>
                          <c15:sqref>'Jacks Complex'!$X$3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'Jacks Complex'!$U$9:$U$35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c:ext uri="{02D57815-91ED-43cb-92C2-25804820EDAC}">
                        <c15:formulaRef>
                          <c15:sqref>'Jacks Complex'!$X$9:$X$35</c15:sqref>
                        </c15:formulaRef>
                      </c:ext>
                    </c:extLst>
                    <c:numCache>
                      <c:formatCode>#,##0</c:formatCode>
                      <c:ptCount val="27"/>
                      <c:pt idx="0">
                        <c:v>10.714355999999999</c:v>
                      </c:pt>
                      <c:pt idx="1">
                        <c:v>7380.8090574999997</c:v>
                      </c:pt>
                      <c:pt idx="2">
                        <c:v>10312.182699610001</c:v>
                      </c:pt>
                      <c:pt idx="3">
                        <c:v>598.30108296999992</c:v>
                      </c:pt>
                      <c:pt idx="4">
                        <c:v>21.120068</c:v>
                      </c:pt>
                      <c:pt idx="5">
                        <c:v>2474.7387600000002</c:v>
                      </c:pt>
                      <c:pt idx="6">
                        <c:v>1300.7801379999999</c:v>
                      </c:pt>
                      <c:pt idx="7">
                        <c:v>4794.1365986000001</c:v>
                      </c:pt>
                      <c:pt idx="8">
                        <c:v>2274.83143191</c:v>
                      </c:pt>
                      <c:pt idx="9">
                        <c:v>5260.2728528800008</c:v>
                      </c:pt>
                      <c:pt idx="10">
                        <c:v>4761.3699815</c:v>
                      </c:pt>
                      <c:pt idx="11">
                        <c:v>4110.8759167100006</c:v>
                      </c:pt>
                      <c:pt idx="12">
                        <c:v>67.769651124999996</c:v>
                      </c:pt>
                      <c:pt idx="13">
                        <c:v>1615.3443985000001</c:v>
                      </c:pt>
                      <c:pt idx="14">
                        <c:v>1314.2367319</c:v>
                      </c:pt>
                      <c:pt idx="15">
                        <c:v>4111.4509024999998</c:v>
                      </c:pt>
                      <c:pt idx="16">
                        <c:v>14948.775312000002</c:v>
                      </c:pt>
                      <c:pt idx="17">
                        <c:v>3671.2610333999996</c:v>
                      </c:pt>
                      <c:pt idx="18">
                        <c:v>156.20252379999999</c:v>
                      </c:pt>
                      <c:pt idx="19">
                        <c:v>3.8293902000000002</c:v>
                      </c:pt>
                      <c:pt idx="20">
                        <c:v>397.76895369899995</c:v>
                      </c:pt>
                      <c:pt idx="21">
                        <c:v>44.074363200000001</c:v>
                      </c:pt>
                      <c:pt idx="22">
                        <c:v>5726.5992544999999</c:v>
                      </c:pt>
                      <c:pt idx="23">
                        <c:v>6327.5758325850002</c:v>
                      </c:pt>
                      <c:pt idx="24">
                        <c:v>1642.55985719</c:v>
                      </c:pt>
                      <c:pt idx="25">
                        <c:v>897.49392063000016</c:v>
                      </c:pt>
                      <c:pt idx="26">
                        <c:v>244.01615099999998</c:v>
                      </c:pt>
                    </c:numCache>
                  </c:numRef>
                </c:yVal>
                <c:smooth val="0"/>
                <c:extLst>
                  <c:ext xmlns:c16="http://schemas.microsoft.com/office/drawing/2014/chart" uri="{C3380CC4-5D6E-409C-BE32-E72D297353CC}">
                    <c16:uniqueId val="{00000001-B758-437C-AAE8-CC6492FAB483}"/>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'Jacks Complex'!$AD$3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'Jacks Complex'!$AA$9:$AA$35</c15:sqref>
                        </c15:formulaRef>
                      </c:ext>
                    </c:extLst>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extLst xmlns:c15="http://schemas.microsoft.com/office/drawing/2012/chart">
                      <c:ext xmlns:c15="http://schemas.microsoft.com/office/drawing/2012/chart" uri="{02D57815-91ED-43cb-92C2-25804820EDAC}">
                        <c15:formulaRef>
                          <c15:sqref>'Jacks Complex'!$AD$9:$AD$35</c15:sqref>
                        </c15:formulaRef>
                      </c:ext>
                    </c:extLst>
                    <c:numCache>
                      <c:formatCode>#,##0</c:formatCode>
                      <c:ptCount val="27"/>
                      <c:pt idx="0">
                        <c:v>10.714355999999999</c:v>
                      </c:pt>
                      <c:pt idx="1">
                        <c:v>7399.4266038000005</c:v>
                      </c:pt>
                      <c:pt idx="2">
                        <c:v>18300.914256550004</c:v>
                      </c:pt>
                      <c:pt idx="3">
                        <c:v>600.29710059999991</c:v>
                      </c:pt>
                      <c:pt idx="4">
                        <c:v>21.120068</c:v>
                      </c:pt>
                      <c:pt idx="5">
                        <c:v>2483.8427705999998</c:v>
                      </c:pt>
                      <c:pt idx="6">
                        <c:v>1300.7801379999999</c:v>
                      </c:pt>
                      <c:pt idx="7">
                        <c:v>4811.061541</c:v>
                      </c:pt>
                      <c:pt idx="8">
                        <c:v>2282.5137940800005</c:v>
                      </c:pt>
                      <c:pt idx="9">
                        <c:v>5271.4953676700006</c:v>
                      </c:pt>
                      <c:pt idx="10">
                        <c:v>4778.9476728999998</c:v>
                      </c:pt>
                      <c:pt idx="11">
                        <c:v>4125.0350589600002</c:v>
                      </c:pt>
                      <c:pt idx="12">
                        <c:v>68.022821678</c:v>
                      </c:pt>
                      <c:pt idx="13">
                        <c:v>1284.1907293000002</c:v>
                      </c:pt>
                      <c:pt idx="14">
                        <c:v>1318.7794868000001</c:v>
                      </c:pt>
                      <c:pt idx="15">
                        <c:v>4125.3675062000002</c:v>
                      </c:pt>
                      <c:pt idx="16">
                        <c:v>14948.775312000002</c:v>
                      </c:pt>
                      <c:pt idx="17">
                        <c:v>3684.6691990999998</c:v>
                      </c:pt>
                      <c:pt idx="18">
                        <c:v>156.20252379999999</c:v>
                      </c:pt>
                      <c:pt idx="19">
                        <c:v>3.8293902000000002</c:v>
                      </c:pt>
                      <c:pt idx="20">
                        <c:v>398.44785690999998</c:v>
                      </c:pt>
                      <c:pt idx="21">
                        <c:v>44.074363200000001</c:v>
                      </c:pt>
                      <c:pt idx="22">
                        <c:v>5730.4621535000006</c:v>
                      </c:pt>
                      <c:pt idx="23">
                        <c:v>6335.2622533479998</c:v>
                      </c:pt>
                      <c:pt idx="24">
                        <c:v>1645.9779211500002</c:v>
                      </c:pt>
                      <c:pt idx="25">
                        <c:v>897.96181972000022</c:v>
                      </c:pt>
                      <c:pt idx="26">
                        <c:v>244.01615099999998</c:v>
                      </c:pt>
                    </c:numCache>
                  </c:numRef>
                </c:yVal>
                <c:smooth val="0"/>
                <c:extLst xmlns:c15="http://schemas.microsoft.com/office/drawing/2012/chart">
                  <c:ext xmlns:c16="http://schemas.microsoft.com/office/drawing/2014/chart" uri="{C3380CC4-5D6E-409C-BE32-E72D297353CC}">
                    <c16:uniqueId val="{00000003-B758-437C-AAE8-CC6492FAB483}"/>
                  </c:ext>
                </c:extLst>
              </c15:ser>
            </c15:filteredScatterSeries>
          </c:ext>
        </c:extLst>
      </c:scatterChart>
      <c:valAx>
        <c:axId val="342854464"/>
        <c:scaling>
          <c:orientation val="minMax"/>
          <c:max val="2017"/>
          <c:min val="1991"/>
        </c:scaling>
        <c:delete val="0"/>
        <c:axPos val="b"/>
        <c:numFmt formatCode="General" sourceLinked="1"/>
        <c:majorTickMark val="out"/>
        <c:minorTickMark val="none"/>
        <c:tickLblPos val="nextTo"/>
        <c:crossAx val="342855040"/>
        <c:crosses val="autoZero"/>
        <c:crossBetween val="midCat"/>
      </c:valAx>
      <c:valAx>
        <c:axId val="3428550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446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'Jacks Complex'!$B$2</c:f>
              <c:strCache>
                <c:ptCount val="1"/>
                <c:pt idx="0">
                  <c:v>Almaco 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Complex'!$I$9:$I$35</c:f>
              <c:numCache>
                <c:formatCode>#,##0</c:formatCode>
                <c:ptCount val="27"/>
                <c:pt idx="0">
                  <c:v>19987.737095999997</c:v>
                </c:pt>
                <c:pt idx="1">
                  <c:v>68079.062040309989</c:v>
                </c:pt>
                <c:pt idx="2">
                  <c:v>54291.5199355</c:v>
                </c:pt>
                <c:pt idx="3">
                  <c:v>73163.652441780025</c:v>
                </c:pt>
                <c:pt idx="4">
                  <c:v>91729.818924449995</c:v>
                </c:pt>
                <c:pt idx="5">
                  <c:v>52637.781049999998</c:v>
                </c:pt>
                <c:pt idx="6">
                  <c:v>61953.304114899991</c:v>
                </c:pt>
                <c:pt idx="7">
                  <c:v>58787.146638699996</c:v>
                </c:pt>
                <c:pt idx="8">
                  <c:v>295752.95791570004</c:v>
                </c:pt>
                <c:pt idx="9">
                  <c:v>191217.98270306303</c:v>
                </c:pt>
                <c:pt idx="10">
                  <c:v>251984.62853030697</c:v>
                </c:pt>
                <c:pt idx="11">
                  <c:v>158931.44351520395</c:v>
                </c:pt>
                <c:pt idx="12">
                  <c:v>373892.20666102006</c:v>
                </c:pt>
                <c:pt idx="13">
                  <c:v>325876.34495488007</c:v>
                </c:pt>
                <c:pt idx="14">
                  <c:v>149074.52221239998</c:v>
                </c:pt>
                <c:pt idx="15">
                  <c:v>458447.62384110992</c:v>
                </c:pt>
                <c:pt idx="16">
                  <c:v>478901.18354238011</c:v>
                </c:pt>
                <c:pt idx="17">
                  <c:v>300476.33166718995</c:v>
                </c:pt>
                <c:pt idx="18">
                  <c:v>310699.45814230794</c:v>
                </c:pt>
                <c:pt idx="19">
                  <c:v>267010.04306028999</c:v>
                </c:pt>
                <c:pt idx="20">
                  <c:v>367408.02728530008</c:v>
                </c:pt>
                <c:pt idx="21">
                  <c:v>382425.04516476195</c:v>
                </c:pt>
                <c:pt idx="22">
                  <c:v>277184.74821268802</c:v>
                </c:pt>
                <c:pt idx="23">
                  <c:v>375544.32137103</c:v>
                </c:pt>
                <c:pt idx="24">
                  <c:v>401002.20663621195</c:v>
                </c:pt>
                <c:pt idx="25">
                  <c:v>606561.95302410796</c:v>
                </c:pt>
                <c:pt idx="26">
                  <c:v>456286.76308268995</c:v>
                </c:pt>
              </c:numCache>
            </c:numRef>
          </c:yVal>
          <c:smooth val="0"/>
          <c:extLst>
            <c:ext xmlns:c16="http://schemas.microsoft.com/office/drawing/2014/chart" uri="{C3380CC4-5D6E-409C-BE32-E72D297353CC}">
              <c16:uniqueId val="{00000000-0A9C-4E44-887C-600289F604DB}"/>
            </c:ext>
          </c:extLst>
        </c:ser>
        <c:ser>
          <c:idx val="1"/>
          <c:order val="1"/>
          <c:tx>
            <c:strRef>
              <c:f>'Jacks Complex'!$C$2</c:f>
              <c:strCache>
                <c:ptCount val="1"/>
                <c:pt idx="0">
                  <c:v>Banded Rudderfish</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Complex'!$J$9:$J$35</c:f>
              <c:numCache>
                <c:formatCode>#,##0</c:formatCode>
                <c:ptCount val="27"/>
                <c:pt idx="0">
                  <c:v>196.431738</c:v>
                </c:pt>
                <c:pt idx="1">
                  <c:v>9298.0478839999996</c:v>
                </c:pt>
                <c:pt idx="2">
                  <c:v>32087.4940613</c:v>
                </c:pt>
                <c:pt idx="3">
                  <c:v>26232.48285</c:v>
                </c:pt>
                <c:pt idx="4">
                  <c:v>39898.425640500005</c:v>
                </c:pt>
                <c:pt idx="5">
                  <c:v>34769.056916360001</c:v>
                </c:pt>
                <c:pt idx="6">
                  <c:v>103978.63551085</c:v>
                </c:pt>
                <c:pt idx="7">
                  <c:v>76068.202755699996</c:v>
                </c:pt>
                <c:pt idx="8">
                  <c:v>133844.37653449998</c:v>
                </c:pt>
                <c:pt idx="9">
                  <c:v>300177.63474037999</c:v>
                </c:pt>
                <c:pt idx="10">
                  <c:v>162263.89107780001</c:v>
                </c:pt>
                <c:pt idx="11">
                  <c:v>91096.087410549982</c:v>
                </c:pt>
                <c:pt idx="12">
                  <c:v>103588.09068603996</c:v>
                </c:pt>
                <c:pt idx="13">
                  <c:v>213452.92219246484</c:v>
                </c:pt>
                <c:pt idx="14">
                  <c:v>102011.00965518002</c:v>
                </c:pt>
                <c:pt idx="15">
                  <c:v>157943.40633394694</c:v>
                </c:pt>
                <c:pt idx="16">
                  <c:v>152869.63219524402</c:v>
                </c:pt>
                <c:pt idx="17">
                  <c:v>110059.16144942</c:v>
                </c:pt>
                <c:pt idx="18">
                  <c:v>138996.10267860402</c:v>
                </c:pt>
                <c:pt idx="19">
                  <c:v>191786.07414502997</c:v>
                </c:pt>
                <c:pt idx="20">
                  <c:v>250495.18119283294</c:v>
                </c:pt>
                <c:pt idx="21">
                  <c:v>280207.22905732202</c:v>
                </c:pt>
                <c:pt idx="22">
                  <c:v>163370.47118159896</c:v>
                </c:pt>
                <c:pt idx="23">
                  <c:v>184541.34094371699</c:v>
                </c:pt>
                <c:pt idx="24">
                  <c:v>119677.06819977597</c:v>
                </c:pt>
                <c:pt idx="25">
                  <c:v>109055.50340377001</c:v>
                </c:pt>
                <c:pt idx="26">
                  <c:v>131894.11071132199</c:v>
                </c:pt>
              </c:numCache>
            </c:numRef>
          </c:yVal>
          <c:smooth val="0"/>
          <c:extLst>
            <c:ext xmlns:c16="http://schemas.microsoft.com/office/drawing/2014/chart" uri="{C3380CC4-5D6E-409C-BE32-E72D297353CC}">
              <c16:uniqueId val="{00000001-0A9C-4E44-887C-600289F604DB}"/>
            </c:ext>
          </c:extLst>
        </c:ser>
        <c:ser>
          <c:idx val="2"/>
          <c:order val="2"/>
          <c:tx>
            <c:strRef>
              <c:f>'Jacks Complex'!$D$2</c:f>
              <c:strCache>
                <c:ptCount val="1"/>
                <c:pt idx="0">
                  <c:v>Lesser Amberjack</c:v>
                </c:pt>
              </c:strCache>
            </c:strRef>
          </c:tx>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Complex'!$K$9:$K$35</c:f>
              <c:numCache>
                <c:formatCode>#,##0</c:formatCode>
                <c:ptCount val="27"/>
                <c:pt idx="0">
                  <c:v>7382.7143560000004</c:v>
                </c:pt>
                <c:pt idx="1">
                  <c:v>21048.426603799999</c:v>
                </c:pt>
                <c:pt idx="2">
                  <c:v>22150.914256550004</c:v>
                </c:pt>
                <c:pt idx="3">
                  <c:v>6708.2971005999998</c:v>
                </c:pt>
                <c:pt idx="4">
                  <c:v>5111.1200680000002</c:v>
                </c:pt>
                <c:pt idx="5">
                  <c:v>9134.8427706000002</c:v>
                </c:pt>
                <c:pt idx="6">
                  <c:v>18382.780137999998</c:v>
                </c:pt>
                <c:pt idx="7">
                  <c:v>9669.0615409999991</c:v>
                </c:pt>
                <c:pt idx="8">
                  <c:v>12403.513794080001</c:v>
                </c:pt>
                <c:pt idx="9">
                  <c:v>11043.495367670001</c:v>
                </c:pt>
                <c:pt idx="10">
                  <c:v>9190.9476728999998</c:v>
                </c:pt>
                <c:pt idx="11">
                  <c:v>8169.0350589600002</c:v>
                </c:pt>
                <c:pt idx="12">
                  <c:v>3575.0228216780001</c:v>
                </c:pt>
                <c:pt idx="13">
                  <c:v>3493.1907293000004</c:v>
                </c:pt>
                <c:pt idx="14">
                  <c:v>9458.7794868000001</c:v>
                </c:pt>
                <c:pt idx="15">
                  <c:v>7728.3675062000002</c:v>
                </c:pt>
                <c:pt idx="16">
                  <c:v>19495.775312000002</c:v>
                </c:pt>
                <c:pt idx="17">
                  <c:v>4618.6691990999998</c:v>
                </c:pt>
                <c:pt idx="18">
                  <c:v>8481.2025238000006</c:v>
                </c:pt>
                <c:pt idx="19">
                  <c:v>13857.8293902</c:v>
                </c:pt>
                <c:pt idx="20">
                  <c:v>48754.447856910003</c:v>
                </c:pt>
                <c:pt idx="21">
                  <c:v>14217.074363199999</c:v>
                </c:pt>
                <c:pt idx="22">
                  <c:v>7892.4621535000006</c:v>
                </c:pt>
                <c:pt idx="23">
                  <c:v>9477.2622533479989</c:v>
                </c:pt>
                <c:pt idx="24">
                  <c:v>4564.9779211499999</c:v>
                </c:pt>
                <c:pt idx="25">
                  <c:v>12915.96181972</c:v>
                </c:pt>
                <c:pt idx="26">
                  <c:v>16108.016151</c:v>
                </c:pt>
              </c:numCache>
            </c:numRef>
          </c:yVal>
          <c:smooth val="0"/>
          <c:extLst>
            <c:ext xmlns:c16="http://schemas.microsoft.com/office/drawing/2014/chart" uri="{C3380CC4-5D6E-409C-BE32-E72D297353CC}">
              <c16:uniqueId val="{00000002-0A9C-4E44-887C-600289F604DB}"/>
            </c:ext>
          </c:extLst>
        </c:ser>
        <c:ser>
          <c:idx val="4"/>
          <c:order val="3"/>
          <c:tx>
            <c:strRef>
              <c:f>'Jacks Complex'!$E$3</c:f>
              <c:strCache>
                <c:ptCount val="1"/>
                <c:pt idx="0">
                  <c:v>Total</c:v>
                </c:pt>
              </c:strCache>
            </c:strRef>
          </c:tx>
          <c:spPr>
            <a:ln>
              <a:solidFill>
                <a:schemeClr val="tx2"/>
              </a:solidFill>
            </a:ln>
          </c:spPr>
          <c:marker>
            <c:spPr>
              <a:ln>
                <a:solidFill>
                  <a:srgbClr val="FF0000"/>
                </a:solidFill>
              </a:ln>
            </c:spPr>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Complex'!$L$9:$L$35</c:f>
              <c:numCache>
                <c:formatCode>#,##0</c:formatCode>
                <c:ptCount val="27"/>
                <c:pt idx="0">
                  <c:v>27566.883189999997</c:v>
                </c:pt>
                <c:pt idx="1">
                  <c:v>98425.53652810998</c:v>
                </c:pt>
                <c:pt idx="2">
                  <c:v>108529.92825335001</c:v>
                </c:pt>
                <c:pt idx="3">
                  <c:v>106104.43239238003</c:v>
                </c:pt>
                <c:pt idx="4">
                  <c:v>136739.36463294999</c:v>
                </c:pt>
                <c:pt idx="5">
                  <c:v>96541.680736959999</c:v>
                </c:pt>
                <c:pt idx="6">
                  <c:v>184314.71976375001</c:v>
                </c:pt>
                <c:pt idx="7">
                  <c:v>144524.4109354</c:v>
                </c:pt>
                <c:pt idx="8">
                  <c:v>442000.84824428003</c:v>
                </c:pt>
                <c:pt idx="9">
                  <c:v>502439.11281111307</c:v>
                </c:pt>
                <c:pt idx="10">
                  <c:v>423439.46728100698</c:v>
                </c:pt>
                <c:pt idx="11">
                  <c:v>258196.56598471393</c:v>
                </c:pt>
                <c:pt idx="12">
                  <c:v>481055.32016873802</c:v>
                </c:pt>
                <c:pt idx="13">
                  <c:v>542822.45787664491</c:v>
                </c:pt>
                <c:pt idx="14">
                  <c:v>260544.31135438001</c:v>
                </c:pt>
                <c:pt idx="15">
                  <c:v>624119.39768125687</c:v>
                </c:pt>
                <c:pt idx="16">
                  <c:v>651266.59104962414</c:v>
                </c:pt>
                <c:pt idx="17">
                  <c:v>415154.16231570998</c:v>
                </c:pt>
                <c:pt idx="18">
                  <c:v>458176.76334471197</c:v>
                </c:pt>
                <c:pt idx="19">
                  <c:v>472653.9465955199</c:v>
                </c:pt>
                <c:pt idx="20">
                  <c:v>666657.65633504302</c:v>
                </c:pt>
                <c:pt idx="21">
                  <c:v>676849.34858528397</c:v>
                </c:pt>
                <c:pt idx="22">
                  <c:v>448447.68154778698</c:v>
                </c:pt>
                <c:pt idx="23">
                  <c:v>569562.92456809501</c:v>
                </c:pt>
                <c:pt idx="24">
                  <c:v>525244.25275713799</c:v>
                </c:pt>
                <c:pt idx="25">
                  <c:v>728533.41824759799</c:v>
                </c:pt>
                <c:pt idx="26">
                  <c:v>604288.88994501205</c:v>
                </c:pt>
              </c:numCache>
            </c:numRef>
          </c:yVal>
          <c:smooth val="0"/>
          <c:extLst>
            <c:ext xmlns:c16="http://schemas.microsoft.com/office/drawing/2014/chart" uri="{C3380CC4-5D6E-409C-BE32-E72D297353CC}">
              <c16:uniqueId val="{00000003-0A9C-4E44-887C-600289F604DB}"/>
            </c:ext>
          </c:extLst>
        </c:ser>
        <c:ser>
          <c:idx val="3"/>
          <c:order val="4"/>
          <c:tx>
            <c:strRef>
              <c:f>'Jacks Complex'!$F$3</c:f>
              <c:strCache>
                <c:ptCount val="1"/>
                <c:pt idx="0">
                  <c:v>New Wgt ABC/ACL</c:v>
                </c:pt>
              </c:strCache>
            </c:strRef>
          </c:tx>
          <c:spPr>
            <a:ln w="38100">
              <a:solidFill>
                <a:schemeClr val="tx1"/>
              </a:solidFill>
            </a:ln>
          </c:spPr>
          <c:marker>
            <c:symbol val="none"/>
          </c:marker>
          <c:xVal>
            <c:numRef>
              <c:f>'Jacks Complex'!$A$9:$A$35</c:f>
              <c:numCache>
                <c:formatCode>General</c:formatCode>
                <c:ptCount val="2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numCache>
            </c:numRef>
          </c:xVal>
          <c:yVal>
            <c:numRef>
              <c:f>'Jacks Complex'!$M$9:$M$35</c:f>
              <c:numCache>
                <c:formatCode>#,##0</c:formatCode>
                <c:ptCount val="27"/>
                <c:pt idx="21">
                  <c:v>747988.80669632624</c:v>
                </c:pt>
                <c:pt idx="22">
                  <c:v>747988.80669632624</c:v>
                </c:pt>
                <c:pt idx="23">
                  <c:v>747988.80669632624</c:v>
                </c:pt>
                <c:pt idx="24">
                  <c:v>747988.80669632624</c:v>
                </c:pt>
                <c:pt idx="25">
                  <c:v>747988.80669632624</c:v>
                </c:pt>
                <c:pt idx="26">
                  <c:v>747988.80669632624</c:v>
                </c:pt>
              </c:numCache>
            </c:numRef>
          </c:yVal>
          <c:smooth val="0"/>
          <c:extLst>
            <c:ext xmlns:c16="http://schemas.microsoft.com/office/drawing/2014/chart" uri="{C3380CC4-5D6E-409C-BE32-E72D297353CC}">
              <c16:uniqueId val="{00000004-0A9C-4E44-887C-600289F604DB}"/>
            </c:ext>
          </c:extLst>
        </c:ser>
        <c:dLbls>
          <c:showLegendKey val="0"/>
          <c:showVal val="0"/>
          <c:showCatName val="0"/>
          <c:showSerName val="0"/>
          <c:showPercent val="0"/>
          <c:showBubbleSize val="0"/>
        </c:dLbls>
        <c:axId val="342851584"/>
        <c:axId val="342852160"/>
      </c:scatterChart>
      <c:valAx>
        <c:axId val="342851584"/>
        <c:scaling>
          <c:orientation val="minMax"/>
          <c:max val="2017"/>
          <c:min val="1991"/>
        </c:scaling>
        <c:delete val="0"/>
        <c:axPos val="b"/>
        <c:title>
          <c:tx>
            <c:rich>
              <a:bodyPr/>
              <a:lstStyle/>
              <a:p>
                <a:pPr>
                  <a:defRPr/>
                </a:pPr>
                <a:r>
                  <a:rPr lang="en-US"/>
                  <a:t>Year</a:t>
                </a:r>
              </a:p>
            </c:rich>
          </c:tx>
          <c:overlay val="0"/>
        </c:title>
        <c:numFmt formatCode="General" sourceLinked="1"/>
        <c:majorTickMark val="out"/>
        <c:minorTickMark val="none"/>
        <c:tickLblPos val="nextTo"/>
        <c:crossAx val="342852160"/>
        <c:crosses val="autoZero"/>
        <c:crossBetween val="midCat"/>
      </c:valAx>
      <c:valAx>
        <c:axId val="34285216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2851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Wgt Snappers Landings</a:t>
            </a:r>
          </a:p>
        </c:rich>
      </c:tx>
      <c:overlay val="0"/>
    </c:title>
    <c:autoTitleDeleted val="0"/>
    <c:plotArea>
      <c:layout/>
      <c:scatterChart>
        <c:scatterStyle val="lineMarker"/>
        <c:varyColors val="0"/>
        <c:ser>
          <c:idx val="0"/>
          <c:order val="0"/>
          <c:tx>
            <c:strRef>
              <c:f>'Snappers Complex'!$B$2</c:f>
              <c:strCache>
                <c:ptCount val="1"/>
                <c:pt idx="0">
                  <c:v>Gray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967650.46417845995</c:v>
                </c:pt>
                <c:pt idx="1">
                  <c:v>999349.83747475804</c:v>
                </c:pt>
                <c:pt idx="2">
                  <c:v>1524769.7122941103</c:v>
                </c:pt>
                <c:pt idx="3">
                  <c:v>1069854.6742414902</c:v>
                </c:pt>
                <c:pt idx="4">
                  <c:v>1100066.5389773399</c:v>
                </c:pt>
                <c:pt idx="5">
                  <c:v>1705210.3491591997</c:v>
                </c:pt>
                <c:pt idx="6">
                  <c:v>1527278.49547126</c:v>
                </c:pt>
                <c:pt idx="7">
                  <c:v>919031.76216041378</c:v>
                </c:pt>
                <c:pt idx="8">
                  <c:v>1008885.7458979397</c:v>
                </c:pt>
                <c:pt idx="9">
                  <c:v>1185080.0558816902</c:v>
                </c:pt>
                <c:pt idx="10">
                  <c:v>883558.45021639601</c:v>
                </c:pt>
                <c:pt idx="11">
                  <c:v>951052.13712240907</c:v>
                </c:pt>
                <c:pt idx="12">
                  <c:v>894397.21560737002</c:v>
                </c:pt>
                <c:pt idx="13">
                  <c:v>1643943.5721044014</c:v>
                </c:pt>
                <c:pt idx="14">
                  <c:v>1947325.9672136747</c:v>
                </c:pt>
                <c:pt idx="15">
                  <c:v>1152120.4173221299</c:v>
                </c:pt>
                <c:pt idx="16">
                  <c:v>1707594.3791254496</c:v>
                </c:pt>
                <c:pt idx="17">
                  <c:v>1817007.5251260486</c:v>
                </c:pt>
                <c:pt idx="18">
                  <c:v>1003325.496350836</c:v>
                </c:pt>
                <c:pt idx="19">
                  <c:v>1093453.1233969796</c:v>
                </c:pt>
                <c:pt idx="20">
                  <c:v>1334059.9157837606</c:v>
                </c:pt>
                <c:pt idx="21">
                  <c:v>1442291.9645564938</c:v>
                </c:pt>
                <c:pt idx="22">
                  <c:v>918833.19192060304</c:v>
                </c:pt>
                <c:pt idx="23">
                  <c:v>869182.23077449179</c:v>
                </c:pt>
                <c:pt idx="24">
                  <c:v>551213.58718027209</c:v>
                </c:pt>
                <c:pt idx="25">
                  <c:v>625898.1571189079</c:v>
                </c:pt>
                <c:pt idx="26">
                  <c:v>558575.76632886869</c:v>
                </c:pt>
                <c:pt idx="27">
                  <c:v>2215929.0408905493</c:v>
                </c:pt>
                <c:pt idx="28">
                  <c:v>2852226.9285807782</c:v>
                </c:pt>
                <c:pt idx="29">
                  <c:v>1883337.6749337343</c:v>
                </c:pt>
                <c:pt idx="30">
                  <c:v>3929485.7747039669</c:v>
                </c:pt>
                <c:pt idx="31">
                  <c:v>3181898.8476802609</c:v>
                </c:pt>
              </c:numCache>
            </c:numRef>
          </c:yVal>
          <c:smooth val="0"/>
          <c:extLst>
            <c:ext xmlns:c16="http://schemas.microsoft.com/office/drawing/2014/chart" uri="{C3380CC4-5D6E-409C-BE32-E72D297353CC}">
              <c16:uniqueId val="{00000000-4E7F-4F6A-97A3-BA37FAD6D8E5}"/>
            </c:ext>
          </c:extLst>
        </c:ser>
        <c:ser>
          <c:idx val="1"/>
          <c:order val="1"/>
          <c:tx>
            <c:strRef>
              <c:f>'Snappers Complex'!$C$2</c:f>
              <c:strCache>
                <c:ptCount val="1"/>
                <c:pt idx="0">
                  <c:v>Lane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98338.986927499995</c:v>
                </c:pt>
                <c:pt idx="1">
                  <c:v>220620.74456900003</c:v>
                </c:pt>
                <c:pt idx="2">
                  <c:v>259163.53684817994</c:v>
                </c:pt>
                <c:pt idx="3">
                  <c:v>279830.34755339992</c:v>
                </c:pt>
                <c:pt idx="4">
                  <c:v>109635.04716607997</c:v>
                </c:pt>
                <c:pt idx="5">
                  <c:v>169038.47001900006</c:v>
                </c:pt>
                <c:pt idx="6">
                  <c:v>151385.50396001001</c:v>
                </c:pt>
                <c:pt idx="7">
                  <c:v>196759.20734440995</c:v>
                </c:pt>
                <c:pt idx="8">
                  <c:v>131606.25837222004</c:v>
                </c:pt>
                <c:pt idx="9">
                  <c:v>108343.510384188</c:v>
                </c:pt>
                <c:pt idx="10">
                  <c:v>108684.90697527002</c:v>
                </c:pt>
                <c:pt idx="11">
                  <c:v>149958.94457294999</c:v>
                </c:pt>
                <c:pt idx="12">
                  <c:v>120814.33820581202</c:v>
                </c:pt>
                <c:pt idx="13">
                  <c:v>195417.37362071592</c:v>
                </c:pt>
                <c:pt idx="14">
                  <c:v>324943.169827645</c:v>
                </c:pt>
                <c:pt idx="15">
                  <c:v>298956.78509271593</c:v>
                </c:pt>
                <c:pt idx="16">
                  <c:v>244115.19369663898</c:v>
                </c:pt>
                <c:pt idx="17">
                  <c:v>344023.09093260486</c:v>
                </c:pt>
                <c:pt idx="18">
                  <c:v>124864.40475688862</c:v>
                </c:pt>
                <c:pt idx="19">
                  <c:v>204609.43768056307</c:v>
                </c:pt>
                <c:pt idx="20">
                  <c:v>141123.54860109391</c:v>
                </c:pt>
                <c:pt idx="21">
                  <c:v>157420.68370025494</c:v>
                </c:pt>
                <c:pt idx="22">
                  <c:v>149370.04143681895</c:v>
                </c:pt>
                <c:pt idx="23">
                  <c:v>123561.04969450996</c:v>
                </c:pt>
                <c:pt idx="24">
                  <c:v>53406.190681373286</c:v>
                </c:pt>
                <c:pt idx="25">
                  <c:v>67729.469726989977</c:v>
                </c:pt>
                <c:pt idx="26">
                  <c:v>95488.40036263199</c:v>
                </c:pt>
                <c:pt idx="27">
                  <c:v>193869.72169237808</c:v>
                </c:pt>
                <c:pt idx="28">
                  <c:v>311029.48830796516</c:v>
                </c:pt>
                <c:pt idx="29">
                  <c:v>145484.61572458898</c:v>
                </c:pt>
                <c:pt idx="30">
                  <c:v>197574.90094490608</c:v>
                </c:pt>
                <c:pt idx="31">
                  <c:v>156100.76674494802</c:v>
                </c:pt>
              </c:numCache>
            </c:numRef>
          </c:yVal>
          <c:smooth val="0"/>
          <c:extLst>
            <c:ext xmlns:c16="http://schemas.microsoft.com/office/drawing/2014/chart" uri="{C3380CC4-5D6E-409C-BE32-E72D297353CC}">
              <c16:uniqueId val="{00000001-4E7F-4F6A-97A3-BA37FAD6D8E5}"/>
            </c:ext>
          </c:extLst>
        </c:ser>
        <c:ser>
          <c:idx val="2"/>
          <c:order val="2"/>
          <c:tx>
            <c:strRef>
              <c:f>'Snappers Complex'!$D$2</c:f>
              <c:strCache>
                <c:ptCount val="1"/>
                <c:pt idx="0">
                  <c:v>Cubera Snapper</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104217.45838079996</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46861.552826830019</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613759.93731259997</c:v>
                </c:pt>
              </c:numCache>
            </c:numRef>
          </c:yVal>
          <c:smooth val="0"/>
          <c:extLst>
            <c:ext xmlns:c16="http://schemas.microsoft.com/office/drawing/2014/chart" uri="{C3380CC4-5D6E-409C-BE32-E72D297353CC}">
              <c16:uniqueId val="{00000002-4E7F-4F6A-97A3-BA37FAD6D8E5}"/>
            </c:ext>
          </c:extLst>
        </c:ser>
        <c:ser>
          <c:idx val="5"/>
          <c:order val="3"/>
          <c:tx>
            <c:strRef>
              <c:f>'Snappers Complex'!$E$3</c:f>
              <c:strCache>
                <c:ptCount val="1"/>
                <c:pt idx="0">
                  <c:v>Total</c:v>
                </c:pt>
              </c:strCache>
            </c:strRef>
          </c:tx>
          <c:spPr>
            <a:ln>
              <a:solidFill>
                <a:schemeClr val="tx2"/>
              </a:solidFill>
            </a:ln>
          </c:spPr>
          <c:marker>
            <c:symbol val="star"/>
            <c:size val="7"/>
            <c:spPr>
              <a:ln>
                <a:solidFill>
                  <a:srgbClr val="FF0000"/>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Complex'!$E$4:$E$35</c:f>
              <c:numCache>
                <c:formatCode>#,##0</c:formatCode>
                <c:ptCount val="32"/>
                <c:pt idx="0">
                  <c:v>1993094.08053006</c:v>
                </c:pt>
                <c:pt idx="1">
                  <c:v>1223029.5714457582</c:v>
                </c:pt>
                <c:pt idx="2">
                  <c:v>1990213.2978726903</c:v>
                </c:pt>
                <c:pt idx="3">
                  <c:v>1361742.7676571901</c:v>
                </c:pt>
                <c:pt idx="4">
                  <c:v>1265368.6904414198</c:v>
                </c:pt>
                <c:pt idx="5">
                  <c:v>2119822.0321706999</c:v>
                </c:pt>
                <c:pt idx="6">
                  <c:v>1691069.9140512701</c:v>
                </c:pt>
                <c:pt idx="7">
                  <c:v>1220008.4278856236</c:v>
                </c:pt>
                <c:pt idx="8">
                  <c:v>1194924.8592821597</c:v>
                </c:pt>
                <c:pt idx="9">
                  <c:v>1948634.8876918787</c:v>
                </c:pt>
                <c:pt idx="10">
                  <c:v>1017303.211226366</c:v>
                </c:pt>
                <c:pt idx="11">
                  <c:v>1116493.1580679589</c:v>
                </c:pt>
                <c:pt idx="12">
                  <c:v>1041875.683593612</c:v>
                </c:pt>
                <c:pt idx="13">
                  <c:v>1860859.2861651173</c:v>
                </c:pt>
                <c:pt idx="14">
                  <c:v>2507599.5997027457</c:v>
                </c:pt>
                <c:pt idx="15">
                  <c:v>1533439.4674684659</c:v>
                </c:pt>
                <c:pt idx="16">
                  <c:v>1989015.5232874085</c:v>
                </c:pt>
                <c:pt idx="17">
                  <c:v>2214475.7870726534</c:v>
                </c:pt>
                <c:pt idx="18">
                  <c:v>1141759.7657340246</c:v>
                </c:pt>
                <c:pt idx="19">
                  <c:v>1302362.6280907425</c:v>
                </c:pt>
                <c:pt idx="20">
                  <c:v>1484437.3747692946</c:v>
                </c:pt>
                <c:pt idx="21">
                  <c:v>1616461.5473245487</c:v>
                </c:pt>
                <c:pt idx="22">
                  <c:v>1134194.272578422</c:v>
                </c:pt>
                <c:pt idx="23">
                  <c:v>1039604.8332958318</c:v>
                </c:pt>
                <c:pt idx="24">
                  <c:v>612876.94345904537</c:v>
                </c:pt>
                <c:pt idx="25">
                  <c:v>806131.45888029784</c:v>
                </c:pt>
                <c:pt idx="26">
                  <c:v>696636.77645530063</c:v>
                </c:pt>
                <c:pt idx="27">
                  <c:v>2425673.5153261274</c:v>
                </c:pt>
                <c:pt idx="28">
                  <c:v>3247071.7197767431</c:v>
                </c:pt>
                <c:pt idx="29">
                  <c:v>2039037.7497631232</c:v>
                </c:pt>
                <c:pt idx="30">
                  <c:v>4133551.790316673</c:v>
                </c:pt>
                <c:pt idx="31">
                  <c:v>3951759.5517378086</c:v>
                </c:pt>
              </c:numCache>
            </c:numRef>
          </c:yVal>
          <c:smooth val="0"/>
          <c:extLst>
            <c:ext xmlns:c16="http://schemas.microsoft.com/office/drawing/2014/chart" uri="{C3380CC4-5D6E-409C-BE32-E72D297353CC}">
              <c16:uniqueId val="{00000005-4E7F-4F6A-97A3-BA37FAD6D8E5}"/>
            </c:ext>
          </c:extLst>
        </c:ser>
        <c:ser>
          <c:idx val="6"/>
          <c:order val="4"/>
          <c:tx>
            <c:strRef>
              <c:f>'Snappers Complex'!$F$3</c:f>
              <c:strCache>
                <c:ptCount val="1"/>
                <c:pt idx="0">
                  <c:v>New Wgt ABC/ACL</c:v>
                </c:pt>
              </c:strCache>
            </c:strRef>
          </c:tx>
          <c:spPr>
            <a:ln w="38100">
              <a:solidFill>
                <a:schemeClr val="tx1"/>
              </a:solidFill>
            </a:ln>
          </c:spPr>
          <c:marker>
            <c:symbol val="none"/>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Complex'!$F$4:$F$35</c:f>
              <c:numCache>
                <c:formatCode>#,##0</c:formatCode>
                <c:ptCount val="32"/>
                <c:pt idx="26">
                  <c:v>2059996.3352321654</c:v>
                </c:pt>
                <c:pt idx="27">
                  <c:v>2059996.3352321654</c:v>
                </c:pt>
                <c:pt idx="28">
                  <c:v>2059996.3352321654</c:v>
                </c:pt>
                <c:pt idx="29">
                  <c:v>3032015.4249692466</c:v>
                </c:pt>
                <c:pt idx="30">
                  <c:v>3032015.4249692466</c:v>
                </c:pt>
                <c:pt idx="31">
                  <c:v>3032015.4249692466</c:v>
                </c:pt>
              </c:numCache>
            </c:numRef>
          </c:yVal>
          <c:smooth val="0"/>
          <c:extLst>
            <c:ext xmlns:c16="http://schemas.microsoft.com/office/drawing/2014/chart" uri="{C3380CC4-5D6E-409C-BE32-E72D297353CC}">
              <c16:uniqueId val="{00000006-4E7F-4F6A-97A3-BA37FAD6D8E5}"/>
            </c:ext>
          </c:extLst>
        </c:ser>
        <c:dLbls>
          <c:showLegendKey val="0"/>
          <c:showVal val="0"/>
          <c:showCatName val="0"/>
          <c:showSerName val="0"/>
          <c:showPercent val="0"/>
          <c:showBubbleSize val="0"/>
        </c:dLbls>
        <c:axId val="343044608"/>
        <c:axId val="343045184"/>
      </c:scatterChart>
      <c:valAx>
        <c:axId val="34304460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45184"/>
        <c:crosses val="autoZero"/>
        <c:crossBetween val="midCat"/>
      </c:valAx>
      <c:valAx>
        <c:axId val="343045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4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2"/>
          <c:order val="1"/>
          <c:tx>
            <c:strRef>
              <c:f>'Snappers Complex'!$W$3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Complex'!$W$4:$W$35</c:f>
              <c:numCache>
                <c:formatCode>#,##0</c:formatCode>
                <c:ptCount val="32"/>
                <c:pt idx="0">
                  <c:v>628761.46417845995</c:v>
                </c:pt>
                <c:pt idx="1">
                  <c:v>554776.83747475804</c:v>
                </c:pt>
                <c:pt idx="2">
                  <c:v>1226661.7122941103</c:v>
                </c:pt>
                <c:pt idx="3">
                  <c:v>820257.67424149008</c:v>
                </c:pt>
                <c:pt idx="4">
                  <c:v>860119.53897733998</c:v>
                </c:pt>
                <c:pt idx="5">
                  <c:v>1422045.3491591997</c:v>
                </c:pt>
                <c:pt idx="6">
                  <c:v>1306633.49547126</c:v>
                </c:pt>
                <c:pt idx="7">
                  <c:v>699816.76216041378</c:v>
                </c:pt>
                <c:pt idx="8">
                  <c:v>712504.74589793966</c:v>
                </c:pt>
                <c:pt idx="9">
                  <c:v>856245.05588169035</c:v>
                </c:pt>
                <c:pt idx="10">
                  <c:v>614784.45021639601</c:v>
                </c:pt>
                <c:pt idx="11">
                  <c:v>652407.13712240907</c:v>
                </c:pt>
                <c:pt idx="12">
                  <c:v>671471.21560737002</c:v>
                </c:pt>
                <c:pt idx="13">
                  <c:v>1497109.5721044014</c:v>
                </c:pt>
                <c:pt idx="14">
                  <c:v>1770720.9672136747</c:v>
                </c:pt>
                <c:pt idx="15">
                  <c:v>972084.41732212994</c:v>
                </c:pt>
                <c:pt idx="16">
                  <c:v>1478759.3791254496</c:v>
                </c:pt>
                <c:pt idx="17">
                  <c:v>1628836.5251260486</c:v>
                </c:pt>
                <c:pt idx="18">
                  <c:v>850908.49635083601</c:v>
                </c:pt>
                <c:pt idx="19">
                  <c:v>970155.12339697976</c:v>
                </c:pt>
                <c:pt idx="20">
                  <c:v>1233124.9157837606</c:v>
                </c:pt>
                <c:pt idx="21">
                  <c:v>1345093.9645564938</c:v>
                </c:pt>
                <c:pt idx="22">
                  <c:v>815880.19192060304</c:v>
                </c:pt>
                <c:pt idx="23">
                  <c:v>737440.23077449179</c:v>
                </c:pt>
                <c:pt idx="24">
                  <c:v>417151.58718027209</c:v>
                </c:pt>
                <c:pt idx="25">
                  <c:v>541878.1571189079</c:v>
                </c:pt>
                <c:pt idx="26">
                  <c:v>439686.76632886875</c:v>
                </c:pt>
                <c:pt idx="27">
                  <c:v>2070192.0408905495</c:v>
                </c:pt>
                <c:pt idx="28">
                  <c:v>2694472.9285807782</c:v>
                </c:pt>
                <c:pt idx="29">
                  <c:v>1720734.6749337343</c:v>
                </c:pt>
                <c:pt idx="30">
                  <c:v>3769660.7747039669</c:v>
                </c:pt>
                <c:pt idx="31">
                  <c:v>3079545.8476802609</c:v>
                </c:pt>
              </c:numCache>
            </c:numRef>
          </c:yVal>
          <c:smooth val="0"/>
          <c:extLst>
            <c:ext xmlns:c16="http://schemas.microsoft.com/office/drawing/2014/chart" uri="{C3380CC4-5D6E-409C-BE32-E72D297353CC}">
              <c16:uniqueId val="{00000000-188C-4BB3-B9C9-A1BF0F993AC6}"/>
            </c:ext>
          </c:extLst>
        </c:ser>
        <c:ser>
          <c:idx val="4"/>
          <c:order val="3"/>
          <c:tx>
            <c:strRef>
              <c:f>'Snappers Complex'!$AC$3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Complex'!$AC$4:$AC$35</c:f>
              <c:numCache>
                <c:formatCode>#,##0</c:formatCode>
                <c:ptCount val="32"/>
                <c:pt idx="0">
                  <c:v>636454.35176215984</c:v>
                </c:pt>
                <c:pt idx="1">
                  <c:v>553858.76583675796</c:v>
                </c:pt>
                <c:pt idx="2">
                  <c:v>1285761.9070590003</c:v>
                </c:pt>
                <c:pt idx="3">
                  <c:v>856974.97286148998</c:v>
                </c:pt>
                <c:pt idx="4">
                  <c:v>863100.89077293989</c:v>
                </c:pt>
                <c:pt idx="5">
                  <c:v>1394965.1935898997</c:v>
                </c:pt>
                <c:pt idx="6">
                  <c:v>1379670.4770114806</c:v>
                </c:pt>
                <c:pt idx="7">
                  <c:v>707714.98358992394</c:v>
                </c:pt>
                <c:pt idx="8">
                  <c:v>669649.65959538973</c:v>
                </c:pt>
                <c:pt idx="9">
                  <c:v>867200.3806989101</c:v>
                </c:pt>
                <c:pt idx="10">
                  <c:v>587260.41701681609</c:v>
                </c:pt>
                <c:pt idx="11">
                  <c:v>672881.58858554892</c:v>
                </c:pt>
                <c:pt idx="12">
                  <c:v>673216.00463168439</c:v>
                </c:pt>
                <c:pt idx="13">
                  <c:v>1502856.3975223012</c:v>
                </c:pt>
                <c:pt idx="14">
                  <c:v>1774222.1352892837</c:v>
                </c:pt>
                <c:pt idx="15">
                  <c:v>1001540.2834350804</c:v>
                </c:pt>
                <c:pt idx="16">
                  <c:v>1469427.1639960583</c:v>
                </c:pt>
                <c:pt idx="17">
                  <c:v>1399832.5912507887</c:v>
                </c:pt>
                <c:pt idx="18">
                  <c:v>847633.80699992599</c:v>
                </c:pt>
                <c:pt idx="19">
                  <c:v>993336.23588715971</c:v>
                </c:pt>
                <c:pt idx="20">
                  <c:v>1090879.8811101208</c:v>
                </c:pt>
                <c:pt idx="21">
                  <c:v>1339839.1030567233</c:v>
                </c:pt>
                <c:pt idx="22">
                  <c:v>820112.00790669338</c:v>
                </c:pt>
                <c:pt idx="23">
                  <c:v>765440.02320099191</c:v>
                </c:pt>
                <c:pt idx="24">
                  <c:v>416862.74145659216</c:v>
                </c:pt>
                <c:pt idx="25">
                  <c:v>534862.84553722793</c:v>
                </c:pt>
                <c:pt idx="26">
                  <c:v>487423.10880836885</c:v>
                </c:pt>
                <c:pt idx="27">
                  <c:v>1957304.8675925503</c:v>
                </c:pt>
                <c:pt idx="28">
                  <c:v>2781843.7038302575</c:v>
                </c:pt>
                <c:pt idx="29">
                  <c:v>1589724.28883581</c:v>
                </c:pt>
                <c:pt idx="30">
                  <c:v>3953639.4224234056</c:v>
                </c:pt>
                <c:pt idx="31">
                  <c:v>3085854.1222692812</c:v>
                </c:pt>
              </c:numCache>
            </c:numRef>
          </c:yVal>
          <c:smooth val="0"/>
          <c:extLst>
            <c:ext xmlns:c16="http://schemas.microsoft.com/office/drawing/2014/chart" uri="{C3380CC4-5D6E-409C-BE32-E72D297353CC}">
              <c16:uniqueId val="{00000002-188C-4BB3-B9C9-A1BF0F993AC6}"/>
            </c:ext>
          </c:extLst>
        </c:ser>
        <c:ser>
          <c:idx val="6"/>
          <c:order val="4"/>
          <c:tx>
            <c:strRef>
              <c:f>'Snappers Complex'!$S$65</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xVal>
            <c:numRef>
              <c:f>'Snappers Complex'!$M$66:$M$97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'Snappers Complex'!$S$66:$S$97</c:f>
              <c:numCache>
                <c:formatCode>#,##0</c:formatCode>
                <c:ptCount val="32"/>
                <c:pt idx="0">
                  <c:v>530368.22556211695</c:v>
                </c:pt>
                <c:pt idx="1">
                  <c:v>541839.39855974435</c:v>
                </c:pt>
                <c:pt idx="3">
                  <c:v>854004.27676203893</c:v>
                </c:pt>
                <c:pt idx="4">
                  <c:v>754129.98577317141</c:v>
                </c:pt>
                <c:pt idx="5">
                  <c:v>1455455.7714206979</c:v>
                </c:pt>
                <c:pt idx="7">
                  <c:v>694823.36481326923</c:v>
                </c:pt>
                <c:pt idx="8">
                  <c:v>734708.92271164886</c:v>
                </c:pt>
                <c:pt idx="9">
                  <c:v>795027.29278708249</c:v>
                </c:pt>
                <c:pt idx="10">
                  <c:v>618517.99763849878</c:v>
                </c:pt>
                <c:pt idx="11">
                  <c:v>623946.87419561157</c:v>
                </c:pt>
                <c:pt idx="12">
                  <c:v>703082.06503170158</c:v>
                </c:pt>
                <c:pt idx="13">
                  <c:v>1522700.3559082656</c:v>
                </c:pt>
                <c:pt idx="14">
                  <c:v>1763894.1813015554</c:v>
                </c:pt>
                <c:pt idx="15">
                  <c:v>1013357.0298124321</c:v>
                </c:pt>
                <c:pt idx="16">
                  <c:v>1477522.3322867667</c:v>
                </c:pt>
                <c:pt idx="17">
                  <c:v>1593336.7466017809</c:v>
                </c:pt>
                <c:pt idx="18">
                  <c:v>927642.53162182961</c:v>
                </c:pt>
                <c:pt idx="19">
                  <c:v>991400.26051353454</c:v>
                </c:pt>
                <c:pt idx="20">
                  <c:v>1248404.4962922686</c:v>
                </c:pt>
                <c:pt idx="21">
                  <c:v>1324807.0731004379</c:v>
                </c:pt>
                <c:pt idx="22">
                  <c:v>826726.4324463926</c:v>
                </c:pt>
                <c:pt idx="23">
                  <c:v>747481.25177361758</c:v>
                </c:pt>
                <c:pt idx="24">
                  <c:v>440614.21782255743</c:v>
                </c:pt>
                <c:pt idx="25">
                  <c:v>591663.8148711028</c:v>
                </c:pt>
                <c:pt idx="26">
                  <c:v>478789.94909591333</c:v>
                </c:pt>
                <c:pt idx="27">
                  <c:v>2047714.119079493</c:v>
                </c:pt>
                <c:pt idx="28">
                  <c:v>2732197.4782402148</c:v>
                </c:pt>
                <c:pt idx="29">
                  <c:v>1698787.1168874248</c:v>
                </c:pt>
                <c:pt idx="30">
                  <c:v>3798237.9741040613</c:v>
                </c:pt>
                <c:pt idx="31">
                  <c:v>3035086.7078882768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EF9C-4C6E-B498-EC40DC910CF5}"/>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0"/>
                <c:order val="0"/>
                <c:tx>
                  <c:strRef>
                    <c:extLst>
                      <c:ext uri="{02D57815-91ED-43cb-92C2-25804820EDAC}">
                        <c15:formulaRef>
                          <c15:sqref>'Snappers Complex'!$B$3</c15:sqref>
                        </c15:formulaRef>
                      </c:ext>
                    </c:extLst>
                    <c:strCache>
                      <c:ptCount val="1"/>
                      <c:pt idx="0">
                        <c:v>Total New Wgt</c:v>
                      </c:pt>
                    </c:strCache>
                  </c:strRef>
                </c:tx>
                <c:xVal>
                  <c:numRef>
                    <c:extLst>
                      <c:ext uri="{02D57815-91ED-43cb-92C2-25804820EDAC}">
                        <c15:formulaRef>
                          <c15:sqref>'Snappers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Complex'!$B$4:$B$35</c15:sqref>
                        </c15:formulaRef>
                      </c:ext>
                    </c:extLst>
                    <c:numCache>
                      <c:formatCode>#,##0</c:formatCode>
                      <c:ptCount val="32"/>
                      <c:pt idx="0">
                        <c:v>967650.46417845995</c:v>
                      </c:pt>
                      <c:pt idx="1">
                        <c:v>999349.83747475804</c:v>
                      </c:pt>
                      <c:pt idx="2">
                        <c:v>1524769.7122941103</c:v>
                      </c:pt>
                      <c:pt idx="3">
                        <c:v>1069854.6742414902</c:v>
                      </c:pt>
                      <c:pt idx="4">
                        <c:v>1100066.5389773399</c:v>
                      </c:pt>
                      <c:pt idx="5">
                        <c:v>1705210.3491591997</c:v>
                      </c:pt>
                      <c:pt idx="6">
                        <c:v>1527278.49547126</c:v>
                      </c:pt>
                      <c:pt idx="7">
                        <c:v>919031.76216041378</c:v>
                      </c:pt>
                      <c:pt idx="8">
                        <c:v>1008885.7458979397</c:v>
                      </c:pt>
                      <c:pt idx="9">
                        <c:v>1185080.0558816902</c:v>
                      </c:pt>
                      <c:pt idx="10">
                        <c:v>883558.45021639601</c:v>
                      </c:pt>
                      <c:pt idx="11">
                        <c:v>951052.13712240907</c:v>
                      </c:pt>
                      <c:pt idx="12">
                        <c:v>894397.21560737002</c:v>
                      </c:pt>
                      <c:pt idx="13">
                        <c:v>1643943.5721044014</c:v>
                      </c:pt>
                      <c:pt idx="14">
                        <c:v>1947325.9672136747</c:v>
                      </c:pt>
                      <c:pt idx="15">
                        <c:v>1152120.4173221299</c:v>
                      </c:pt>
                      <c:pt idx="16">
                        <c:v>1707594.3791254496</c:v>
                      </c:pt>
                      <c:pt idx="17">
                        <c:v>1817007.5251260486</c:v>
                      </c:pt>
                      <c:pt idx="18">
                        <c:v>1003325.496350836</c:v>
                      </c:pt>
                      <c:pt idx="19">
                        <c:v>1093453.1233969796</c:v>
                      </c:pt>
                      <c:pt idx="20">
                        <c:v>1334059.9157837606</c:v>
                      </c:pt>
                      <c:pt idx="21">
                        <c:v>1442291.9645564938</c:v>
                      </c:pt>
                      <c:pt idx="22">
                        <c:v>918833.19192060304</c:v>
                      </c:pt>
                      <c:pt idx="23">
                        <c:v>869182.23077449179</c:v>
                      </c:pt>
                      <c:pt idx="24">
                        <c:v>551213.58718027209</c:v>
                      </c:pt>
                      <c:pt idx="25">
                        <c:v>625898.1571189079</c:v>
                      </c:pt>
                      <c:pt idx="26">
                        <c:v>558575.76632886869</c:v>
                      </c:pt>
                      <c:pt idx="27">
                        <c:v>2215929.0408905493</c:v>
                      </c:pt>
                      <c:pt idx="28">
                        <c:v>2852226.9285807782</c:v>
                      </c:pt>
                      <c:pt idx="29">
                        <c:v>1883337.6749337343</c:v>
                      </c:pt>
                      <c:pt idx="30">
                        <c:v>3929485.7747039669</c:v>
                      </c:pt>
                      <c:pt idx="31">
                        <c:v>3181898.8476802609</c:v>
                      </c:pt>
                    </c:numCache>
                  </c:numRef>
                </c:yVal>
                <c:smooth val="0"/>
                <c:extLst>
                  <c:ext xmlns:c16="http://schemas.microsoft.com/office/drawing/2014/chart" uri="{C3380CC4-5D6E-409C-BE32-E72D297353CC}">
                    <c16:uniqueId val="{00000000-D090-4EFB-ABF3-DB6DEE7B6828}"/>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'Snappers Complex'!$I$3</c15:sqref>
                        </c15:formulaRef>
                      </c:ext>
                    </c:extLst>
                    <c:strCache>
                      <c:ptCount val="1"/>
                      <c:pt idx="0">
                        <c:v>Total Orig FES</c:v>
                      </c:pt>
                    </c:strCache>
                  </c:strRef>
                </c:tx>
                <c:spPr>
                  <a:ln>
                    <a:solidFill>
                      <a:schemeClr val="accent2"/>
                    </a:solidFill>
                  </a:ln>
                </c:spPr>
                <c:marker>
                  <c:symbol val="x"/>
                  <c:size val="7"/>
                  <c:spPr>
                    <a:noFill/>
                    <a:ln>
                      <a:solidFill>
                        <a:schemeClr val="accent2"/>
                      </a:solidFill>
                    </a:ln>
                  </c:spPr>
                </c:marker>
                <c:xVal>
                  <c:numRef>
                    <c:extLst xmlns:c15="http://schemas.microsoft.com/office/drawing/2012/chart">
                      <c:ext xmlns:c15="http://schemas.microsoft.com/office/drawing/2012/chart" uri="{02D57815-91ED-43cb-92C2-25804820EDAC}">
                        <c15:formulaRef>
                          <c15:sqref>'Snappers Complex'!$H$4:$H$35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Complex'!$I$4:$I$35</c15:sqref>
                        </c15:formulaRef>
                      </c:ext>
                    </c:extLst>
                    <c:numCache>
                      <c:formatCode>#,##0</c:formatCode>
                      <c:ptCount val="32"/>
                      <c:pt idx="0">
                        <c:v>975343.35176215984</c:v>
                      </c:pt>
                      <c:pt idx="1">
                        <c:v>998431.76583675796</c:v>
                      </c:pt>
                      <c:pt idx="2">
                        <c:v>1583869.9070590003</c:v>
                      </c:pt>
                      <c:pt idx="3">
                        <c:v>1106571.97286149</c:v>
                      </c:pt>
                      <c:pt idx="4">
                        <c:v>1103047.8907729399</c:v>
                      </c:pt>
                      <c:pt idx="5">
                        <c:v>1678130.1935898997</c:v>
                      </c:pt>
                      <c:pt idx="6">
                        <c:v>1600315.4770114806</c:v>
                      </c:pt>
                      <c:pt idx="7">
                        <c:v>926929.98358992394</c:v>
                      </c:pt>
                      <c:pt idx="8">
                        <c:v>966030.65959538973</c:v>
                      </c:pt>
                      <c:pt idx="9">
                        <c:v>1196035.38069891</c:v>
                      </c:pt>
                      <c:pt idx="10">
                        <c:v>856034.41701681609</c:v>
                      </c:pt>
                      <c:pt idx="11">
                        <c:v>971526.58858554892</c:v>
                      </c:pt>
                      <c:pt idx="12">
                        <c:v>896142.00463168439</c:v>
                      </c:pt>
                      <c:pt idx="13">
                        <c:v>1649690.3975223012</c:v>
                      </c:pt>
                      <c:pt idx="14">
                        <c:v>1950827.1352892837</c:v>
                      </c:pt>
                      <c:pt idx="15">
                        <c:v>1181576.2834350804</c:v>
                      </c:pt>
                      <c:pt idx="16">
                        <c:v>1698262.1639960583</c:v>
                      </c:pt>
                      <c:pt idx="17">
                        <c:v>1588003.5912507887</c:v>
                      </c:pt>
                      <c:pt idx="18">
                        <c:v>1000050.806999926</c:v>
                      </c:pt>
                      <c:pt idx="19">
                        <c:v>1116634.2358871596</c:v>
                      </c:pt>
                      <c:pt idx="20">
                        <c:v>1191814.8811101208</c:v>
                      </c:pt>
                      <c:pt idx="21">
                        <c:v>1437037.1030567233</c:v>
                      </c:pt>
                      <c:pt idx="22">
                        <c:v>923065.00790669338</c:v>
                      </c:pt>
                      <c:pt idx="23">
                        <c:v>897182.02320099191</c:v>
                      </c:pt>
                      <c:pt idx="24">
                        <c:v>550924.74145659222</c:v>
                      </c:pt>
                      <c:pt idx="25">
                        <c:v>618882.84553722793</c:v>
                      </c:pt>
                      <c:pt idx="26">
                        <c:v>606312.10880836891</c:v>
                      </c:pt>
                      <c:pt idx="27">
                        <c:v>2103041.8675925503</c:v>
                      </c:pt>
                      <c:pt idx="28">
                        <c:v>2939597.7038302575</c:v>
                      </c:pt>
                      <c:pt idx="29">
                        <c:v>1752327.28883581</c:v>
                      </c:pt>
                      <c:pt idx="30">
                        <c:v>4113464.4224234056</c:v>
                      </c:pt>
                      <c:pt idx="31">
                        <c:v>3188207.1222692812</c:v>
                      </c:pt>
                    </c:numCache>
                  </c:numRef>
                </c:yVal>
                <c:smooth val="0"/>
                <c:extLst xmlns:c15="http://schemas.microsoft.com/office/drawing/2012/chart">
                  <c:ext xmlns:c16="http://schemas.microsoft.com/office/drawing/2014/chart" uri="{C3380CC4-5D6E-409C-BE32-E72D297353CC}">
                    <c16:uniqueId val="{00000001-188C-4BB3-B9C9-A1BF0F993AC6}"/>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'Snappers Complex'!$B$41</c15:sqref>
                        </c15:formulaRef>
                      </c:ext>
                    </c:extLst>
                    <c:strCache>
                      <c:ptCount val="1"/>
                      <c:pt idx="0">
                        <c:v>Old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'Snappers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Complex'!$B$42:$B$47</c15:sqref>
                        </c15:formulaRef>
                      </c:ext>
                    </c:extLst>
                    <c:numCache>
                      <c:formatCode>#,##0</c:formatCode>
                      <c:ptCount val="6"/>
                      <c:pt idx="0">
                        <c:v>1707594.3791254496</c:v>
                      </c:pt>
                      <c:pt idx="1">
                        <c:v>1707594.3791254496</c:v>
                      </c:pt>
                      <c:pt idx="2">
                        <c:v>1707594.3791254496</c:v>
                      </c:pt>
                      <c:pt idx="3">
                        <c:v>2336791.1606564098</c:v>
                      </c:pt>
                      <c:pt idx="4">
                        <c:v>2336791.1606564098</c:v>
                      </c:pt>
                      <c:pt idx="5">
                        <c:v>2336791.1606564098</c:v>
                      </c:pt>
                    </c:numCache>
                  </c:numRef>
                </c:yVal>
                <c:smooth val="0"/>
                <c:extLst xmlns:c15="http://schemas.microsoft.com/office/drawing/2012/chart">
                  <c:ext xmlns:c16="http://schemas.microsoft.com/office/drawing/2014/chart" uri="{C3380CC4-5D6E-409C-BE32-E72D297353CC}">
                    <c16:uniqueId val="{00000001-D090-4EFB-ABF3-DB6DEE7B6828}"/>
                  </c:ext>
                </c:extLst>
              </c15:ser>
            </c15:filteredScatterSeries>
            <c15:filteredScatterSeries>
              <c15:ser>
                <c:idx val="5"/>
                <c:order val="6"/>
                <c:tx>
                  <c:strRef>
                    <c:extLst xmlns:c15="http://schemas.microsoft.com/office/drawing/2012/chart">
                      <c:ext xmlns:c15="http://schemas.microsoft.com/office/drawing/2012/chart" uri="{02D57815-91ED-43cb-92C2-25804820EDAC}">
                        <c15:formulaRef>
                          <c15:sqref>'Snappers Complex'!$I$41</c15:sqref>
                        </c15:formulaRef>
                      </c:ext>
                    </c:extLst>
                    <c:strCache>
                      <c:ptCount val="1"/>
                      <c:pt idx="0">
                        <c:v>New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'Snappers Complex'!$H$42:$H$47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Complex'!$I$42:$I$47</c15:sqref>
                        </c15:formulaRef>
                      </c:ext>
                    </c:extLst>
                    <c:numCache>
                      <c:formatCode>#,##0</c:formatCode>
                      <c:ptCount val="6"/>
                      <c:pt idx="0">
                        <c:v>1649690.3975223012</c:v>
                      </c:pt>
                      <c:pt idx="1">
                        <c:v>1649690.3975223012</c:v>
                      </c:pt>
                      <c:pt idx="2">
                        <c:v>1649690.3975223012</c:v>
                      </c:pt>
                      <c:pt idx="3">
                        <c:v>2340992.5623471406</c:v>
                      </c:pt>
                      <c:pt idx="4">
                        <c:v>2340992.5623471406</c:v>
                      </c:pt>
                      <c:pt idx="5">
                        <c:v>2340992.5623471406</c:v>
                      </c:pt>
                    </c:numCache>
                  </c:numRef>
                </c:yVal>
                <c:smooth val="0"/>
                <c:extLst xmlns:c15="http://schemas.microsoft.com/office/drawing/2012/chart">
                  <c:ext xmlns:c16="http://schemas.microsoft.com/office/drawing/2014/chart" uri="{C3380CC4-5D6E-409C-BE32-E72D297353CC}">
                    <c16:uniqueId val="{00000003-188C-4BB3-B9C9-A1BF0F993AC6}"/>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max val="4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Orig FES Snappers Landings</a:t>
            </a:r>
          </a:p>
        </c:rich>
      </c:tx>
      <c:overlay val="0"/>
    </c:title>
    <c:autoTitleDeleted val="0"/>
    <c:plotArea>
      <c:layout/>
      <c:scatterChart>
        <c:scatterStyle val="lineMarker"/>
        <c:varyColors val="0"/>
        <c:ser>
          <c:idx val="0"/>
          <c:order val="0"/>
          <c:tx>
            <c:strRef>
              <c:f>'Snappers Complex'!$I$2</c:f>
              <c:strCache>
                <c:ptCount val="1"/>
                <c:pt idx="0">
                  <c:v>Gray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Complex'!$I$4:$I$35</c:f>
              <c:numCache>
                <c:formatCode>#,##0</c:formatCode>
                <c:ptCount val="32"/>
                <c:pt idx="0">
                  <c:v>975343.35176215984</c:v>
                </c:pt>
                <c:pt idx="1">
                  <c:v>998431.76583675796</c:v>
                </c:pt>
                <c:pt idx="2">
                  <c:v>1583869.9070590003</c:v>
                </c:pt>
                <c:pt idx="3">
                  <c:v>1106571.97286149</c:v>
                </c:pt>
                <c:pt idx="4">
                  <c:v>1103047.8907729399</c:v>
                </c:pt>
                <c:pt idx="5">
                  <c:v>1678130.1935898997</c:v>
                </c:pt>
                <c:pt idx="6">
                  <c:v>1600315.4770114806</c:v>
                </c:pt>
                <c:pt idx="7">
                  <c:v>926929.98358992394</c:v>
                </c:pt>
                <c:pt idx="8">
                  <c:v>966030.65959538973</c:v>
                </c:pt>
                <c:pt idx="9">
                  <c:v>1196035.38069891</c:v>
                </c:pt>
                <c:pt idx="10">
                  <c:v>856034.41701681609</c:v>
                </c:pt>
                <c:pt idx="11">
                  <c:v>971526.58858554892</c:v>
                </c:pt>
                <c:pt idx="12">
                  <c:v>896142.00463168439</c:v>
                </c:pt>
                <c:pt idx="13">
                  <c:v>1649690.3975223012</c:v>
                </c:pt>
                <c:pt idx="14">
                  <c:v>1950827.1352892837</c:v>
                </c:pt>
                <c:pt idx="15">
                  <c:v>1181576.2834350804</c:v>
                </c:pt>
                <c:pt idx="16">
                  <c:v>1698262.1639960583</c:v>
                </c:pt>
                <c:pt idx="17">
                  <c:v>1588003.5912507887</c:v>
                </c:pt>
                <c:pt idx="18">
                  <c:v>1000050.806999926</c:v>
                </c:pt>
                <c:pt idx="19">
                  <c:v>1116634.2358871596</c:v>
                </c:pt>
                <c:pt idx="20">
                  <c:v>1191814.8811101208</c:v>
                </c:pt>
                <c:pt idx="21">
                  <c:v>1437037.1030567233</c:v>
                </c:pt>
                <c:pt idx="22">
                  <c:v>923065.00790669338</c:v>
                </c:pt>
                <c:pt idx="23">
                  <c:v>897182.02320099191</c:v>
                </c:pt>
                <c:pt idx="24">
                  <c:v>550924.74145659222</c:v>
                </c:pt>
                <c:pt idx="25">
                  <c:v>618882.84553722793</c:v>
                </c:pt>
                <c:pt idx="26">
                  <c:v>606312.10880836891</c:v>
                </c:pt>
                <c:pt idx="27">
                  <c:v>2103041.8675925503</c:v>
                </c:pt>
                <c:pt idx="28">
                  <c:v>2939597.7038302575</c:v>
                </c:pt>
                <c:pt idx="29">
                  <c:v>1752327.28883581</c:v>
                </c:pt>
                <c:pt idx="30">
                  <c:v>4113464.4224234056</c:v>
                </c:pt>
                <c:pt idx="31">
                  <c:v>3188207.1222692812</c:v>
                </c:pt>
              </c:numCache>
            </c:numRef>
          </c:yVal>
          <c:smooth val="0"/>
          <c:extLst>
            <c:ext xmlns:c16="http://schemas.microsoft.com/office/drawing/2014/chart" uri="{C3380CC4-5D6E-409C-BE32-E72D297353CC}">
              <c16:uniqueId val="{00000000-FC97-4B09-A3B3-B5A1109F66B8}"/>
            </c:ext>
          </c:extLst>
        </c:ser>
        <c:ser>
          <c:idx val="1"/>
          <c:order val="1"/>
          <c:tx>
            <c:strRef>
              <c:f>'Snappers Complex'!$J$2</c:f>
              <c:strCache>
                <c:ptCount val="1"/>
                <c:pt idx="0">
                  <c:v>Lane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Complex'!$J$4:$J$35</c:f>
              <c:numCache>
                <c:formatCode>#,##0</c:formatCode>
                <c:ptCount val="32"/>
                <c:pt idx="0">
                  <c:v>98466.935981899995</c:v>
                </c:pt>
                <c:pt idx="1">
                  <c:v>220620.74456900003</c:v>
                </c:pt>
                <c:pt idx="2">
                  <c:v>219978.78372830997</c:v>
                </c:pt>
                <c:pt idx="3">
                  <c:v>275828.17498739995</c:v>
                </c:pt>
                <c:pt idx="4">
                  <c:v>109738.17217172997</c:v>
                </c:pt>
                <c:pt idx="5">
                  <c:v>171485.70561690006</c:v>
                </c:pt>
                <c:pt idx="6">
                  <c:v>159492.27902093003</c:v>
                </c:pt>
                <c:pt idx="7">
                  <c:v>191787.58854641</c:v>
                </c:pt>
                <c:pt idx="8">
                  <c:v>134661.67887548002</c:v>
                </c:pt>
                <c:pt idx="9">
                  <c:v>111827.00694138801</c:v>
                </c:pt>
                <c:pt idx="10">
                  <c:v>111707.91492649</c:v>
                </c:pt>
                <c:pt idx="11">
                  <c:v>140850.99575268998</c:v>
                </c:pt>
                <c:pt idx="12">
                  <c:v>120544.97035701203</c:v>
                </c:pt>
                <c:pt idx="13">
                  <c:v>212748.68030181588</c:v>
                </c:pt>
                <c:pt idx="14">
                  <c:v>278320.64280462387</c:v>
                </c:pt>
                <c:pt idx="15">
                  <c:v>306382.69572570879</c:v>
                </c:pt>
                <c:pt idx="16">
                  <c:v>244330.98135973996</c:v>
                </c:pt>
                <c:pt idx="17">
                  <c:v>322544.70804340485</c:v>
                </c:pt>
                <c:pt idx="18">
                  <c:v>139368.99579653761</c:v>
                </c:pt>
                <c:pt idx="19">
                  <c:v>204966.87217096309</c:v>
                </c:pt>
                <c:pt idx="20">
                  <c:v>144141.59802695393</c:v>
                </c:pt>
                <c:pt idx="21">
                  <c:v>160622.0146986749</c:v>
                </c:pt>
                <c:pt idx="22">
                  <c:v>144621.28706763891</c:v>
                </c:pt>
                <c:pt idx="23">
                  <c:v>113699.07461037998</c:v>
                </c:pt>
                <c:pt idx="24">
                  <c:v>53358.724294073283</c:v>
                </c:pt>
                <c:pt idx="25">
                  <c:v>64215.344283489991</c:v>
                </c:pt>
                <c:pt idx="26">
                  <c:v>92373.638970981963</c:v>
                </c:pt>
                <c:pt idx="27">
                  <c:v>202456.94651098902</c:v>
                </c:pt>
                <c:pt idx="28">
                  <c:v>264235.93607674027</c:v>
                </c:pt>
                <c:pt idx="29">
                  <c:v>150962.38352636198</c:v>
                </c:pt>
                <c:pt idx="30">
                  <c:v>195551.96447200605</c:v>
                </c:pt>
                <c:pt idx="31">
                  <c:v>160925.66482751805</c:v>
                </c:pt>
              </c:numCache>
            </c:numRef>
          </c:yVal>
          <c:smooth val="0"/>
          <c:extLst>
            <c:ext xmlns:c16="http://schemas.microsoft.com/office/drawing/2014/chart" uri="{C3380CC4-5D6E-409C-BE32-E72D297353CC}">
              <c16:uniqueId val="{00000001-FC97-4B09-A3B3-B5A1109F66B8}"/>
            </c:ext>
          </c:extLst>
        </c:ser>
        <c:ser>
          <c:idx val="2"/>
          <c:order val="2"/>
          <c:tx>
            <c:strRef>
              <c:f>'Snappers Complex'!$K$2</c:f>
              <c:strCache>
                <c:ptCount val="1"/>
                <c:pt idx="0">
                  <c:v>Cubera Snapper</c:v>
                </c:pt>
              </c:strCache>
            </c:strRef>
          </c:tx>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Complex'!$K$4:$K$35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336470.25228609983</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46861.552826830004</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613759.93731259985</c:v>
                </c:pt>
              </c:numCache>
            </c:numRef>
          </c:yVal>
          <c:smooth val="0"/>
          <c:extLst>
            <c:ext xmlns:c16="http://schemas.microsoft.com/office/drawing/2014/chart" uri="{C3380CC4-5D6E-409C-BE32-E72D297353CC}">
              <c16:uniqueId val="{00000002-FC97-4B09-A3B3-B5A1109F66B8}"/>
            </c:ext>
          </c:extLst>
        </c:ser>
        <c:ser>
          <c:idx val="5"/>
          <c:order val="3"/>
          <c:tx>
            <c:strRef>
              <c:f>'Snappers Complex'!$L$3</c:f>
              <c:strCache>
                <c:ptCount val="1"/>
                <c:pt idx="0">
                  <c:v>Total</c:v>
                </c:pt>
              </c:strCache>
            </c:strRef>
          </c:tx>
          <c:spPr>
            <a:ln>
              <a:solidFill>
                <a:schemeClr val="tx2"/>
              </a:solidFill>
            </a:ln>
          </c:spPr>
          <c:marker>
            <c:symbol val="star"/>
            <c:size val="7"/>
            <c:spPr>
              <a:ln>
                <a:solidFill>
                  <a:srgbClr val="FF0000"/>
                </a:solidFill>
              </a:ln>
            </c:spPr>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Complex'!$L$4:$L$35</c:f>
              <c:numCache>
                <c:formatCode>#,##0</c:formatCode>
                <c:ptCount val="32"/>
                <c:pt idx="0">
                  <c:v>2000914.91716816</c:v>
                </c:pt>
                <c:pt idx="1">
                  <c:v>1222111.499807758</c:v>
                </c:pt>
                <c:pt idx="2">
                  <c:v>2010128.7395177102</c:v>
                </c:pt>
                <c:pt idx="3">
                  <c:v>1394457.89371119</c:v>
                </c:pt>
                <c:pt idx="4">
                  <c:v>1268453.1672426697</c:v>
                </c:pt>
                <c:pt idx="5">
                  <c:v>2095189.1121992997</c:v>
                </c:pt>
                <c:pt idx="6">
                  <c:v>1772213.6706524105</c:v>
                </c:pt>
                <c:pt idx="7">
                  <c:v>1455187.8244224337</c:v>
                </c:pt>
                <c:pt idx="8">
                  <c:v>1155125.1934828698</c:v>
                </c:pt>
                <c:pt idx="9">
                  <c:v>1963073.7090662983</c:v>
                </c:pt>
                <c:pt idx="10">
                  <c:v>992802.18597800611</c:v>
                </c:pt>
                <c:pt idx="11">
                  <c:v>1127859.6607108389</c:v>
                </c:pt>
                <c:pt idx="12">
                  <c:v>1043351.1047691264</c:v>
                </c:pt>
                <c:pt idx="13">
                  <c:v>1883937.4182641171</c:v>
                </c:pt>
                <c:pt idx="14">
                  <c:v>2464478.2407553336</c:v>
                </c:pt>
                <c:pt idx="15">
                  <c:v>1570321.2442144093</c:v>
                </c:pt>
                <c:pt idx="16">
                  <c:v>1979899.0958211182</c:v>
                </c:pt>
                <c:pt idx="17">
                  <c:v>1963993.4703081935</c:v>
                </c:pt>
                <c:pt idx="18">
                  <c:v>1152989.6674227635</c:v>
                </c:pt>
                <c:pt idx="19">
                  <c:v>1325901.1750713226</c:v>
                </c:pt>
                <c:pt idx="20">
                  <c:v>1345210.3895215148</c:v>
                </c:pt>
                <c:pt idx="21">
                  <c:v>1614408.0168231982</c:v>
                </c:pt>
                <c:pt idx="22">
                  <c:v>1133677.3341953321</c:v>
                </c:pt>
                <c:pt idx="23">
                  <c:v>1057742.650638202</c:v>
                </c:pt>
                <c:pt idx="24">
                  <c:v>612540.63134806557</c:v>
                </c:pt>
                <c:pt idx="25">
                  <c:v>795602.02185511787</c:v>
                </c:pt>
                <c:pt idx="26">
                  <c:v>741258.35754315089</c:v>
                </c:pt>
                <c:pt idx="27">
                  <c:v>2321373.5668467395</c:v>
                </c:pt>
                <c:pt idx="28">
                  <c:v>3287648.9427949977</c:v>
                </c:pt>
                <c:pt idx="29">
                  <c:v>1913505.1314669719</c:v>
                </c:pt>
                <c:pt idx="30">
                  <c:v>4315507.5015632119</c:v>
                </c:pt>
                <c:pt idx="31">
                  <c:v>3962892.7244093991</c:v>
                </c:pt>
              </c:numCache>
            </c:numRef>
          </c:yVal>
          <c:smooth val="0"/>
          <c:extLst>
            <c:ext xmlns:c16="http://schemas.microsoft.com/office/drawing/2014/chart" uri="{C3380CC4-5D6E-409C-BE32-E72D297353CC}">
              <c16:uniqueId val="{00000003-FC97-4B09-A3B3-B5A1109F66B8}"/>
            </c:ext>
          </c:extLst>
        </c:ser>
        <c:ser>
          <c:idx val="6"/>
          <c:order val="4"/>
          <c:tx>
            <c:strRef>
              <c:f>'Snappers Complex'!$M$3</c:f>
              <c:strCache>
                <c:ptCount val="1"/>
                <c:pt idx="0">
                  <c:v>Orig FES ABC/ACL</c:v>
                </c:pt>
              </c:strCache>
            </c:strRef>
          </c:tx>
          <c:spPr>
            <a:ln w="38100">
              <a:solidFill>
                <a:schemeClr val="tx1"/>
              </a:solidFill>
            </a:ln>
          </c:spPr>
          <c:marker>
            <c:symbol val="none"/>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Complex'!$M$4:$M$35</c:f>
              <c:numCache>
                <c:formatCode>#,##0</c:formatCode>
                <c:ptCount val="32"/>
                <c:pt idx="26">
                  <c:v>1981456.211340925</c:v>
                </c:pt>
                <c:pt idx="27">
                  <c:v>1981456.211340925</c:v>
                </c:pt>
                <c:pt idx="28">
                  <c:v>1981456.211340925</c:v>
                </c:pt>
                <c:pt idx="29">
                  <c:v>3010442.7671929374</c:v>
                </c:pt>
                <c:pt idx="30">
                  <c:v>3010442.7671929374</c:v>
                </c:pt>
                <c:pt idx="31">
                  <c:v>3010442.7671929374</c:v>
                </c:pt>
              </c:numCache>
            </c:numRef>
          </c:yVal>
          <c:smooth val="0"/>
          <c:extLst>
            <c:ext xmlns:c16="http://schemas.microsoft.com/office/drawing/2014/chart" uri="{C3380CC4-5D6E-409C-BE32-E72D297353CC}">
              <c16:uniqueId val="{00000004-FC97-4B09-A3B3-B5A1109F66B8}"/>
            </c:ext>
          </c:extLst>
        </c:ser>
        <c:dLbls>
          <c:showLegendKey val="0"/>
          <c:showVal val="0"/>
          <c:showCatName val="0"/>
          <c:showSerName val="0"/>
          <c:showPercent val="0"/>
          <c:showBubbleSize val="0"/>
        </c:dLbls>
        <c:axId val="343044608"/>
        <c:axId val="343045184"/>
      </c:scatterChart>
      <c:valAx>
        <c:axId val="34304460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045184"/>
        <c:crosses val="autoZero"/>
        <c:crossBetween val="midCat"/>
      </c:valAx>
      <c:valAx>
        <c:axId val="343045184"/>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4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'Bar Jack'!$E$3</c:f>
              <c:strCache>
                <c:ptCount val="1"/>
                <c:pt idx="0">
                  <c:v>New Wgt Rec</c:v>
                </c:pt>
              </c:strCache>
            </c:strRef>
          </c:tx>
          <c:spPr>
            <a:ln>
              <a:solidFill>
                <a:schemeClr val="accent5"/>
              </a:solidFill>
            </a:ln>
          </c:spPr>
          <c:marker>
            <c:spPr>
              <a:solidFill>
                <a:schemeClr val="accent5"/>
              </a:solidFill>
              <a:ln>
                <a:solidFill>
                  <a:schemeClr val="accent5"/>
                </a:solidFill>
              </a:ln>
            </c:spPr>
          </c:marker>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Jack'!$E$4:$E$35</c:f>
              <c:numCache>
                <c:formatCode>#,##0</c:formatCode>
                <c:ptCount val="32"/>
                <c:pt idx="0">
                  <c:v>337452.12597887998</c:v>
                </c:pt>
                <c:pt idx="1">
                  <c:v>10694.389373652</c:v>
                </c:pt>
                <c:pt idx="2">
                  <c:v>572.70215473499991</c:v>
                </c:pt>
                <c:pt idx="3">
                  <c:v>116067.91357132999</c:v>
                </c:pt>
                <c:pt idx="4">
                  <c:v>111169.57975139997</c:v>
                </c:pt>
                <c:pt idx="5">
                  <c:v>6736.2905814000014</c:v>
                </c:pt>
                <c:pt idx="6">
                  <c:v>4826.1696160600004</c:v>
                </c:pt>
                <c:pt idx="7">
                  <c:v>29819.479935815009</c:v>
                </c:pt>
                <c:pt idx="8">
                  <c:v>32303.38658052999</c:v>
                </c:pt>
                <c:pt idx="9">
                  <c:v>514.7741000000002</c:v>
                </c:pt>
                <c:pt idx="10">
                  <c:v>3160.2411384360003</c:v>
                </c:pt>
                <c:pt idx="11">
                  <c:v>57448.901046070001</c:v>
                </c:pt>
                <c:pt idx="12">
                  <c:v>26040.778905127001</c:v>
                </c:pt>
                <c:pt idx="13">
                  <c:v>36318.148918909996</c:v>
                </c:pt>
                <c:pt idx="14">
                  <c:v>35958.849663230001</c:v>
                </c:pt>
                <c:pt idx="15">
                  <c:v>32761.978897199013</c:v>
                </c:pt>
                <c:pt idx="16">
                  <c:v>6759.5704795350011</c:v>
                </c:pt>
                <c:pt idx="17">
                  <c:v>1119.4035410199999</c:v>
                </c:pt>
                <c:pt idx="18">
                  <c:v>8598.624959013001</c:v>
                </c:pt>
                <c:pt idx="19">
                  <c:v>55070.792987823996</c:v>
                </c:pt>
                <c:pt idx="20">
                  <c:v>1431.5737509450003</c:v>
                </c:pt>
                <c:pt idx="21">
                  <c:v>8198.2879800999999</c:v>
                </c:pt>
                <c:pt idx="22">
                  <c:v>2921.1878523639994</c:v>
                </c:pt>
                <c:pt idx="23">
                  <c:v>17804.334280600007</c:v>
                </c:pt>
                <c:pt idx="24">
                  <c:v>372.81108760000001</c:v>
                </c:pt>
                <c:pt idx="25">
                  <c:v>61781.380477899998</c:v>
                </c:pt>
                <c:pt idx="26">
                  <c:v>2569.78348693</c:v>
                </c:pt>
                <c:pt idx="27">
                  <c:v>5499.3324499000009</c:v>
                </c:pt>
                <c:pt idx="28">
                  <c:v>3137.6339698499974</c:v>
                </c:pt>
                <c:pt idx="29">
                  <c:v>17996.357029899998</c:v>
                </c:pt>
                <c:pt idx="30">
                  <c:v>5533.9084897599987</c:v>
                </c:pt>
                <c:pt idx="31">
                  <c:v>61139.397924599973</c:v>
                </c:pt>
              </c:numCache>
            </c:numRef>
          </c:yVal>
          <c:smooth val="0"/>
          <c:extLst>
            <c:ext xmlns:c16="http://schemas.microsoft.com/office/drawing/2014/chart" uri="{C3380CC4-5D6E-409C-BE32-E72D297353CC}">
              <c16:uniqueId val="{00000002-F830-495C-8E8A-36B4C39AF176}"/>
            </c:ext>
          </c:extLst>
        </c:ser>
        <c:ser>
          <c:idx val="4"/>
          <c:order val="1"/>
          <c:tx>
            <c:strRef>
              <c:f>'Bar Jack'!$H$3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Jack'!$H$4:$H$35</c:f>
              <c:numCache>
                <c:formatCode>#,##0</c:formatCode>
                <c:ptCount val="32"/>
                <c:pt idx="0">
                  <c:v>336689.22376253002</c:v>
                </c:pt>
                <c:pt idx="1">
                  <c:v>7133.9755762660016</c:v>
                </c:pt>
                <c:pt idx="2">
                  <c:v>572.00086714899999</c:v>
                </c:pt>
                <c:pt idx="3">
                  <c:v>155074.47161339998</c:v>
                </c:pt>
                <c:pt idx="4">
                  <c:v>110918.65838929998</c:v>
                </c:pt>
                <c:pt idx="5">
                  <c:v>6721.7134702000021</c:v>
                </c:pt>
                <c:pt idx="6">
                  <c:v>4822.30233486</c:v>
                </c:pt>
                <c:pt idx="7">
                  <c:v>36951.960211379977</c:v>
                </c:pt>
                <c:pt idx="8">
                  <c:v>36660.070234129984</c:v>
                </c:pt>
                <c:pt idx="9">
                  <c:v>514.7741000000002</c:v>
                </c:pt>
                <c:pt idx="10">
                  <c:v>3154.7766101400002</c:v>
                </c:pt>
                <c:pt idx="11">
                  <c:v>62321.124329409999</c:v>
                </c:pt>
                <c:pt idx="12">
                  <c:v>25985.953514713001</c:v>
                </c:pt>
                <c:pt idx="13">
                  <c:v>40968.286830629993</c:v>
                </c:pt>
                <c:pt idx="14">
                  <c:v>35878.668889300003</c:v>
                </c:pt>
                <c:pt idx="15">
                  <c:v>38077.230833782975</c:v>
                </c:pt>
                <c:pt idx="16">
                  <c:v>6748.897909579</c:v>
                </c:pt>
                <c:pt idx="17">
                  <c:v>1117.7973668499999</c:v>
                </c:pt>
                <c:pt idx="18">
                  <c:v>8579.8730019710019</c:v>
                </c:pt>
                <c:pt idx="19">
                  <c:v>43686.381569555997</c:v>
                </c:pt>
                <c:pt idx="20">
                  <c:v>1429.2806982510003</c:v>
                </c:pt>
                <c:pt idx="21">
                  <c:v>8180.3194002000009</c:v>
                </c:pt>
                <c:pt idx="22">
                  <c:v>2914.7333260259993</c:v>
                </c:pt>
                <c:pt idx="23">
                  <c:v>17764.872192600007</c:v>
                </c:pt>
                <c:pt idx="24">
                  <c:v>372.81108760000001</c:v>
                </c:pt>
                <c:pt idx="25">
                  <c:v>118075.21331019999</c:v>
                </c:pt>
                <c:pt idx="26">
                  <c:v>2566.0010975499999</c:v>
                </c:pt>
                <c:pt idx="27">
                  <c:v>5488.961884100001</c:v>
                </c:pt>
                <c:pt idx="28">
                  <c:v>3132.8632690299974</c:v>
                </c:pt>
                <c:pt idx="29">
                  <c:v>17956.817648099997</c:v>
                </c:pt>
                <c:pt idx="30">
                  <c:v>5521.7318729299986</c:v>
                </c:pt>
                <c:pt idx="31">
                  <c:v>61001.747967199975</c:v>
                </c:pt>
              </c:numCache>
            </c:numRef>
          </c:yVal>
          <c:smooth val="0"/>
          <c:extLst>
            <c:ext xmlns:c16="http://schemas.microsoft.com/office/drawing/2014/chart" uri="{C3380CC4-5D6E-409C-BE32-E72D297353CC}">
              <c16:uniqueId val="{00000004-F830-495C-8E8A-36B4C39AF176}"/>
            </c:ext>
          </c:extLst>
        </c:ser>
        <c:ser>
          <c:idx val="0"/>
          <c:order val="2"/>
          <c:tx>
            <c:strRef>
              <c:f>'Bar Jack'!$AA$34</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'Bar Jack'!$S$35:$S$66</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'Bar Jack'!$AA$35:$AA$66</c:f>
              <c:numCache>
                <c:formatCode>#,##0</c:formatCode>
                <c:ptCount val="32"/>
                <c:pt idx="0">
                  <c:v>375437.00092303118</c:v>
                </c:pt>
                <c:pt idx="1">
                  <c:v>7882.2618337037911</c:v>
                </c:pt>
                <c:pt idx="3">
                  <c:v>152755.57076932996</c:v>
                </c:pt>
                <c:pt idx="4">
                  <c:v>76900.602414806781</c:v>
                </c:pt>
                <c:pt idx="5">
                  <c:v>2607.9599239730196</c:v>
                </c:pt>
                <c:pt idx="6">
                  <c:v>3940.0616702989673</c:v>
                </c:pt>
                <c:pt idx="7">
                  <c:v>20057.271695095849</c:v>
                </c:pt>
                <c:pt idx="8">
                  <c:v>22501.675585402081</c:v>
                </c:pt>
                <c:pt idx="9">
                  <c:v>514.7741000000002</c:v>
                </c:pt>
                <c:pt idx="10">
                  <c:v>10962.178067112569</c:v>
                </c:pt>
                <c:pt idx="11">
                  <c:v>26465.651208026269</c:v>
                </c:pt>
                <c:pt idx="12">
                  <c:v>15387.835290783814</c:v>
                </c:pt>
                <c:pt idx="13">
                  <c:v>55701.14436193867</c:v>
                </c:pt>
                <c:pt idx="14">
                  <c:v>23360.090624191213</c:v>
                </c:pt>
                <c:pt idx="15">
                  <c:v>32261.940144920998</c:v>
                </c:pt>
                <c:pt idx="16">
                  <c:v>6011.4611379477637</c:v>
                </c:pt>
                <c:pt idx="17">
                  <c:v>765.58401599898264</c:v>
                </c:pt>
                <c:pt idx="18">
                  <c:v>8271.5348275359775</c:v>
                </c:pt>
                <c:pt idx="19">
                  <c:v>45706.315159905549</c:v>
                </c:pt>
                <c:pt idx="20">
                  <c:v>653.07621991593464</c:v>
                </c:pt>
                <c:pt idx="21">
                  <c:v>2097.906877887815</c:v>
                </c:pt>
                <c:pt idx="22">
                  <c:v>3433.1410105721534</c:v>
                </c:pt>
                <c:pt idx="23">
                  <c:v>37388.349639196109</c:v>
                </c:pt>
                <c:pt idx="24">
                  <c:v>372.81108760000001</c:v>
                </c:pt>
                <c:pt idx="25">
                  <c:v>62253.915836965658</c:v>
                </c:pt>
                <c:pt idx="26">
                  <c:v>1940.7104996844118</c:v>
                </c:pt>
                <c:pt idx="27">
                  <c:v>2392.9684717329892</c:v>
                </c:pt>
                <c:pt idx="28">
                  <c:v>2214.8717118935028</c:v>
                </c:pt>
                <c:pt idx="29">
                  <c:v>20812.451344421057</c:v>
                </c:pt>
                <c:pt idx="30">
                  <c:v>6184.8595288300112</c:v>
                </c:pt>
                <c:pt idx="31">
                  <c:v>93188.253754886377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F830-495C-8E8A-36B4C39AF176}"/>
            </c:ext>
          </c:extLst>
        </c:ser>
        <c:ser>
          <c:idx val="2"/>
          <c:order val="3"/>
          <c:tx>
            <c:strRef>
              <c:f>'Bar Jack'!$F$3</c:f>
              <c:strCache>
                <c:ptCount val="1"/>
                <c:pt idx="0">
                  <c:v>Commercial</c:v>
                </c:pt>
              </c:strCache>
            </c:strRef>
          </c:tx>
          <c:xVal>
            <c:numRef>
              <c:f>'Bar Jack'!$C$4:$C$35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'Bar Jack'!$F$4:$F$35</c:f>
              <c:numCache>
                <c:formatCode>#,##0</c:formatCode>
                <c:ptCount val="32"/>
                <c:pt idx="6">
                  <c:v>7</c:v>
                </c:pt>
                <c:pt idx="7">
                  <c:v>102</c:v>
                </c:pt>
                <c:pt idx="8">
                  <c:v>1078</c:v>
                </c:pt>
                <c:pt idx="9">
                  <c:v>5296</c:v>
                </c:pt>
                <c:pt idx="10">
                  <c:v>4318</c:v>
                </c:pt>
                <c:pt idx="11">
                  <c:v>2739</c:v>
                </c:pt>
                <c:pt idx="12">
                  <c:v>1181</c:v>
                </c:pt>
                <c:pt idx="13">
                  <c:v>1951</c:v>
                </c:pt>
                <c:pt idx="14">
                  <c:v>2841</c:v>
                </c:pt>
                <c:pt idx="15">
                  <c:v>6254</c:v>
                </c:pt>
                <c:pt idx="16">
                  <c:v>4051</c:v>
                </c:pt>
                <c:pt idx="17">
                  <c:v>3037</c:v>
                </c:pt>
                <c:pt idx="18">
                  <c:v>7830</c:v>
                </c:pt>
                <c:pt idx="19">
                  <c:v>3464</c:v>
                </c:pt>
                <c:pt idx="20">
                  <c:v>4051</c:v>
                </c:pt>
                <c:pt idx="21">
                  <c:v>6752</c:v>
                </c:pt>
                <c:pt idx="22">
                  <c:v>4010</c:v>
                </c:pt>
                <c:pt idx="23">
                  <c:v>4365</c:v>
                </c:pt>
                <c:pt idx="24">
                  <c:v>3417</c:v>
                </c:pt>
                <c:pt idx="25">
                  <c:v>4759</c:v>
                </c:pt>
                <c:pt idx="26">
                  <c:v>4072</c:v>
                </c:pt>
                <c:pt idx="27">
                  <c:v>5690</c:v>
                </c:pt>
                <c:pt idx="28">
                  <c:v>4803</c:v>
                </c:pt>
                <c:pt idx="29">
                  <c:v>2887</c:v>
                </c:pt>
                <c:pt idx="30">
                  <c:v>1882</c:v>
                </c:pt>
                <c:pt idx="31">
                  <c:v>740</c:v>
                </c:pt>
              </c:numCache>
            </c:numRef>
          </c:yVal>
          <c:smooth val="0"/>
          <c:extLst>
            <c:ext xmlns:c16="http://schemas.microsoft.com/office/drawing/2014/chart" uri="{C3380CC4-5D6E-409C-BE32-E72D297353CC}">
              <c16:uniqueId val="{00000001-F830-495C-8E8A-36B4C39AF176}"/>
            </c:ext>
          </c:extLst>
        </c:ser>
        <c:dLbls>
          <c:showLegendKey val="0"/>
          <c:showVal val="0"/>
          <c:showCatName val="0"/>
          <c:showSerName val="0"/>
          <c:showPercent val="0"/>
          <c:showBubbleSize val="0"/>
        </c:dLbls>
        <c:axId val="338518016"/>
        <c:axId val="338518592"/>
        <c:extLst/>
      </c:scatterChart>
      <c:valAx>
        <c:axId val="33851801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18592"/>
        <c:crosses val="autoZero"/>
        <c:crossBetween val="midCat"/>
      </c:valAx>
      <c:valAx>
        <c:axId val="33851859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1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2"/>
          <c:order val="1"/>
          <c:tx>
            <c:strRef>
              <c:f>'Snappers Complex'!$X$3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Complex'!$X$4:$X$35</c:f>
              <c:numCache>
                <c:formatCode>#,##0</c:formatCode>
                <c:ptCount val="32"/>
                <c:pt idx="0">
                  <c:v>70510.986927499995</c:v>
                </c:pt>
                <c:pt idx="1">
                  <c:v>175928.74456900003</c:v>
                </c:pt>
                <c:pt idx="2">
                  <c:v>218599.53684817994</c:v>
                </c:pt>
                <c:pt idx="3">
                  <c:v>256267.34755339992</c:v>
                </c:pt>
                <c:pt idx="4">
                  <c:v>97573.047166079967</c:v>
                </c:pt>
                <c:pt idx="5">
                  <c:v>134742.47001900006</c:v>
                </c:pt>
                <c:pt idx="6">
                  <c:v>122984.50396001001</c:v>
                </c:pt>
                <c:pt idx="7">
                  <c:v>169229.20734440995</c:v>
                </c:pt>
                <c:pt idx="8">
                  <c:v>101486.25837222002</c:v>
                </c:pt>
                <c:pt idx="9">
                  <c:v>85165.510384188005</c:v>
                </c:pt>
                <c:pt idx="10">
                  <c:v>77066.906975270016</c:v>
                </c:pt>
                <c:pt idx="11">
                  <c:v>107024.94457294999</c:v>
                </c:pt>
                <c:pt idx="12">
                  <c:v>97633.338205812019</c:v>
                </c:pt>
                <c:pt idx="13">
                  <c:v>174753.37362071592</c:v>
                </c:pt>
                <c:pt idx="14">
                  <c:v>308564.169827645</c:v>
                </c:pt>
                <c:pt idx="15">
                  <c:v>277181.78509271593</c:v>
                </c:pt>
                <c:pt idx="16">
                  <c:v>225426.19369663898</c:v>
                </c:pt>
                <c:pt idx="17">
                  <c:v>330676.09093260486</c:v>
                </c:pt>
                <c:pt idx="18">
                  <c:v>113243.40475688862</c:v>
                </c:pt>
                <c:pt idx="19">
                  <c:v>196124.43768056307</c:v>
                </c:pt>
                <c:pt idx="20">
                  <c:v>133734.54860109391</c:v>
                </c:pt>
                <c:pt idx="21">
                  <c:v>152109.68370025494</c:v>
                </c:pt>
                <c:pt idx="22">
                  <c:v>143716.04143681895</c:v>
                </c:pt>
                <c:pt idx="23">
                  <c:v>119635.04969450996</c:v>
                </c:pt>
                <c:pt idx="24">
                  <c:v>49673.190681373286</c:v>
                </c:pt>
                <c:pt idx="25">
                  <c:v>65808.469726989977</c:v>
                </c:pt>
                <c:pt idx="26">
                  <c:v>93080.40036263199</c:v>
                </c:pt>
                <c:pt idx="27">
                  <c:v>190552.72169237808</c:v>
                </c:pt>
                <c:pt idx="28">
                  <c:v>307129.48830796516</c:v>
                </c:pt>
                <c:pt idx="29">
                  <c:v>143030.61572458898</c:v>
                </c:pt>
                <c:pt idx="30">
                  <c:v>190862.90094490608</c:v>
                </c:pt>
                <c:pt idx="31">
                  <c:v>151721.76674494802</c:v>
                </c:pt>
              </c:numCache>
            </c:numRef>
          </c:yVal>
          <c:smooth val="0"/>
          <c:extLst>
            <c:ext xmlns:c16="http://schemas.microsoft.com/office/drawing/2014/chart" uri="{C3380CC4-5D6E-409C-BE32-E72D297353CC}">
              <c16:uniqueId val="{00000001-561B-4795-BC17-464B3EFFD0EF}"/>
            </c:ext>
          </c:extLst>
        </c:ser>
        <c:ser>
          <c:idx val="4"/>
          <c:order val="3"/>
          <c:tx>
            <c:strRef>
              <c:f>'Snappers Complex'!$AD$3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Complex'!$AD$4:$AD$35</c:f>
              <c:numCache>
                <c:formatCode>#,##0</c:formatCode>
                <c:ptCount val="32"/>
                <c:pt idx="0">
                  <c:v>70638.935981899995</c:v>
                </c:pt>
                <c:pt idx="1">
                  <c:v>175928.74456900003</c:v>
                </c:pt>
                <c:pt idx="2">
                  <c:v>179414.78372830997</c:v>
                </c:pt>
                <c:pt idx="3">
                  <c:v>252265.17498739995</c:v>
                </c:pt>
                <c:pt idx="4">
                  <c:v>97676.172171729966</c:v>
                </c:pt>
                <c:pt idx="5">
                  <c:v>137189.70561690006</c:v>
                </c:pt>
                <c:pt idx="6">
                  <c:v>131091.27902093003</c:v>
                </c:pt>
                <c:pt idx="7">
                  <c:v>164257.58854641</c:v>
                </c:pt>
                <c:pt idx="8">
                  <c:v>104541.67887548001</c:v>
                </c:pt>
                <c:pt idx="9">
                  <c:v>88649.006941388012</c:v>
                </c:pt>
                <c:pt idx="10">
                  <c:v>80089.914926490004</c:v>
                </c:pt>
                <c:pt idx="11">
                  <c:v>97916.995752689982</c:v>
                </c:pt>
                <c:pt idx="12">
                  <c:v>97363.970357012033</c:v>
                </c:pt>
                <c:pt idx="13">
                  <c:v>192084.68030181588</c:v>
                </c:pt>
                <c:pt idx="14">
                  <c:v>261941.64280462387</c:v>
                </c:pt>
                <c:pt idx="15">
                  <c:v>284607.69572570879</c:v>
                </c:pt>
                <c:pt idx="16">
                  <c:v>225641.98135973996</c:v>
                </c:pt>
                <c:pt idx="17">
                  <c:v>309197.70804340485</c:v>
                </c:pt>
                <c:pt idx="18">
                  <c:v>127747.99579653761</c:v>
                </c:pt>
                <c:pt idx="19">
                  <c:v>196481.87217096309</c:v>
                </c:pt>
                <c:pt idx="20">
                  <c:v>136752.59802695393</c:v>
                </c:pt>
                <c:pt idx="21">
                  <c:v>155311.0146986749</c:v>
                </c:pt>
                <c:pt idx="22">
                  <c:v>138967.28706763891</c:v>
                </c:pt>
                <c:pt idx="23">
                  <c:v>109773.07461037998</c:v>
                </c:pt>
                <c:pt idx="24">
                  <c:v>49625.724294073283</c:v>
                </c:pt>
                <c:pt idx="25">
                  <c:v>62294.344283489991</c:v>
                </c:pt>
                <c:pt idx="26">
                  <c:v>89965.638970981963</c:v>
                </c:pt>
                <c:pt idx="27">
                  <c:v>199139.94651098902</c:v>
                </c:pt>
                <c:pt idx="28">
                  <c:v>260335.9360767403</c:v>
                </c:pt>
                <c:pt idx="29">
                  <c:v>148508.38352636198</c:v>
                </c:pt>
                <c:pt idx="30">
                  <c:v>188839.96447200605</c:v>
                </c:pt>
                <c:pt idx="31">
                  <c:v>156546.66482751805</c:v>
                </c:pt>
              </c:numCache>
            </c:numRef>
          </c:yVal>
          <c:smooth val="0"/>
          <c:extLst>
            <c:ext xmlns:c16="http://schemas.microsoft.com/office/drawing/2014/chart" uri="{C3380CC4-5D6E-409C-BE32-E72D297353CC}">
              <c16:uniqueId val="{00000003-561B-4795-BC17-464B3EFFD0EF}"/>
            </c:ext>
          </c:extLst>
        </c:ser>
        <c:ser>
          <c:idx val="6"/>
          <c:order val="4"/>
          <c:tx>
            <c:strRef>
              <c:f>'Snappers Complex'!$AD$65</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xVal>
            <c:numRef>
              <c:f>'Snappers Complex'!$X$66:$X$97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'Snappers Complex'!$AD$66:$AD$97</c:f>
              <c:numCache>
                <c:formatCode>#,##0</c:formatCode>
                <c:ptCount val="32"/>
                <c:pt idx="0">
                  <c:v>53013.667704193729</c:v>
                </c:pt>
                <c:pt idx="1">
                  <c:v>175775.38113030116</c:v>
                </c:pt>
                <c:pt idx="3">
                  <c:v>237048.14883369108</c:v>
                </c:pt>
                <c:pt idx="4">
                  <c:v>116072.67256181818</c:v>
                </c:pt>
                <c:pt idx="5">
                  <c:v>149123.68583959341</c:v>
                </c:pt>
                <c:pt idx="7">
                  <c:v>175623.85547566833</c:v>
                </c:pt>
                <c:pt idx="8">
                  <c:v>108034.49906153241</c:v>
                </c:pt>
                <c:pt idx="9">
                  <c:v>78719.818533971134</c:v>
                </c:pt>
                <c:pt idx="10">
                  <c:v>76609.499874141795</c:v>
                </c:pt>
                <c:pt idx="11">
                  <c:v>107574.4753350598</c:v>
                </c:pt>
                <c:pt idx="12">
                  <c:v>106437.41836395417</c:v>
                </c:pt>
                <c:pt idx="13">
                  <c:v>175195.95859446836</c:v>
                </c:pt>
                <c:pt idx="14">
                  <c:v>287875.90152774984</c:v>
                </c:pt>
                <c:pt idx="15">
                  <c:v>285555.67621659511</c:v>
                </c:pt>
                <c:pt idx="16">
                  <c:v>224851.60809548374</c:v>
                </c:pt>
                <c:pt idx="17">
                  <c:v>334805.21774241072</c:v>
                </c:pt>
                <c:pt idx="18">
                  <c:v>125152.59735827563</c:v>
                </c:pt>
                <c:pt idx="19">
                  <c:v>199703.63408795057</c:v>
                </c:pt>
                <c:pt idx="20">
                  <c:v>134427.35938467766</c:v>
                </c:pt>
                <c:pt idx="21">
                  <c:v>151516.15391435788</c:v>
                </c:pt>
                <c:pt idx="22">
                  <c:v>151073.31309826364</c:v>
                </c:pt>
                <c:pt idx="23">
                  <c:v>116733.03894617104</c:v>
                </c:pt>
                <c:pt idx="24">
                  <c:v>49452.819604541604</c:v>
                </c:pt>
                <c:pt idx="25">
                  <c:v>73139.928570420292</c:v>
                </c:pt>
                <c:pt idx="26">
                  <c:v>88187.658332082152</c:v>
                </c:pt>
                <c:pt idx="27">
                  <c:v>187299.28424147706</c:v>
                </c:pt>
                <c:pt idx="28">
                  <c:v>354237.30480394053</c:v>
                </c:pt>
                <c:pt idx="29">
                  <c:v>143458.69360124914</c:v>
                </c:pt>
                <c:pt idx="30">
                  <c:v>176349.33926773025</c:v>
                </c:pt>
                <c:pt idx="31">
                  <c:v>156481.2191087002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17B-400C-B36D-9F69DBD7792F}"/>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0"/>
                <c:order val="0"/>
                <c:tx>
                  <c:strRef>
                    <c:extLst>
                      <c:ext uri="{02D57815-91ED-43cb-92C2-25804820EDAC}">
                        <c15:formulaRef>
                          <c15:sqref>'Snappers Complex'!$C$3</c15:sqref>
                        </c15:formulaRef>
                      </c:ext>
                    </c:extLst>
                    <c:strCache>
                      <c:ptCount val="1"/>
                      <c:pt idx="0">
                        <c:v>Total New Wgt</c:v>
                      </c:pt>
                    </c:strCache>
                  </c:strRef>
                </c:tx>
                <c:xVal>
                  <c:numRef>
                    <c:extLst>
                      <c:ext uri="{02D57815-91ED-43cb-92C2-25804820EDAC}">
                        <c15:formulaRef>
                          <c15:sqref>'Snappers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Complex'!$C$4:$C$35</c15:sqref>
                        </c15:formulaRef>
                      </c:ext>
                    </c:extLst>
                    <c:numCache>
                      <c:formatCode>#,##0</c:formatCode>
                      <c:ptCount val="32"/>
                      <c:pt idx="0">
                        <c:v>98338.986927499995</c:v>
                      </c:pt>
                      <c:pt idx="1">
                        <c:v>220620.74456900003</c:v>
                      </c:pt>
                      <c:pt idx="2">
                        <c:v>259163.53684817994</c:v>
                      </c:pt>
                      <c:pt idx="3">
                        <c:v>279830.34755339992</c:v>
                      </c:pt>
                      <c:pt idx="4">
                        <c:v>109635.04716607997</c:v>
                      </c:pt>
                      <c:pt idx="5">
                        <c:v>169038.47001900006</c:v>
                      </c:pt>
                      <c:pt idx="6">
                        <c:v>151385.50396001001</c:v>
                      </c:pt>
                      <c:pt idx="7">
                        <c:v>196759.20734440995</c:v>
                      </c:pt>
                      <c:pt idx="8">
                        <c:v>131606.25837222004</c:v>
                      </c:pt>
                      <c:pt idx="9">
                        <c:v>108343.510384188</c:v>
                      </c:pt>
                      <c:pt idx="10">
                        <c:v>108684.90697527002</c:v>
                      </c:pt>
                      <c:pt idx="11">
                        <c:v>149958.94457294999</c:v>
                      </c:pt>
                      <c:pt idx="12">
                        <c:v>120814.33820581202</c:v>
                      </c:pt>
                      <c:pt idx="13">
                        <c:v>195417.37362071592</c:v>
                      </c:pt>
                      <c:pt idx="14">
                        <c:v>324943.169827645</c:v>
                      </c:pt>
                      <c:pt idx="15">
                        <c:v>298956.78509271593</c:v>
                      </c:pt>
                      <c:pt idx="16">
                        <c:v>244115.19369663898</c:v>
                      </c:pt>
                      <c:pt idx="17">
                        <c:v>344023.09093260486</c:v>
                      </c:pt>
                      <c:pt idx="18">
                        <c:v>124864.40475688862</c:v>
                      </c:pt>
                      <c:pt idx="19">
                        <c:v>204609.43768056307</c:v>
                      </c:pt>
                      <c:pt idx="20">
                        <c:v>141123.54860109391</c:v>
                      </c:pt>
                      <c:pt idx="21">
                        <c:v>157420.68370025494</c:v>
                      </c:pt>
                      <c:pt idx="22">
                        <c:v>149370.04143681895</c:v>
                      </c:pt>
                      <c:pt idx="23">
                        <c:v>123561.04969450996</c:v>
                      </c:pt>
                      <c:pt idx="24">
                        <c:v>53406.190681373286</c:v>
                      </c:pt>
                      <c:pt idx="25">
                        <c:v>67729.469726989977</c:v>
                      </c:pt>
                      <c:pt idx="26">
                        <c:v>95488.40036263199</c:v>
                      </c:pt>
                      <c:pt idx="27">
                        <c:v>193869.72169237808</c:v>
                      </c:pt>
                      <c:pt idx="28">
                        <c:v>311029.48830796516</c:v>
                      </c:pt>
                      <c:pt idx="29">
                        <c:v>145484.61572458898</c:v>
                      </c:pt>
                      <c:pt idx="30">
                        <c:v>197574.90094490608</c:v>
                      </c:pt>
                      <c:pt idx="31">
                        <c:v>156100.76674494802</c:v>
                      </c:pt>
                    </c:numCache>
                  </c:numRef>
                </c:yVal>
                <c:smooth val="0"/>
                <c:extLst>
                  <c:ext xmlns:c16="http://schemas.microsoft.com/office/drawing/2014/chart" uri="{C3380CC4-5D6E-409C-BE32-E72D297353CC}">
                    <c16:uniqueId val="{00000000-561B-4795-BC17-464B3EFFD0EF}"/>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'Snappers Complex'!$J$3</c15:sqref>
                        </c15:formulaRef>
                      </c:ext>
                    </c:extLst>
                    <c:strCache>
                      <c:ptCount val="1"/>
                      <c:pt idx="0">
                        <c:v>Total Orig FES</c:v>
                      </c:pt>
                    </c:strCache>
                  </c:strRef>
                </c:tx>
                <c:spPr>
                  <a:ln>
                    <a:solidFill>
                      <a:schemeClr val="accent2"/>
                    </a:solidFill>
                  </a:ln>
                </c:spPr>
                <c:marker>
                  <c:symbol val="x"/>
                  <c:size val="7"/>
                  <c:spPr>
                    <a:noFill/>
                    <a:ln>
                      <a:solidFill>
                        <a:schemeClr val="accent2"/>
                      </a:solidFill>
                    </a:ln>
                  </c:spPr>
                </c:marker>
                <c:xVal>
                  <c:numRef>
                    <c:extLst xmlns:c15="http://schemas.microsoft.com/office/drawing/2012/chart">
                      <c:ext xmlns:c15="http://schemas.microsoft.com/office/drawing/2012/chart" uri="{02D57815-91ED-43cb-92C2-25804820EDAC}">
                        <c15:formulaRef>
                          <c15:sqref>'Snappers Complex'!$H$4:$H$35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Complex'!$J$4:$J$35</c15:sqref>
                        </c15:formulaRef>
                      </c:ext>
                    </c:extLst>
                    <c:numCache>
                      <c:formatCode>#,##0</c:formatCode>
                      <c:ptCount val="32"/>
                      <c:pt idx="0">
                        <c:v>98466.935981899995</c:v>
                      </c:pt>
                      <c:pt idx="1">
                        <c:v>220620.74456900003</c:v>
                      </c:pt>
                      <c:pt idx="2">
                        <c:v>219978.78372830997</c:v>
                      </c:pt>
                      <c:pt idx="3">
                        <c:v>275828.17498739995</c:v>
                      </c:pt>
                      <c:pt idx="4">
                        <c:v>109738.17217172997</c:v>
                      </c:pt>
                      <c:pt idx="5">
                        <c:v>171485.70561690006</c:v>
                      </c:pt>
                      <c:pt idx="6">
                        <c:v>159492.27902093003</c:v>
                      </c:pt>
                      <c:pt idx="7">
                        <c:v>191787.58854641</c:v>
                      </c:pt>
                      <c:pt idx="8">
                        <c:v>134661.67887548002</c:v>
                      </c:pt>
                      <c:pt idx="9">
                        <c:v>111827.00694138801</c:v>
                      </c:pt>
                      <c:pt idx="10">
                        <c:v>111707.91492649</c:v>
                      </c:pt>
                      <c:pt idx="11">
                        <c:v>140850.99575268998</c:v>
                      </c:pt>
                      <c:pt idx="12">
                        <c:v>120544.97035701203</c:v>
                      </c:pt>
                      <c:pt idx="13">
                        <c:v>212748.68030181588</c:v>
                      </c:pt>
                      <c:pt idx="14">
                        <c:v>278320.64280462387</c:v>
                      </c:pt>
                      <c:pt idx="15">
                        <c:v>306382.69572570879</c:v>
                      </c:pt>
                      <c:pt idx="16">
                        <c:v>244330.98135973996</c:v>
                      </c:pt>
                      <c:pt idx="17">
                        <c:v>322544.70804340485</c:v>
                      </c:pt>
                      <c:pt idx="18">
                        <c:v>139368.99579653761</c:v>
                      </c:pt>
                      <c:pt idx="19">
                        <c:v>204966.87217096309</c:v>
                      </c:pt>
                      <c:pt idx="20">
                        <c:v>144141.59802695393</c:v>
                      </c:pt>
                      <c:pt idx="21">
                        <c:v>160622.0146986749</c:v>
                      </c:pt>
                      <c:pt idx="22">
                        <c:v>144621.28706763891</c:v>
                      </c:pt>
                      <c:pt idx="23">
                        <c:v>113699.07461037998</c:v>
                      </c:pt>
                      <c:pt idx="24">
                        <c:v>53358.724294073283</c:v>
                      </c:pt>
                      <c:pt idx="25">
                        <c:v>64215.344283489991</c:v>
                      </c:pt>
                      <c:pt idx="26">
                        <c:v>92373.638970981963</c:v>
                      </c:pt>
                      <c:pt idx="27">
                        <c:v>202456.94651098902</c:v>
                      </c:pt>
                      <c:pt idx="28">
                        <c:v>264235.93607674027</c:v>
                      </c:pt>
                      <c:pt idx="29">
                        <c:v>150962.38352636198</c:v>
                      </c:pt>
                      <c:pt idx="30">
                        <c:v>195551.96447200605</c:v>
                      </c:pt>
                      <c:pt idx="31">
                        <c:v>160925.66482751805</c:v>
                      </c:pt>
                    </c:numCache>
                  </c:numRef>
                </c:yVal>
                <c:smooth val="0"/>
                <c:extLst xmlns:c15="http://schemas.microsoft.com/office/drawing/2012/chart">
                  <c:ext xmlns:c16="http://schemas.microsoft.com/office/drawing/2014/chart" uri="{C3380CC4-5D6E-409C-BE32-E72D297353CC}">
                    <c16:uniqueId val="{00000002-561B-4795-BC17-464B3EFFD0EF}"/>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'Snappers Complex'!$C$41</c15:sqref>
                        </c15:formulaRef>
                      </c:ext>
                    </c:extLst>
                    <c:strCache>
                      <c:ptCount val="1"/>
                      <c:pt idx="0">
                        <c:v>Old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'Snappers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Complex'!$C$42:$C$47</c15:sqref>
                        </c15:formulaRef>
                      </c:ext>
                    </c:extLst>
                    <c:numCache>
                      <c:formatCode>#,##0</c:formatCode>
                      <c:ptCount val="6"/>
                      <c:pt idx="0">
                        <c:v>298956.78509271593</c:v>
                      </c:pt>
                      <c:pt idx="1">
                        <c:v>298956.78509271593</c:v>
                      </c:pt>
                      <c:pt idx="2">
                        <c:v>298956.78509271593</c:v>
                      </c:pt>
                      <c:pt idx="3">
                        <c:v>412827.70911912585</c:v>
                      </c:pt>
                      <c:pt idx="4">
                        <c:v>412827.70911912585</c:v>
                      </c:pt>
                      <c:pt idx="5">
                        <c:v>412827.70911912585</c:v>
                      </c:pt>
                    </c:numCache>
                  </c:numRef>
                </c:yVal>
                <c:smooth val="0"/>
                <c:extLst xmlns:c15="http://schemas.microsoft.com/office/drawing/2012/chart">
                  <c:ext xmlns:c16="http://schemas.microsoft.com/office/drawing/2014/chart" uri="{C3380CC4-5D6E-409C-BE32-E72D297353CC}">
                    <c16:uniqueId val="{00000004-561B-4795-BC17-464B3EFFD0EF}"/>
                  </c:ext>
                </c:extLst>
              </c15:ser>
            </c15:filteredScatterSeries>
            <c15:filteredScatterSeries>
              <c15:ser>
                <c:idx val="5"/>
                <c:order val="6"/>
                <c:tx>
                  <c:strRef>
                    <c:extLst xmlns:c15="http://schemas.microsoft.com/office/drawing/2012/chart">
                      <c:ext xmlns:c15="http://schemas.microsoft.com/office/drawing/2012/chart" uri="{02D57815-91ED-43cb-92C2-25804820EDAC}">
                        <c15:formulaRef>
                          <c15:sqref>'Snappers Complex'!$J$41</c15:sqref>
                        </c15:formulaRef>
                      </c:ext>
                    </c:extLst>
                    <c:strCache>
                      <c:ptCount val="1"/>
                      <c:pt idx="0">
                        <c:v>New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'Snappers Complex'!$H$42:$H$47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Complex'!$J$42:$J$47</c15:sqref>
                        </c15:formulaRef>
                      </c:ext>
                    </c:extLst>
                    <c:numCache>
                      <c:formatCode>#,##0</c:formatCode>
                      <c:ptCount val="6"/>
                      <c:pt idx="0">
                        <c:v>278320.64280462387</c:v>
                      </c:pt>
                      <c:pt idx="1">
                        <c:v>278320.64280462387</c:v>
                      </c:pt>
                      <c:pt idx="2">
                        <c:v>278320.64280462387</c:v>
                      </c:pt>
                      <c:pt idx="3">
                        <c:v>387053.64965208585</c:v>
                      </c:pt>
                      <c:pt idx="4">
                        <c:v>387053.64965208585</c:v>
                      </c:pt>
                      <c:pt idx="5">
                        <c:v>387053.64965208585</c:v>
                      </c:pt>
                    </c:numCache>
                  </c:numRef>
                </c:yVal>
                <c:smooth val="0"/>
                <c:extLst xmlns:c15="http://schemas.microsoft.com/office/drawing/2012/chart">
                  <c:ext xmlns:c16="http://schemas.microsoft.com/office/drawing/2014/chart" uri="{C3380CC4-5D6E-409C-BE32-E72D297353CC}">
                    <c16:uniqueId val="{00000005-561B-4795-BC17-464B3EFFD0EF}"/>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2"/>
          <c:order val="1"/>
          <c:tx>
            <c:strRef>
              <c:f>'Snappers Complex'!$Y$3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'Snappers Complex'!$V$4:$V$35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Complex'!$Y$4:$Y$35</c:f>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96605.458380799959</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40908.552826830019</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611009.93731259997</c:v>
                </c:pt>
              </c:numCache>
            </c:numRef>
          </c:yVal>
          <c:smooth val="0"/>
          <c:extLst>
            <c:ext xmlns:c16="http://schemas.microsoft.com/office/drawing/2014/chart" uri="{C3380CC4-5D6E-409C-BE32-E72D297353CC}">
              <c16:uniqueId val="{00000001-1FEE-4830-A659-FCB4909D5D2E}"/>
            </c:ext>
          </c:extLst>
        </c:ser>
        <c:ser>
          <c:idx val="4"/>
          <c:order val="3"/>
          <c:tx>
            <c:strRef>
              <c:f>'Snappers Complex'!$AE$3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'Snappers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Complex'!$AE$4:$AE$35</c:f>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328858.25228609983</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40908.552826830004</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611009.93731259985</c:v>
                </c:pt>
              </c:numCache>
            </c:numRef>
          </c:yVal>
          <c:smooth val="0"/>
          <c:extLst>
            <c:ext xmlns:c16="http://schemas.microsoft.com/office/drawing/2014/chart" uri="{C3380CC4-5D6E-409C-BE32-E72D297353CC}">
              <c16:uniqueId val="{00000003-1FEE-4830-A659-FCB4909D5D2E}"/>
            </c:ext>
          </c:extLst>
        </c:ser>
        <c:ser>
          <c:idx val="6"/>
          <c:order val="4"/>
          <c:tx>
            <c:strRef>
              <c:f>'Snappers Complex'!$AO$65</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xVal>
            <c:numRef>
              <c:f>'Snappers Complex'!$AI$66:$AI$97</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'Snappers Complex'!$AO$66:$AO$97</c:f>
              <c:numCache>
                <c:formatCode>#,##0</c:formatCode>
                <c:ptCount val="32"/>
                <c:pt idx="0">
                  <c:v>376395.51614250615</c:v>
                </c:pt>
                <c:pt idx="1">
                  <c:v>131.98940200000001</c:v>
                </c:pt>
                <c:pt idx="4">
                  <c:v>117862.19286025687</c:v>
                </c:pt>
                <c:pt idx="5">
                  <c:v>601498.69791348418</c:v>
                </c:pt>
                <c:pt idx="6">
                  <c:v>1233.91462</c:v>
                </c:pt>
                <c:pt idx="7">
                  <c:v>83938.953119781567</c:v>
                </c:pt>
                <c:pt idx="8">
                  <c:v>15439.397272450928</c:v>
                </c:pt>
                <c:pt idx="9">
                  <c:v>519366.32732889988</c:v>
                </c:pt>
                <c:pt idx="10">
                  <c:v>3256.115029436814</c:v>
                </c:pt>
                <c:pt idx="11">
                  <c:v>4049.8380653807976</c:v>
                </c:pt>
                <c:pt idx="12">
                  <c:v>7188.1712783347484</c:v>
                </c:pt>
                <c:pt idx="13">
                  <c:v>7028.9583912254311</c:v>
                </c:pt>
                <c:pt idx="14">
                  <c:v>377916.81759383238</c:v>
                </c:pt>
                <c:pt idx="15">
                  <c:v>62540.32190231156</c:v>
                </c:pt>
                <c:pt idx="16">
                  <c:v>29535.542688281559</c:v>
                </c:pt>
                <c:pt idx="17">
                  <c:v>115010.83471166561</c:v>
                </c:pt>
                <c:pt idx="18">
                  <c:v>6132.4684223441054</c:v>
                </c:pt>
                <c:pt idx="19">
                  <c:v>1565.0062484011346</c:v>
                </c:pt>
                <c:pt idx="20">
                  <c:v>5644.1595159530934</c:v>
                </c:pt>
                <c:pt idx="21">
                  <c:v>11700.899067800001</c:v>
                </c:pt>
                <c:pt idx="22">
                  <c:v>45262.763092831199</c:v>
                </c:pt>
                <c:pt idx="23">
                  <c:v>32625.283683476708</c:v>
                </c:pt>
                <c:pt idx="24">
                  <c:v>3668.1655974000005</c:v>
                </c:pt>
                <c:pt idx="25">
                  <c:v>23281.766506692926</c:v>
                </c:pt>
                <c:pt idx="26">
                  <c:v>36108.117144125179</c:v>
                </c:pt>
                <c:pt idx="27">
                  <c:v>11944.440470490696</c:v>
                </c:pt>
                <c:pt idx="28">
                  <c:v>8020.0434982893748</c:v>
                </c:pt>
                <c:pt idx="29">
                  <c:v>6017.0235331707036</c:v>
                </c:pt>
                <c:pt idx="30">
                  <c:v>206.11466780000001</c:v>
                </c:pt>
                <c:pt idx="31">
                  <c:v>464995.53944777924</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4EC2-4483-A265-681173670218}"/>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0"/>
                <c:order val="0"/>
                <c:tx>
                  <c:strRef>
                    <c:extLst>
                      <c:ext uri="{02D57815-91ED-43cb-92C2-25804820EDAC}">
                        <c15:formulaRef>
                          <c15:sqref>'Snappers Complex'!$D$3</c15:sqref>
                        </c15:formulaRef>
                      </c:ext>
                    </c:extLst>
                    <c:strCache>
                      <c:ptCount val="1"/>
                      <c:pt idx="0">
                        <c:v>Total New Wgt</c:v>
                      </c:pt>
                    </c:strCache>
                  </c:strRef>
                </c:tx>
                <c:xVal>
                  <c:numRef>
                    <c:extLst>
                      <c:ext uri="{02D57815-91ED-43cb-92C2-25804820EDAC}">
                        <c15:formulaRef>
                          <c15:sqref>'Snappers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Complex'!$D$4:$D$35</c15:sqref>
                        </c15:formulaRef>
                      </c:ext>
                    </c:extLst>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104217.45838079996</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46861.552826830019</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613759.93731259997</c:v>
                      </c:pt>
                    </c:numCache>
                  </c:numRef>
                </c:yVal>
                <c:smooth val="0"/>
                <c:extLst>
                  <c:ext xmlns:c16="http://schemas.microsoft.com/office/drawing/2014/chart" uri="{C3380CC4-5D6E-409C-BE32-E72D297353CC}">
                    <c16:uniqueId val="{00000000-1FEE-4830-A659-FCB4909D5D2E}"/>
                  </c:ext>
                </c:extLst>
              </c15:ser>
            </c15:filteredScatterSeries>
            <c15:filteredScatterSeries>
              <c15:ser>
                <c:idx val="3"/>
                <c:order val="2"/>
                <c:tx>
                  <c:strRef>
                    <c:extLst xmlns:c15="http://schemas.microsoft.com/office/drawing/2012/chart">
                      <c:ext xmlns:c15="http://schemas.microsoft.com/office/drawing/2012/chart" uri="{02D57815-91ED-43cb-92C2-25804820EDAC}">
                        <c15:formulaRef>
                          <c15:sqref>'Snappers Complex'!$K$3</c15:sqref>
                        </c15:formulaRef>
                      </c:ext>
                    </c:extLst>
                    <c:strCache>
                      <c:ptCount val="1"/>
                      <c:pt idx="0">
                        <c:v>Total Orig FES</c:v>
                      </c:pt>
                    </c:strCache>
                  </c:strRef>
                </c:tx>
                <c:spPr>
                  <a:ln>
                    <a:solidFill>
                      <a:schemeClr val="accent2"/>
                    </a:solidFill>
                  </a:ln>
                </c:spPr>
                <c:marker>
                  <c:symbol val="x"/>
                  <c:size val="7"/>
                  <c:spPr>
                    <a:noFill/>
                    <a:ln>
                      <a:solidFill>
                        <a:schemeClr val="accent2"/>
                      </a:solidFill>
                    </a:ln>
                  </c:spPr>
                </c:marker>
                <c:xVal>
                  <c:numRef>
                    <c:extLst xmlns:c15="http://schemas.microsoft.com/office/drawing/2012/chart">
                      <c:ext xmlns:c15="http://schemas.microsoft.com/office/drawing/2012/chart" uri="{02D57815-91ED-43cb-92C2-25804820EDAC}">
                        <c15:formulaRef>
                          <c15:sqref>'Snappers Complex'!$H$4:$H$35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Complex'!$K$4:$K$35</c15:sqref>
                        </c15:formulaRef>
                      </c:ext>
                    </c:extLst>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336470.25228609983</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46861.552826830004</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613759.93731259985</c:v>
                      </c:pt>
                    </c:numCache>
                  </c:numRef>
                </c:yVal>
                <c:smooth val="0"/>
                <c:extLst xmlns:c15="http://schemas.microsoft.com/office/drawing/2012/chart">
                  <c:ext xmlns:c16="http://schemas.microsoft.com/office/drawing/2014/chart" uri="{C3380CC4-5D6E-409C-BE32-E72D297353CC}">
                    <c16:uniqueId val="{00000002-1FEE-4830-A659-FCB4909D5D2E}"/>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'Snappers Complex'!$D$41</c15:sqref>
                        </c15:formulaRef>
                      </c:ext>
                    </c:extLst>
                    <c:strCache>
                      <c:ptCount val="1"/>
                      <c:pt idx="0">
                        <c:v>Old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'Snappers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Complex'!$D$42:$D$47</c15:sqref>
                        </c15:formulaRef>
                      </c:ext>
                    </c:extLst>
                    <c:numCache>
                      <c:formatCode>#,##0</c:formatCode>
                      <c:ptCount val="6"/>
                      <c:pt idx="0">
                        <c:v>53445.171013999992</c:v>
                      </c:pt>
                      <c:pt idx="1">
                        <c:v>53445.171013999992</c:v>
                      </c:pt>
                      <c:pt idx="2">
                        <c:v>53445.171013999992</c:v>
                      </c:pt>
                      <c:pt idx="3">
                        <c:v>282396.55519371119</c:v>
                      </c:pt>
                      <c:pt idx="4">
                        <c:v>282396.55519371119</c:v>
                      </c:pt>
                      <c:pt idx="5">
                        <c:v>282396.55519371119</c:v>
                      </c:pt>
                    </c:numCache>
                  </c:numRef>
                </c:yVal>
                <c:smooth val="0"/>
                <c:extLst xmlns:c15="http://schemas.microsoft.com/office/drawing/2012/chart">
                  <c:ext xmlns:c16="http://schemas.microsoft.com/office/drawing/2014/chart" uri="{C3380CC4-5D6E-409C-BE32-E72D297353CC}">
                    <c16:uniqueId val="{00000004-1FEE-4830-A659-FCB4909D5D2E}"/>
                  </c:ext>
                </c:extLst>
              </c15:ser>
            </c15:filteredScatterSeries>
            <c15:filteredScatterSeries>
              <c15:ser>
                <c:idx val="5"/>
                <c:order val="6"/>
                <c:tx>
                  <c:strRef>
                    <c:extLst xmlns:c15="http://schemas.microsoft.com/office/drawing/2012/chart">
                      <c:ext xmlns:c15="http://schemas.microsoft.com/office/drawing/2012/chart" uri="{02D57815-91ED-43cb-92C2-25804820EDAC}">
                        <c15:formulaRef>
                          <c15:sqref>'Snappers Complex'!$K$41</c15:sqref>
                        </c15:formulaRef>
                      </c:ext>
                    </c:extLst>
                    <c:strCache>
                      <c:ptCount val="1"/>
                      <c:pt idx="0">
                        <c:v>New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'Snappers Complex'!$H$42:$H$47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'Snappers Complex'!$K$42:$K$47</c15:sqref>
                        </c15:formulaRef>
                      </c:ext>
                    </c:extLst>
                    <c:numCache>
                      <c:formatCode>#,##0</c:formatCode>
                      <c:ptCount val="6"/>
                      <c:pt idx="0">
                        <c:v>53445.171013999992</c:v>
                      </c:pt>
                      <c:pt idx="1">
                        <c:v>53445.171013999992</c:v>
                      </c:pt>
                      <c:pt idx="2">
                        <c:v>53445.171013999992</c:v>
                      </c:pt>
                      <c:pt idx="3">
                        <c:v>282396.55519371119</c:v>
                      </c:pt>
                      <c:pt idx="4">
                        <c:v>282396.55519371119</c:v>
                      </c:pt>
                      <c:pt idx="5">
                        <c:v>282396.55519371119</c:v>
                      </c:pt>
                    </c:numCache>
                  </c:numRef>
                </c:yVal>
                <c:smooth val="0"/>
                <c:extLst xmlns:c15="http://schemas.microsoft.com/office/drawing/2012/chart">
                  <c:ext xmlns:c16="http://schemas.microsoft.com/office/drawing/2014/chart" uri="{C3380CC4-5D6E-409C-BE32-E72D297353CC}">
                    <c16:uniqueId val="{00000005-1FEE-4830-A659-FCB4909D5D2E}"/>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0"/>
          <c:order val="0"/>
          <c:tx>
            <c:strRef>
              <c:f>'Snappers Complex'!$B$3</c:f>
              <c:strCache>
                <c:ptCount val="1"/>
                <c:pt idx="0">
                  <c:v>Total New Wgt</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967650.46417845995</c:v>
                </c:pt>
                <c:pt idx="1">
                  <c:v>999349.83747475804</c:v>
                </c:pt>
                <c:pt idx="2">
                  <c:v>1524769.7122941103</c:v>
                </c:pt>
                <c:pt idx="3">
                  <c:v>1069854.6742414902</c:v>
                </c:pt>
                <c:pt idx="4">
                  <c:v>1100066.5389773399</c:v>
                </c:pt>
                <c:pt idx="5">
                  <c:v>1705210.3491591997</c:v>
                </c:pt>
                <c:pt idx="6">
                  <c:v>1527278.49547126</c:v>
                </c:pt>
                <c:pt idx="7">
                  <c:v>919031.76216041378</c:v>
                </c:pt>
                <c:pt idx="8">
                  <c:v>1008885.7458979397</c:v>
                </c:pt>
                <c:pt idx="9">
                  <c:v>1185080.0558816902</c:v>
                </c:pt>
                <c:pt idx="10">
                  <c:v>883558.45021639601</c:v>
                </c:pt>
                <c:pt idx="11">
                  <c:v>951052.13712240907</c:v>
                </c:pt>
                <c:pt idx="12">
                  <c:v>894397.21560737002</c:v>
                </c:pt>
                <c:pt idx="13">
                  <c:v>1643943.5721044014</c:v>
                </c:pt>
                <c:pt idx="14">
                  <c:v>1947325.9672136747</c:v>
                </c:pt>
                <c:pt idx="15">
                  <c:v>1152120.4173221299</c:v>
                </c:pt>
                <c:pt idx="16">
                  <c:v>1707594.3791254496</c:v>
                </c:pt>
                <c:pt idx="17">
                  <c:v>1817007.5251260486</c:v>
                </c:pt>
                <c:pt idx="18">
                  <c:v>1003325.496350836</c:v>
                </c:pt>
                <c:pt idx="19">
                  <c:v>1093453.1233969796</c:v>
                </c:pt>
                <c:pt idx="20">
                  <c:v>1334059.9157837606</c:v>
                </c:pt>
                <c:pt idx="21">
                  <c:v>1442291.9645564938</c:v>
                </c:pt>
                <c:pt idx="22">
                  <c:v>918833.19192060304</c:v>
                </c:pt>
                <c:pt idx="23">
                  <c:v>869182.23077449179</c:v>
                </c:pt>
                <c:pt idx="24">
                  <c:v>551213.58718027209</c:v>
                </c:pt>
                <c:pt idx="25">
                  <c:v>625898.1571189079</c:v>
                </c:pt>
                <c:pt idx="26">
                  <c:v>558575.76632886869</c:v>
                </c:pt>
                <c:pt idx="27">
                  <c:v>2215929.0408905493</c:v>
                </c:pt>
                <c:pt idx="28">
                  <c:v>2852226.9285807782</c:v>
                </c:pt>
                <c:pt idx="29">
                  <c:v>1883337.6749337343</c:v>
                </c:pt>
                <c:pt idx="30">
                  <c:v>3929485.7747039669</c:v>
                </c:pt>
                <c:pt idx="31">
                  <c:v>3181898.8476802609</c:v>
                </c:pt>
              </c:numCache>
            </c:numRef>
          </c:yVal>
          <c:smooth val="0"/>
          <c:extLst>
            <c:ext xmlns:c16="http://schemas.microsoft.com/office/drawing/2014/chart" uri="{C3380CC4-5D6E-409C-BE32-E72D297353CC}">
              <c16:uniqueId val="{00000000-9F92-4ACE-B4A8-0554010EAE53}"/>
            </c:ext>
          </c:extLst>
        </c:ser>
        <c:ser>
          <c:idx val="3"/>
          <c:order val="2"/>
          <c:tx>
            <c:strRef>
              <c:f>'Snappers Complex'!$I$3</c:f>
              <c:strCache>
                <c:ptCount val="1"/>
                <c:pt idx="0">
                  <c:v>Total Orig FES</c:v>
                </c:pt>
              </c:strCache>
            </c:strRef>
          </c:tx>
          <c:spPr>
            <a:ln>
              <a:solidFill>
                <a:schemeClr val="accent2"/>
              </a:solidFill>
            </a:ln>
          </c:spPr>
          <c:marker>
            <c:symbol val="x"/>
            <c:size val="7"/>
            <c:spPr>
              <a:noFill/>
              <a:ln>
                <a:solidFill>
                  <a:schemeClr val="accent2"/>
                </a:solidFill>
              </a:ln>
            </c:spPr>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Complex'!$I$4:$I$35</c:f>
              <c:numCache>
                <c:formatCode>#,##0</c:formatCode>
                <c:ptCount val="32"/>
                <c:pt idx="0">
                  <c:v>975343.35176215984</c:v>
                </c:pt>
                <c:pt idx="1">
                  <c:v>998431.76583675796</c:v>
                </c:pt>
                <c:pt idx="2">
                  <c:v>1583869.9070590003</c:v>
                </c:pt>
                <c:pt idx="3">
                  <c:v>1106571.97286149</c:v>
                </c:pt>
                <c:pt idx="4">
                  <c:v>1103047.8907729399</c:v>
                </c:pt>
                <c:pt idx="5">
                  <c:v>1678130.1935898997</c:v>
                </c:pt>
                <c:pt idx="6">
                  <c:v>1600315.4770114806</c:v>
                </c:pt>
                <c:pt idx="7">
                  <c:v>926929.98358992394</c:v>
                </c:pt>
                <c:pt idx="8">
                  <c:v>966030.65959538973</c:v>
                </c:pt>
                <c:pt idx="9">
                  <c:v>1196035.38069891</c:v>
                </c:pt>
                <c:pt idx="10">
                  <c:v>856034.41701681609</c:v>
                </c:pt>
                <c:pt idx="11">
                  <c:v>971526.58858554892</c:v>
                </c:pt>
                <c:pt idx="12">
                  <c:v>896142.00463168439</c:v>
                </c:pt>
                <c:pt idx="13">
                  <c:v>1649690.3975223012</c:v>
                </c:pt>
                <c:pt idx="14">
                  <c:v>1950827.1352892837</c:v>
                </c:pt>
                <c:pt idx="15">
                  <c:v>1181576.2834350804</c:v>
                </c:pt>
                <c:pt idx="16">
                  <c:v>1698262.1639960583</c:v>
                </c:pt>
                <c:pt idx="17">
                  <c:v>1588003.5912507887</c:v>
                </c:pt>
                <c:pt idx="18">
                  <c:v>1000050.806999926</c:v>
                </c:pt>
                <c:pt idx="19">
                  <c:v>1116634.2358871596</c:v>
                </c:pt>
                <c:pt idx="20">
                  <c:v>1191814.8811101208</c:v>
                </c:pt>
                <c:pt idx="21">
                  <c:v>1437037.1030567233</c:v>
                </c:pt>
                <c:pt idx="22">
                  <c:v>923065.00790669338</c:v>
                </c:pt>
                <c:pt idx="23">
                  <c:v>897182.02320099191</c:v>
                </c:pt>
                <c:pt idx="24">
                  <c:v>550924.74145659222</c:v>
                </c:pt>
                <c:pt idx="25">
                  <c:v>618882.84553722793</c:v>
                </c:pt>
                <c:pt idx="26">
                  <c:v>606312.10880836891</c:v>
                </c:pt>
                <c:pt idx="27">
                  <c:v>2103041.8675925503</c:v>
                </c:pt>
                <c:pt idx="28">
                  <c:v>2939597.7038302575</c:v>
                </c:pt>
                <c:pt idx="29">
                  <c:v>1752327.28883581</c:v>
                </c:pt>
                <c:pt idx="30">
                  <c:v>4113464.4224234056</c:v>
                </c:pt>
                <c:pt idx="31">
                  <c:v>3188207.1222692812</c:v>
                </c:pt>
              </c:numCache>
            </c:numRef>
          </c:yVal>
          <c:smooth val="0"/>
          <c:extLst>
            <c:ext xmlns:c16="http://schemas.microsoft.com/office/drawing/2014/chart" uri="{C3380CC4-5D6E-409C-BE32-E72D297353CC}">
              <c16:uniqueId val="{00000002-9F92-4ACE-B4A8-0554010EAE53}"/>
            </c:ext>
          </c:extLst>
        </c:ser>
        <c:ser>
          <c:idx val="1"/>
          <c:order val="5"/>
          <c:tx>
            <c:strRef>
              <c:f>'Snappers Complex'!$B$41</c:f>
              <c:strCache>
                <c:ptCount val="1"/>
                <c:pt idx="0">
                  <c:v>Old ABC/ACL</c:v>
                </c:pt>
              </c:strCache>
            </c:strRef>
          </c:tx>
          <c:spPr>
            <a:ln w="38100">
              <a:solidFill>
                <a:schemeClr val="tx1"/>
              </a:solidFill>
            </a:ln>
          </c:spPr>
          <c:marker>
            <c:symbol val="none"/>
          </c:marker>
          <c:xVal>
            <c:numRef>
              <c:f>'Snappers Complex'!$A$42:$A$47</c:f>
              <c:numCache>
                <c:formatCode>General</c:formatCode>
                <c:ptCount val="6"/>
                <c:pt idx="0">
                  <c:v>2012</c:v>
                </c:pt>
                <c:pt idx="1">
                  <c:v>2013</c:v>
                </c:pt>
                <c:pt idx="2">
                  <c:v>2014</c:v>
                </c:pt>
                <c:pt idx="3">
                  <c:v>2015</c:v>
                </c:pt>
                <c:pt idx="4">
                  <c:v>2016</c:v>
                </c:pt>
                <c:pt idx="5">
                  <c:v>2017</c:v>
                </c:pt>
              </c:numCache>
            </c:numRef>
          </c:xVal>
          <c:yVal>
            <c:numRef>
              <c:f>'Snappers Complex'!$B$42:$B$47</c:f>
              <c:numCache>
                <c:formatCode>#,##0</c:formatCode>
                <c:ptCount val="6"/>
                <c:pt idx="0">
                  <c:v>1707594.3791254496</c:v>
                </c:pt>
                <c:pt idx="1">
                  <c:v>1707594.3791254496</c:v>
                </c:pt>
                <c:pt idx="2">
                  <c:v>1707594.3791254496</c:v>
                </c:pt>
                <c:pt idx="3">
                  <c:v>2336791.1606564098</c:v>
                </c:pt>
                <c:pt idx="4">
                  <c:v>2336791.1606564098</c:v>
                </c:pt>
                <c:pt idx="5">
                  <c:v>2336791.1606564098</c:v>
                </c:pt>
              </c:numCache>
            </c:numRef>
          </c:yVal>
          <c:smooth val="0"/>
          <c:extLst>
            <c:ext xmlns:c16="http://schemas.microsoft.com/office/drawing/2014/chart" uri="{C3380CC4-5D6E-409C-BE32-E72D297353CC}">
              <c16:uniqueId val="{00000005-9F92-4ACE-B4A8-0554010EAE53}"/>
            </c:ext>
          </c:extLst>
        </c:ser>
        <c:ser>
          <c:idx val="5"/>
          <c:order val="6"/>
          <c:tx>
            <c:strRef>
              <c:f>'Snappers Complex'!$I$41</c:f>
              <c:strCache>
                <c:ptCount val="1"/>
                <c:pt idx="0">
                  <c:v>New ABC/ACL</c:v>
                </c:pt>
              </c:strCache>
            </c:strRef>
          </c:tx>
          <c:spPr>
            <a:ln>
              <a:solidFill>
                <a:srgbClr val="7030A0"/>
              </a:solidFill>
            </a:ln>
          </c:spPr>
          <c:marker>
            <c:symbol val="none"/>
          </c:marker>
          <c:xVal>
            <c:numRef>
              <c:f>'Snappers Complex'!$H$42:$H$47</c:f>
              <c:numCache>
                <c:formatCode>General</c:formatCode>
                <c:ptCount val="6"/>
                <c:pt idx="0">
                  <c:v>2012</c:v>
                </c:pt>
                <c:pt idx="1">
                  <c:v>2013</c:v>
                </c:pt>
                <c:pt idx="2">
                  <c:v>2014</c:v>
                </c:pt>
                <c:pt idx="3">
                  <c:v>2015</c:v>
                </c:pt>
                <c:pt idx="4">
                  <c:v>2016</c:v>
                </c:pt>
                <c:pt idx="5">
                  <c:v>2017</c:v>
                </c:pt>
              </c:numCache>
            </c:numRef>
          </c:xVal>
          <c:yVal>
            <c:numRef>
              <c:f>'Snappers Complex'!$I$42:$I$47</c:f>
              <c:numCache>
                <c:formatCode>#,##0</c:formatCode>
                <c:ptCount val="6"/>
                <c:pt idx="0">
                  <c:v>1649690.3975223012</c:v>
                </c:pt>
                <c:pt idx="1">
                  <c:v>1649690.3975223012</c:v>
                </c:pt>
                <c:pt idx="2">
                  <c:v>1649690.3975223012</c:v>
                </c:pt>
                <c:pt idx="3">
                  <c:v>2340992.5623471406</c:v>
                </c:pt>
                <c:pt idx="4">
                  <c:v>2340992.5623471406</c:v>
                </c:pt>
                <c:pt idx="5">
                  <c:v>2340992.5623471406</c:v>
                </c:pt>
              </c:numCache>
            </c:numRef>
          </c:yVal>
          <c:smooth val="0"/>
          <c:extLst>
            <c:ext xmlns:c16="http://schemas.microsoft.com/office/drawing/2014/chart" uri="{C3380CC4-5D6E-409C-BE32-E72D297353CC}">
              <c16:uniqueId val="{00000006-9F92-4ACE-B4A8-0554010EAE53}"/>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2"/>
                <c:order val="1"/>
                <c:tx>
                  <c:strRef>
                    <c:extLst>
                      <c:ext uri="{02D57815-91ED-43cb-92C2-25804820EDAC}">
                        <c15:formulaRef>
                          <c15:sqref>'Snappers Complex'!$W$3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'Snappers Complex'!$V$4:$V$35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Complex'!$W$4:$W$35</c15:sqref>
                        </c15:formulaRef>
                      </c:ext>
                    </c:extLst>
                    <c:numCache>
                      <c:formatCode>#,##0</c:formatCode>
                      <c:ptCount val="32"/>
                      <c:pt idx="0">
                        <c:v>628761.46417845995</c:v>
                      </c:pt>
                      <c:pt idx="1">
                        <c:v>554776.83747475804</c:v>
                      </c:pt>
                      <c:pt idx="2">
                        <c:v>1226661.7122941103</c:v>
                      </c:pt>
                      <c:pt idx="3">
                        <c:v>820257.67424149008</c:v>
                      </c:pt>
                      <c:pt idx="4">
                        <c:v>860119.53897733998</c:v>
                      </c:pt>
                      <c:pt idx="5">
                        <c:v>1422045.3491591997</c:v>
                      </c:pt>
                      <c:pt idx="6">
                        <c:v>1306633.49547126</c:v>
                      </c:pt>
                      <c:pt idx="7">
                        <c:v>699816.76216041378</c:v>
                      </c:pt>
                      <c:pt idx="8">
                        <c:v>712504.74589793966</c:v>
                      </c:pt>
                      <c:pt idx="9">
                        <c:v>856245.05588169035</c:v>
                      </c:pt>
                      <c:pt idx="10">
                        <c:v>614784.45021639601</c:v>
                      </c:pt>
                      <c:pt idx="11">
                        <c:v>652407.13712240907</c:v>
                      </c:pt>
                      <c:pt idx="12">
                        <c:v>671471.21560737002</c:v>
                      </c:pt>
                      <c:pt idx="13">
                        <c:v>1497109.5721044014</c:v>
                      </c:pt>
                      <c:pt idx="14">
                        <c:v>1770720.9672136747</c:v>
                      </c:pt>
                      <c:pt idx="15">
                        <c:v>972084.41732212994</c:v>
                      </c:pt>
                      <c:pt idx="16">
                        <c:v>1478759.3791254496</c:v>
                      </c:pt>
                      <c:pt idx="17">
                        <c:v>1628836.5251260486</c:v>
                      </c:pt>
                      <c:pt idx="18">
                        <c:v>850908.49635083601</c:v>
                      </c:pt>
                      <c:pt idx="19">
                        <c:v>970155.12339697976</c:v>
                      </c:pt>
                      <c:pt idx="20">
                        <c:v>1233124.9157837606</c:v>
                      </c:pt>
                      <c:pt idx="21">
                        <c:v>1345093.9645564938</c:v>
                      </c:pt>
                      <c:pt idx="22">
                        <c:v>815880.19192060304</c:v>
                      </c:pt>
                      <c:pt idx="23">
                        <c:v>737440.23077449179</c:v>
                      </c:pt>
                      <c:pt idx="24">
                        <c:v>417151.58718027209</c:v>
                      </c:pt>
                      <c:pt idx="25">
                        <c:v>541878.1571189079</c:v>
                      </c:pt>
                      <c:pt idx="26">
                        <c:v>439686.76632886875</c:v>
                      </c:pt>
                      <c:pt idx="27">
                        <c:v>2070192.0408905495</c:v>
                      </c:pt>
                      <c:pt idx="28">
                        <c:v>2694472.9285807782</c:v>
                      </c:pt>
                      <c:pt idx="29">
                        <c:v>1720734.6749337343</c:v>
                      </c:pt>
                      <c:pt idx="30">
                        <c:v>3769660.7747039669</c:v>
                      </c:pt>
                      <c:pt idx="31">
                        <c:v>3079545.8476802609</c:v>
                      </c:pt>
                    </c:numCache>
                  </c:numRef>
                </c:yVal>
                <c:smooth val="0"/>
                <c:extLst>
                  <c:ext xmlns:c16="http://schemas.microsoft.com/office/drawing/2014/chart" uri="{C3380CC4-5D6E-409C-BE32-E72D297353CC}">
                    <c16:uniqueId val="{00000001-9F92-4ACE-B4A8-0554010EAE53}"/>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'Snappers Complex'!$AC$3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'Snappers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Complex'!$AC$4:$AC$35</c15:sqref>
                        </c15:formulaRef>
                      </c:ext>
                    </c:extLst>
                    <c:numCache>
                      <c:formatCode>#,##0</c:formatCode>
                      <c:ptCount val="32"/>
                      <c:pt idx="0">
                        <c:v>636454.35176215984</c:v>
                      </c:pt>
                      <c:pt idx="1">
                        <c:v>553858.76583675796</c:v>
                      </c:pt>
                      <c:pt idx="2">
                        <c:v>1285761.9070590003</c:v>
                      </c:pt>
                      <c:pt idx="3">
                        <c:v>856974.97286148998</c:v>
                      </c:pt>
                      <c:pt idx="4">
                        <c:v>863100.89077293989</c:v>
                      </c:pt>
                      <c:pt idx="5">
                        <c:v>1394965.1935898997</c:v>
                      </c:pt>
                      <c:pt idx="6">
                        <c:v>1379670.4770114806</c:v>
                      </c:pt>
                      <c:pt idx="7">
                        <c:v>707714.98358992394</c:v>
                      </c:pt>
                      <c:pt idx="8">
                        <c:v>669649.65959538973</c:v>
                      </c:pt>
                      <c:pt idx="9">
                        <c:v>867200.3806989101</c:v>
                      </c:pt>
                      <c:pt idx="10">
                        <c:v>587260.41701681609</c:v>
                      </c:pt>
                      <c:pt idx="11">
                        <c:v>672881.58858554892</c:v>
                      </c:pt>
                      <c:pt idx="12">
                        <c:v>673216.00463168439</c:v>
                      </c:pt>
                      <c:pt idx="13">
                        <c:v>1502856.3975223012</c:v>
                      </c:pt>
                      <c:pt idx="14">
                        <c:v>1774222.1352892837</c:v>
                      </c:pt>
                      <c:pt idx="15">
                        <c:v>1001540.2834350804</c:v>
                      </c:pt>
                      <c:pt idx="16">
                        <c:v>1469427.1639960583</c:v>
                      </c:pt>
                      <c:pt idx="17">
                        <c:v>1399832.5912507887</c:v>
                      </c:pt>
                      <c:pt idx="18">
                        <c:v>847633.80699992599</c:v>
                      </c:pt>
                      <c:pt idx="19">
                        <c:v>993336.23588715971</c:v>
                      </c:pt>
                      <c:pt idx="20">
                        <c:v>1090879.8811101208</c:v>
                      </c:pt>
                      <c:pt idx="21">
                        <c:v>1339839.1030567233</c:v>
                      </c:pt>
                      <c:pt idx="22">
                        <c:v>820112.00790669338</c:v>
                      </c:pt>
                      <c:pt idx="23">
                        <c:v>765440.02320099191</c:v>
                      </c:pt>
                      <c:pt idx="24">
                        <c:v>416862.74145659216</c:v>
                      </c:pt>
                      <c:pt idx="25">
                        <c:v>534862.84553722793</c:v>
                      </c:pt>
                      <c:pt idx="26">
                        <c:v>487423.10880836885</c:v>
                      </c:pt>
                      <c:pt idx="27">
                        <c:v>1957304.8675925503</c:v>
                      </c:pt>
                      <c:pt idx="28">
                        <c:v>2781843.7038302575</c:v>
                      </c:pt>
                      <c:pt idx="29">
                        <c:v>1589724.28883581</c:v>
                      </c:pt>
                      <c:pt idx="30">
                        <c:v>3953639.4224234056</c:v>
                      </c:pt>
                      <c:pt idx="31">
                        <c:v>3085854.1222692812</c:v>
                      </c:pt>
                    </c:numCache>
                  </c:numRef>
                </c:yVal>
                <c:smooth val="0"/>
                <c:extLst xmlns:c15="http://schemas.microsoft.com/office/drawing/2012/chart">
                  <c:ext xmlns:c16="http://schemas.microsoft.com/office/drawing/2014/chart" uri="{C3380CC4-5D6E-409C-BE32-E72D297353CC}">
                    <c16:uniqueId val="{00000003-9F92-4ACE-B4A8-0554010EAE53}"/>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'Snappers Complex'!$S$65</c15:sqref>
                        </c15:formulaRef>
                      </c:ext>
                    </c:extLst>
                    <c:strCache>
                      <c:ptCount val="1"/>
                      <c:pt idx="0">
                        <c:v>MRIP+HB</c:v>
                      </c:pt>
                    </c:strCache>
                  </c:strRef>
                </c:tx>
                <c:spPr>
                  <a:ln>
                    <a:solidFill>
                      <a:schemeClr val="bg1">
                        <a:lumMod val="50000"/>
                      </a:schemeClr>
                    </a:solid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'Snappers Complex'!$M$66:$M$97</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Complex'!$S$66:$S$97</c15:sqref>
                        </c15:formulaRef>
                      </c:ext>
                    </c:extLst>
                    <c:numCache>
                      <c:formatCode>#,##0</c:formatCode>
                      <c:ptCount val="32"/>
                      <c:pt idx="0">
                        <c:v>530368.22556211695</c:v>
                      </c:pt>
                      <c:pt idx="1">
                        <c:v>541839.39855974435</c:v>
                      </c:pt>
                      <c:pt idx="3">
                        <c:v>854004.27676203893</c:v>
                      </c:pt>
                      <c:pt idx="4">
                        <c:v>754129.98577317141</c:v>
                      </c:pt>
                      <c:pt idx="5">
                        <c:v>1455455.7714206979</c:v>
                      </c:pt>
                      <c:pt idx="7">
                        <c:v>694823.36481326923</c:v>
                      </c:pt>
                      <c:pt idx="8">
                        <c:v>734708.92271164886</c:v>
                      </c:pt>
                      <c:pt idx="9">
                        <c:v>795027.29278708249</c:v>
                      </c:pt>
                      <c:pt idx="10">
                        <c:v>618517.99763849878</c:v>
                      </c:pt>
                      <c:pt idx="11">
                        <c:v>623946.87419561157</c:v>
                      </c:pt>
                      <c:pt idx="12">
                        <c:v>703082.06503170158</c:v>
                      </c:pt>
                      <c:pt idx="13">
                        <c:v>1522700.3559082656</c:v>
                      </c:pt>
                      <c:pt idx="14">
                        <c:v>1763894.1813015554</c:v>
                      </c:pt>
                      <c:pt idx="15">
                        <c:v>1013357.0298124321</c:v>
                      </c:pt>
                      <c:pt idx="16">
                        <c:v>1477522.3322867667</c:v>
                      </c:pt>
                      <c:pt idx="17">
                        <c:v>1593336.7466017809</c:v>
                      </c:pt>
                      <c:pt idx="18">
                        <c:v>927642.53162182961</c:v>
                      </c:pt>
                      <c:pt idx="19">
                        <c:v>991400.26051353454</c:v>
                      </c:pt>
                      <c:pt idx="20">
                        <c:v>1248404.4962922686</c:v>
                      </c:pt>
                      <c:pt idx="21">
                        <c:v>1324807.0731004379</c:v>
                      </c:pt>
                      <c:pt idx="22">
                        <c:v>826726.4324463926</c:v>
                      </c:pt>
                      <c:pt idx="23">
                        <c:v>747481.25177361758</c:v>
                      </c:pt>
                      <c:pt idx="24">
                        <c:v>440614.21782255743</c:v>
                      </c:pt>
                      <c:pt idx="25">
                        <c:v>591663.8148711028</c:v>
                      </c:pt>
                      <c:pt idx="26">
                        <c:v>478789.94909591333</c:v>
                      </c:pt>
                      <c:pt idx="27">
                        <c:v>2047714.119079493</c:v>
                      </c:pt>
                      <c:pt idx="28">
                        <c:v>2732197.4782402148</c:v>
                      </c:pt>
                      <c:pt idx="29">
                        <c:v>1698787.1168874248</c:v>
                      </c:pt>
                      <c:pt idx="30">
                        <c:v>3798237.9741040613</c:v>
                      </c:pt>
                      <c:pt idx="31">
                        <c:v>3035086.7078882768</c:v>
                      </c:pt>
                    </c:numCache>
                  </c:numRef>
                </c:yVal>
                <c:smooth val="0"/>
                <c:extLst xmlns:c15="http://schemas.microsoft.com/office/drawing/2012/chart">
                  <c:ext xmlns:c16="http://schemas.microsoft.com/office/drawing/2014/chart" uri="{C3380CC4-5D6E-409C-BE32-E72D297353CC}">
                    <c16:uniqueId val="{00000004-9F92-4ACE-B4A8-0554010EAE53}"/>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0"/>
          <c:order val="0"/>
          <c:tx>
            <c:strRef>
              <c:f>'Snappers Complex'!$C$3</c:f>
              <c:strCache>
                <c:ptCount val="1"/>
                <c:pt idx="0">
                  <c:v>Total New Wgt</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98338.986927499995</c:v>
                </c:pt>
                <c:pt idx="1">
                  <c:v>220620.74456900003</c:v>
                </c:pt>
                <c:pt idx="2">
                  <c:v>259163.53684817994</c:v>
                </c:pt>
                <c:pt idx="3">
                  <c:v>279830.34755339992</c:v>
                </c:pt>
                <c:pt idx="4">
                  <c:v>109635.04716607997</c:v>
                </c:pt>
                <c:pt idx="5">
                  <c:v>169038.47001900006</c:v>
                </c:pt>
                <c:pt idx="6">
                  <c:v>151385.50396001001</c:v>
                </c:pt>
                <c:pt idx="7">
                  <c:v>196759.20734440995</c:v>
                </c:pt>
                <c:pt idx="8">
                  <c:v>131606.25837222004</c:v>
                </c:pt>
                <c:pt idx="9">
                  <c:v>108343.510384188</c:v>
                </c:pt>
                <c:pt idx="10">
                  <c:v>108684.90697527002</c:v>
                </c:pt>
                <c:pt idx="11">
                  <c:v>149958.94457294999</c:v>
                </c:pt>
                <c:pt idx="12">
                  <c:v>120814.33820581202</c:v>
                </c:pt>
                <c:pt idx="13">
                  <c:v>195417.37362071592</c:v>
                </c:pt>
                <c:pt idx="14">
                  <c:v>324943.169827645</c:v>
                </c:pt>
                <c:pt idx="15">
                  <c:v>298956.78509271593</c:v>
                </c:pt>
                <c:pt idx="16">
                  <c:v>244115.19369663898</c:v>
                </c:pt>
                <c:pt idx="17">
                  <c:v>344023.09093260486</c:v>
                </c:pt>
                <c:pt idx="18">
                  <c:v>124864.40475688862</c:v>
                </c:pt>
                <c:pt idx="19">
                  <c:v>204609.43768056307</c:v>
                </c:pt>
                <c:pt idx="20">
                  <c:v>141123.54860109391</c:v>
                </c:pt>
                <c:pt idx="21">
                  <c:v>157420.68370025494</c:v>
                </c:pt>
                <c:pt idx="22">
                  <c:v>149370.04143681895</c:v>
                </c:pt>
                <c:pt idx="23">
                  <c:v>123561.04969450996</c:v>
                </c:pt>
                <c:pt idx="24">
                  <c:v>53406.190681373286</c:v>
                </c:pt>
                <c:pt idx="25">
                  <c:v>67729.469726989977</c:v>
                </c:pt>
                <c:pt idx="26">
                  <c:v>95488.40036263199</c:v>
                </c:pt>
                <c:pt idx="27">
                  <c:v>193869.72169237808</c:v>
                </c:pt>
                <c:pt idx="28">
                  <c:v>311029.48830796516</c:v>
                </c:pt>
                <c:pt idx="29">
                  <c:v>145484.61572458898</c:v>
                </c:pt>
                <c:pt idx="30">
                  <c:v>197574.90094490608</c:v>
                </c:pt>
                <c:pt idx="31">
                  <c:v>156100.76674494802</c:v>
                </c:pt>
              </c:numCache>
            </c:numRef>
          </c:yVal>
          <c:smooth val="0"/>
          <c:extLst>
            <c:ext xmlns:c16="http://schemas.microsoft.com/office/drawing/2014/chart" uri="{C3380CC4-5D6E-409C-BE32-E72D297353CC}">
              <c16:uniqueId val="{00000000-A8CF-4DD6-A8EB-186D3EAA1D0A}"/>
            </c:ext>
          </c:extLst>
        </c:ser>
        <c:ser>
          <c:idx val="3"/>
          <c:order val="2"/>
          <c:tx>
            <c:strRef>
              <c:f>'Snappers Complex'!$J$3</c:f>
              <c:strCache>
                <c:ptCount val="1"/>
                <c:pt idx="0">
                  <c:v>Total Orig FES</c:v>
                </c:pt>
              </c:strCache>
            </c:strRef>
          </c:tx>
          <c:spPr>
            <a:ln>
              <a:solidFill>
                <a:schemeClr val="accent2"/>
              </a:solidFill>
            </a:ln>
          </c:spPr>
          <c:marker>
            <c:symbol val="x"/>
            <c:size val="7"/>
            <c:spPr>
              <a:noFill/>
              <a:ln>
                <a:solidFill>
                  <a:schemeClr val="accent2"/>
                </a:solidFill>
              </a:ln>
            </c:spPr>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Complex'!$J$4:$J$35</c:f>
              <c:numCache>
                <c:formatCode>#,##0</c:formatCode>
                <c:ptCount val="32"/>
                <c:pt idx="0">
                  <c:v>98466.935981899995</c:v>
                </c:pt>
                <c:pt idx="1">
                  <c:v>220620.74456900003</c:v>
                </c:pt>
                <c:pt idx="2">
                  <c:v>219978.78372830997</c:v>
                </c:pt>
                <c:pt idx="3">
                  <c:v>275828.17498739995</c:v>
                </c:pt>
                <c:pt idx="4">
                  <c:v>109738.17217172997</c:v>
                </c:pt>
                <c:pt idx="5">
                  <c:v>171485.70561690006</c:v>
                </c:pt>
                <c:pt idx="6">
                  <c:v>159492.27902093003</c:v>
                </c:pt>
                <c:pt idx="7">
                  <c:v>191787.58854641</c:v>
                </c:pt>
                <c:pt idx="8">
                  <c:v>134661.67887548002</c:v>
                </c:pt>
                <c:pt idx="9">
                  <c:v>111827.00694138801</c:v>
                </c:pt>
                <c:pt idx="10">
                  <c:v>111707.91492649</c:v>
                </c:pt>
                <c:pt idx="11">
                  <c:v>140850.99575268998</c:v>
                </c:pt>
                <c:pt idx="12">
                  <c:v>120544.97035701203</c:v>
                </c:pt>
                <c:pt idx="13">
                  <c:v>212748.68030181588</c:v>
                </c:pt>
                <c:pt idx="14">
                  <c:v>278320.64280462387</c:v>
                </c:pt>
                <c:pt idx="15">
                  <c:v>306382.69572570879</c:v>
                </c:pt>
                <c:pt idx="16">
                  <c:v>244330.98135973996</c:v>
                </c:pt>
                <c:pt idx="17">
                  <c:v>322544.70804340485</c:v>
                </c:pt>
                <c:pt idx="18">
                  <c:v>139368.99579653761</c:v>
                </c:pt>
                <c:pt idx="19">
                  <c:v>204966.87217096309</c:v>
                </c:pt>
                <c:pt idx="20">
                  <c:v>144141.59802695393</c:v>
                </c:pt>
                <c:pt idx="21">
                  <c:v>160622.0146986749</c:v>
                </c:pt>
                <c:pt idx="22">
                  <c:v>144621.28706763891</c:v>
                </c:pt>
                <c:pt idx="23">
                  <c:v>113699.07461037998</c:v>
                </c:pt>
                <c:pt idx="24">
                  <c:v>53358.724294073283</c:v>
                </c:pt>
                <c:pt idx="25">
                  <c:v>64215.344283489991</c:v>
                </c:pt>
                <c:pt idx="26">
                  <c:v>92373.638970981963</c:v>
                </c:pt>
                <c:pt idx="27">
                  <c:v>202456.94651098902</c:v>
                </c:pt>
                <c:pt idx="28">
                  <c:v>264235.93607674027</c:v>
                </c:pt>
                <c:pt idx="29">
                  <c:v>150962.38352636198</c:v>
                </c:pt>
                <c:pt idx="30">
                  <c:v>195551.96447200605</c:v>
                </c:pt>
                <c:pt idx="31">
                  <c:v>160925.66482751805</c:v>
                </c:pt>
              </c:numCache>
            </c:numRef>
          </c:yVal>
          <c:smooth val="0"/>
          <c:extLst>
            <c:ext xmlns:c16="http://schemas.microsoft.com/office/drawing/2014/chart" uri="{C3380CC4-5D6E-409C-BE32-E72D297353CC}">
              <c16:uniqueId val="{00000002-A8CF-4DD6-A8EB-186D3EAA1D0A}"/>
            </c:ext>
          </c:extLst>
        </c:ser>
        <c:ser>
          <c:idx val="1"/>
          <c:order val="5"/>
          <c:tx>
            <c:strRef>
              <c:f>'Snappers Complex'!$C$41</c:f>
              <c:strCache>
                <c:ptCount val="1"/>
                <c:pt idx="0">
                  <c:v>Old ABC/ACL</c:v>
                </c:pt>
              </c:strCache>
            </c:strRef>
          </c:tx>
          <c:spPr>
            <a:ln w="38100">
              <a:solidFill>
                <a:schemeClr val="tx1"/>
              </a:solidFill>
            </a:ln>
          </c:spPr>
          <c:marker>
            <c:symbol val="none"/>
          </c:marker>
          <c:xVal>
            <c:numRef>
              <c:f>'Snappers Complex'!$A$42:$A$47</c:f>
              <c:numCache>
                <c:formatCode>General</c:formatCode>
                <c:ptCount val="6"/>
                <c:pt idx="0">
                  <c:v>2012</c:v>
                </c:pt>
                <c:pt idx="1">
                  <c:v>2013</c:v>
                </c:pt>
                <c:pt idx="2">
                  <c:v>2014</c:v>
                </c:pt>
                <c:pt idx="3">
                  <c:v>2015</c:v>
                </c:pt>
                <c:pt idx="4">
                  <c:v>2016</c:v>
                </c:pt>
                <c:pt idx="5">
                  <c:v>2017</c:v>
                </c:pt>
              </c:numCache>
            </c:numRef>
          </c:xVal>
          <c:yVal>
            <c:numRef>
              <c:f>'Snappers Complex'!$C$42:$C$47</c:f>
              <c:numCache>
                <c:formatCode>#,##0</c:formatCode>
                <c:ptCount val="6"/>
                <c:pt idx="0">
                  <c:v>298956.78509271593</c:v>
                </c:pt>
                <c:pt idx="1">
                  <c:v>298956.78509271593</c:v>
                </c:pt>
                <c:pt idx="2">
                  <c:v>298956.78509271593</c:v>
                </c:pt>
                <c:pt idx="3">
                  <c:v>412827.70911912585</c:v>
                </c:pt>
                <c:pt idx="4">
                  <c:v>412827.70911912585</c:v>
                </c:pt>
                <c:pt idx="5">
                  <c:v>412827.70911912585</c:v>
                </c:pt>
              </c:numCache>
            </c:numRef>
          </c:yVal>
          <c:smooth val="0"/>
          <c:extLst>
            <c:ext xmlns:c16="http://schemas.microsoft.com/office/drawing/2014/chart" uri="{C3380CC4-5D6E-409C-BE32-E72D297353CC}">
              <c16:uniqueId val="{00000005-A8CF-4DD6-A8EB-186D3EAA1D0A}"/>
            </c:ext>
          </c:extLst>
        </c:ser>
        <c:ser>
          <c:idx val="5"/>
          <c:order val="6"/>
          <c:tx>
            <c:strRef>
              <c:f>'Snappers Complex'!$J$41</c:f>
              <c:strCache>
                <c:ptCount val="1"/>
                <c:pt idx="0">
                  <c:v>New ABC/ACL</c:v>
                </c:pt>
              </c:strCache>
            </c:strRef>
          </c:tx>
          <c:spPr>
            <a:ln>
              <a:solidFill>
                <a:srgbClr val="7030A0"/>
              </a:solidFill>
            </a:ln>
          </c:spPr>
          <c:marker>
            <c:symbol val="none"/>
          </c:marker>
          <c:xVal>
            <c:numRef>
              <c:f>'Snappers Complex'!$H$42:$H$47</c:f>
              <c:numCache>
                <c:formatCode>General</c:formatCode>
                <c:ptCount val="6"/>
                <c:pt idx="0">
                  <c:v>2012</c:v>
                </c:pt>
                <c:pt idx="1">
                  <c:v>2013</c:v>
                </c:pt>
                <c:pt idx="2">
                  <c:v>2014</c:v>
                </c:pt>
                <c:pt idx="3">
                  <c:v>2015</c:v>
                </c:pt>
                <c:pt idx="4">
                  <c:v>2016</c:v>
                </c:pt>
                <c:pt idx="5">
                  <c:v>2017</c:v>
                </c:pt>
              </c:numCache>
            </c:numRef>
          </c:xVal>
          <c:yVal>
            <c:numRef>
              <c:f>'Snappers Complex'!$J$42:$J$47</c:f>
              <c:numCache>
                <c:formatCode>#,##0</c:formatCode>
                <c:ptCount val="6"/>
                <c:pt idx="0">
                  <c:v>278320.64280462387</c:v>
                </c:pt>
                <c:pt idx="1">
                  <c:v>278320.64280462387</c:v>
                </c:pt>
                <c:pt idx="2">
                  <c:v>278320.64280462387</c:v>
                </c:pt>
                <c:pt idx="3">
                  <c:v>387053.64965208585</c:v>
                </c:pt>
                <c:pt idx="4">
                  <c:v>387053.64965208585</c:v>
                </c:pt>
                <c:pt idx="5">
                  <c:v>387053.64965208585</c:v>
                </c:pt>
              </c:numCache>
            </c:numRef>
          </c:yVal>
          <c:smooth val="0"/>
          <c:extLst>
            <c:ext xmlns:c16="http://schemas.microsoft.com/office/drawing/2014/chart" uri="{C3380CC4-5D6E-409C-BE32-E72D297353CC}">
              <c16:uniqueId val="{00000006-A8CF-4DD6-A8EB-186D3EAA1D0A}"/>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2"/>
                <c:order val="1"/>
                <c:tx>
                  <c:strRef>
                    <c:extLst>
                      <c:ext uri="{02D57815-91ED-43cb-92C2-25804820EDAC}">
                        <c15:formulaRef>
                          <c15:sqref>'Snappers Complex'!$X$3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'Snappers Complex'!$V$4:$V$35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Complex'!$X$4:$X$35</c15:sqref>
                        </c15:formulaRef>
                      </c:ext>
                    </c:extLst>
                    <c:numCache>
                      <c:formatCode>#,##0</c:formatCode>
                      <c:ptCount val="32"/>
                      <c:pt idx="0">
                        <c:v>70510.986927499995</c:v>
                      </c:pt>
                      <c:pt idx="1">
                        <c:v>175928.74456900003</c:v>
                      </c:pt>
                      <c:pt idx="2">
                        <c:v>218599.53684817994</c:v>
                      </c:pt>
                      <c:pt idx="3">
                        <c:v>256267.34755339992</c:v>
                      </c:pt>
                      <c:pt idx="4">
                        <c:v>97573.047166079967</c:v>
                      </c:pt>
                      <c:pt idx="5">
                        <c:v>134742.47001900006</c:v>
                      </c:pt>
                      <c:pt idx="6">
                        <c:v>122984.50396001001</c:v>
                      </c:pt>
                      <c:pt idx="7">
                        <c:v>169229.20734440995</c:v>
                      </c:pt>
                      <c:pt idx="8">
                        <c:v>101486.25837222002</c:v>
                      </c:pt>
                      <c:pt idx="9">
                        <c:v>85165.510384188005</c:v>
                      </c:pt>
                      <c:pt idx="10">
                        <c:v>77066.906975270016</c:v>
                      </c:pt>
                      <c:pt idx="11">
                        <c:v>107024.94457294999</c:v>
                      </c:pt>
                      <c:pt idx="12">
                        <c:v>97633.338205812019</c:v>
                      </c:pt>
                      <c:pt idx="13">
                        <c:v>174753.37362071592</c:v>
                      </c:pt>
                      <c:pt idx="14">
                        <c:v>308564.169827645</c:v>
                      </c:pt>
                      <c:pt idx="15">
                        <c:v>277181.78509271593</c:v>
                      </c:pt>
                      <c:pt idx="16">
                        <c:v>225426.19369663898</c:v>
                      </c:pt>
                      <c:pt idx="17">
                        <c:v>330676.09093260486</c:v>
                      </c:pt>
                      <c:pt idx="18">
                        <c:v>113243.40475688862</c:v>
                      </c:pt>
                      <c:pt idx="19">
                        <c:v>196124.43768056307</c:v>
                      </c:pt>
                      <c:pt idx="20">
                        <c:v>133734.54860109391</c:v>
                      </c:pt>
                      <c:pt idx="21">
                        <c:v>152109.68370025494</c:v>
                      </c:pt>
                      <c:pt idx="22">
                        <c:v>143716.04143681895</c:v>
                      </c:pt>
                      <c:pt idx="23">
                        <c:v>119635.04969450996</c:v>
                      </c:pt>
                      <c:pt idx="24">
                        <c:v>49673.190681373286</c:v>
                      </c:pt>
                      <c:pt idx="25">
                        <c:v>65808.469726989977</c:v>
                      </c:pt>
                      <c:pt idx="26">
                        <c:v>93080.40036263199</c:v>
                      </c:pt>
                      <c:pt idx="27">
                        <c:v>190552.72169237808</c:v>
                      </c:pt>
                      <c:pt idx="28">
                        <c:v>307129.48830796516</c:v>
                      </c:pt>
                      <c:pt idx="29">
                        <c:v>143030.61572458898</c:v>
                      </c:pt>
                      <c:pt idx="30">
                        <c:v>190862.90094490608</c:v>
                      </c:pt>
                      <c:pt idx="31">
                        <c:v>151721.76674494802</c:v>
                      </c:pt>
                    </c:numCache>
                  </c:numRef>
                </c:yVal>
                <c:smooth val="0"/>
                <c:extLst>
                  <c:ext xmlns:c16="http://schemas.microsoft.com/office/drawing/2014/chart" uri="{C3380CC4-5D6E-409C-BE32-E72D297353CC}">
                    <c16:uniqueId val="{00000001-A8CF-4DD6-A8EB-186D3EAA1D0A}"/>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'Snappers Complex'!$AD$3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'Snappers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Complex'!$AD$4:$AD$35</c15:sqref>
                        </c15:formulaRef>
                      </c:ext>
                    </c:extLst>
                    <c:numCache>
                      <c:formatCode>#,##0</c:formatCode>
                      <c:ptCount val="32"/>
                      <c:pt idx="0">
                        <c:v>70638.935981899995</c:v>
                      </c:pt>
                      <c:pt idx="1">
                        <c:v>175928.74456900003</c:v>
                      </c:pt>
                      <c:pt idx="2">
                        <c:v>179414.78372830997</c:v>
                      </c:pt>
                      <c:pt idx="3">
                        <c:v>252265.17498739995</c:v>
                      </c:pt>
                      <c:pt idx="4">
                        <c:v>97676.172171729966</c:v>
                      </c:pt>
                      <c:pt idx="5">
                        <c:v>137189.70561690006</c:v>
                      </c:pt>
                      <c:pt idx="6">
                        <c:v>131091.27902093003</c:v>
                      </c:pt>
                      <c:pt idx="7">
                        <c:v>164257.58854641</c:v>
                      </c:pt>
                      <c:pt idx="8">
                        <c:v>104541.67887548001</c:v>
                      </c:pt>
                      <c:pt idx="9">
                        <c:v>88649.006941388012</c:v>
                      </c:pt>
                      <c:pt idx="10">
                        <c:v>80089.914926490004</c:v>
                      </c:pt>
                      <c:pt idx="11">
                        <c:v>97916.995752689982</c:v>
                      </c:pt>
                      <c:pt idx="12">
                        <c:v>97363.970357012033</c:v>
                      </c:pt>
                      <c:pt idx="13">
                        <c:v>192084.68030181588</c:v>
                      </c:pt>
                      <c:pt idx="14">
                        <c:v>261941.64280462387</c:v>
                      </c:pt>
                      <c:pt idx="15">
                        <c:v>284607.69572570879</c:v>
                      </c:pt>
                      <c:pt idx="16">
                        <c:v>225641.98135973996</c:v>
                      </c:pt>
                      <c:pt idx="17">
                        <c:v>309197.70804340485</c:v>
                      </c:pt>
                      <c:pt idx="18">
                        <c:v>127747.99579653761</c:v>
                      </c:pt>
                      <c:pt idx="19">
                        <c:v>196481.87217096309</c:v>
                      </c:pt>
                      <c:pt idx="20">
                        <c:v>136752.59802695393</c:v>
                      </c:pt>
                      <c:pt idx="21">
                        <c:v>155311.0146986749</c:v>
                      </c:pt>
                      <c:pt idx="22">
                        <c:v>138967.28706763891</c:v>
                      </c:pt>
                      <c:pt idx="23">
                        <c:v>109773.07461037998</c:v>
                      </c:pt>
                      <c:pt idx="24">
                        <c:v>49625.724294073283</c:v>
                      </c:pt>
                      <c:pt idx="25">
                        <c:v>62294.344283489991</c:v>
                      </c:pt>
                      <c:pt idx="26">
                        <c:v>89965.638970981963</c:v>
                      </c:pt>
                      <c:pt idx="27">
                        <c:v>199139.94651098902</c:v>
                      </c:pt>
                      <c:pt idx="28">
                        <c:v>260335.9360767403</c:v>
                      </c:pt>
                      <c:pt idx="29">
                        <c:v>148508.38352636198</c:v>
                      </c:pt>
                      <c:pt idx="30">
                        <c:v>188839.96447200605</c:v>
                      </c:pt>
                      <c:pt idx="31">
                        <c:v>156546.66482751805</c:v>
                      </c:pt>
                    </c:numCache>
                  </c:numRef>
                </c:yVal>
                <c:smooth val="0"/>
                <c:extLst xmlns:c15="http://schemas.microsoft.com/office/drawing/2012/chart">
                  <c:ext xmlns:c16="http://schemas.microsoft.com/office/drawing/2014/chart" uri="{C3380CC4-5D6E-409C-BE32-E72D297353CC}">
                    <c16:uniqueId val="{00000003-A8CF-4DD6-A8EB-186D3EAA1D0A}"/>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'Snappers Complex'!$AD$65</c15:sqref>
                        </c15:formulaRef>
                      </c:ext>
                    </c:extLst>
                    <c:strCache>
                      <c:ptCount val="1"/>
                      <c:pt idx="0">
                        <c:v>MRIP+HB</c:v>
                      </c:pt>
                    </c:strCache>
                  </c:strRef>
                </c:tx>
                <c:spPr>
                  <a:ln>
                    <a:solidFill>
                      <a:schemeClr val="bg1">
                        <a:lumMod val="50000"/>
                      </a:schemeClr>
                    </a:solid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'Snappers Complex'!$X$66:$X$97</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Complex'!$AD$66:$AD$97</c15:sqref>
                        </c15:formulaRef>
                      </c:ext>
                    </c:extLst>
                    <c:numCache>
                      <c:formatCode>#,##0</c:formatCode>
                      <c:ptCount val="32"/>
                      <c:pt idx="0">
                        <c:v>53013.667704193729</c:v>
                      </c:pt>
                      <c:pt idx="1">
                        <c:v>175775.38113030116</c:v>
                      </c:pt>
                      <c:pt idx="3">
                        <c:v>237048.14883369108</c:v>
                      </c:pt>
                      <c:pt idx="4">
                        <c:v>116072.67256181818</c:v>
                      </c:pt>
                      <c:pt idx="5">
                        <c:v>149123.68583959341</c:v>
                      </c:pt>
                      <c:pt idx="7">
                        <c:v>175623.85547566833</c:v>
                      </c:pt>
                      <c:pt idx="8">
                        <c:v>108034.49906153241</c:v>
                      </c:pt>
                      <c:pt idx="9">
                        <c:v>78719.818533971134</c:v>
                      </c:pt>
                      <c:pt idx="10">
                        <c:v>76609.499874141795</c:v>
                      </c:pt>
                      <c:pt idx="11">
                        <c:v>107574.4753350598</c:v>
                      </c:pt>
                      <c:pt idx="12">
                        <c:v>106437.41836395417</c:v>
                      </c:pt>
                      <c:pt idx="13">
                        <c:v>175195.95859446836</c:v>
                      </c:pt>
                      <c:pt idx="14">
                        <c:v>287875.90152774984</c:v>
                      </c:pt>
                      <c:pt idx="15">
                        <c:v>285555.67621659511</c:v>
                      </c:pt>
                      <c:pt idx="16">
                        <c:v>224851.60809548374</c:v>
                      </c:pt>
                      <c:pt idx="17">
                        <c:v>334805.21774241072</c:v>
                      </c:pt>
                      <c:pt idx="18">
                        <c:v>125152.59735827563</c:v>
                      </c:pt>
                      <c:pt idx="19">
                        <c:v>199703.63408795057</c:v>
                      </c:pt>
                      <c:pt idx="20">
                        <c:v>134427.35938467766</c:v>
                      </c:pt>
                      <c:pt idx="21">
                        <c:v>151516.15391435788</c:v>
                      </c:pt>
                      <c:pt idx="22">
                        <c:v>151073.31309826364</c:v>
                      </c:pt>
                      <c:pt idx="23">
                        <c:v>116733.03894617104</c:v>
                      </c:pt>
                      <c:pt idx="24">
                        <c:v>49452.819604541604</c:v>
                      </c:pt>
                      <c:pt idx="25">
                        <c:v>73139.928570420292</c:v>
                      </c:pt>
                      <c:pt idx="26">
                        <c:v>88187.658332082152</c:v>
                      </c:pt>
                      <c:pt idx="27">
                        <c:v>187299.28424147706</c:v>
                      </c:pt>
                      <c:pt idx="28">
                        <c:v>354237.30480394053</c:v>
                      </c:pt>
                      <c:pt idx="29">
                        <c:v>143458.69360124914</c:v>
                      </c:pt>
                      <c:pt idx="30">
                        <c:v>176349.33926773025</c:v>
                      </c:pt>
                      <c:pt idx="31">
                        <c:v>156481.2191087002</c:v>
                      </c:pt>
                    </c:numCache>
                  </c:numRef>
                </c:yVal>
                <c:smooth val="0"/>
                <c:extLst xmlns:c15="http://schemas.microsoft.com/office/drawing/2012/chart">
                  <c:ext xmlns:c16="http://schemas.microsoft.com/office/drawing/2014/chart" uri="{C3380CC4-5D6E-409C-BE32-E72D297353CC}">
                    <c16:uniqueId val="{00000004-A8CF-4DD6-A8EB-186D3EAA1D0A}"/>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0"/>
          <c:order val="0"/>
          <c:tx>
            <c:strRef>
              <c:f>'Snappers Complex'!$D$3</c:f>
              <c:strCache>
                <c:ptCount val="1"/>
                <c:pt idx="0">
                  <c:v>Total New Wgt</c:v>
                </c:pt>
              </c:strCache>
            </c:strRef>
          </c:tx>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104217.45838079996</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46861.552826830019</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613759.93731259997</c:v>
                </c:pt>
              </c:numCache>
            </c:numRef>
          </c:yVal>
          <c:smooth val="0"/>
          <c:extLst>
            <c:ext xmlns:c16="http://schemas.microsoft.com/office/drawing/2014/chart" uri="{C3380CC4-5D6E-409C-BE32-E72D297353CC}">
              <c16:uniqueId val="{00000000-D0E1-462E-9A6A-62302AC1DD14}"/>
            </c:ext>
          </c:extLst>
        </c:ser>
        <c:ser>
          <c:idx val="3"/>
          <c:order val="2"/>
          <c:tx>
            <c:strRef>
              <c:f>'Snappers Complex'!$K$3</c:f>
              <c:strCache>
                <c:ptCount val="1"/>
                <c:pt idx="0">
                  <c:v>Total Orig FES</c:v>
                </c:pt>
              </c:strCache>
            </c:strRef>
          </c:tx>
          <c:spPr>
            <a:ln>
              <a:solidFill>
                <a:schemeClr val="accent2"/>
              </a:solidFill>
            </a:ln>
          </c:spPr>
          <c:marker>
            <c:symbol val="x"/>
            <c:size val="7"/>
            <c:spPr>
              <a:noFill/>
              <a:ln>
                <a:solidFill>
                  <a:schemeClr val="accent2"/>
                </a:solidFill>
              </a:ln>
            </c:spPr>
          </c:marker>
          <c:xVal>
            <c:numRef>
              <c:f>'Snappers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Complex'!$K$4:$K$35</c:f>
              <c:numCache>
                <c:formatCode>#,##0</c:formatCode>
                <c:ptCount val="32"/>
                <c:pt idx="0">
                  <c:v>927104.62942410004</c:v>
                </c:pt>
                <c:pt idx="1">
                  <c:v>3058.9894020000002</c:v>
                </c:pt>
                <c:pt idx="2">
                  <c:v>206280.04873039998</c:v>
                </c:pt>
                <c:pt idx="3">
                  <c:v>12057.7458623</c:v>
                </c:pt>
                <c:pt idx="4">
                  <c:v>55667.104298000027</c:v>
                </c:pt>
                <c:pt idx="5">
                  <c:v>245573.21299250005</c:v>
                </c:pt>
                <c:pt idx="6">
                  <c:v>12405.91462</c:v>
                </c:pt>
                <c:pt idx="7">
                  <c:v>336470.25228609983</c:v>
                </c:pt>
                <c:pt idx="8">
                  <c:v>54432.855012</c:v>
                </c:pt>
                <c:pt idx="9">
                  <c:v>655211.32142600033</c:v>
                </c:pt>
                <c:pt idx="10">
                  <c:v>25059.854034700005</c:v>
                </c:pt>
                <c:pt idx="11">
                  <c:v>15482.0763726</c:v>
                </c:pt>
                <c:pt idx="12">
                  <c:v>26664.129780430001</c:v>
                </c:pt>
                <c:pt idx="13">
                  <c:v>21498.340439999996</c:v>
                </c:pt>
                <c:pt idx="14">
                  <c:v>235330.46266142599</c:v>
                </c:pt>
                <c:pt idx="15">
                  <c:v>82362.265053620024</c:v>
                </c:pt>
                <c:pt idx="16">
                  <c:v>37305.950465320006</c:v>
                </c:pt>
                <c:pt idx="17">
                  <c:v>53445.171013999992</c:v>
                </c:pt>
                <c:pt idx="18">
                  <c:v>13569.864626299999</c:v>
                </c:pt>
                <c:pt idx="19">
                  <c:v>4300.0670132000005</c:v>
                </c:pt>
                <c:pt idx="20">
                  <c:v>9253.9103844399997</c:v>
                </c:pt>
                <c:pt idx="21">
                  <c:v>16748.899067800001</c:v>
                </c:pt>
                <c:pt idx="22">
                  <c:v>65991.039220999999</c:v>
                </c:pt>
                <c:pt idx="23">
                  <c:v>46861.552826830004</c:v>
                </c:pt>
                <c:pt idx="24">
                  <c:v>8257.1655974000005</c:v>
                </c:pt>
                <c:pt idx="25">
                  <c:v>112503.83203439999</c:v>
                </c:pt>
                <c:pt idx="26">
                  <c:v>42572.609763799992</c:v>
                </c:pt>
                <c:pt idx="27">
                  <c:v>15874.752743200006</c:v>
                </c:pt>
                <c:pt idx="28">
                  <c:v>83815.302887999977</c:v>
                </c:pt>
                <c:pt idx="29">
                  <c:v>10215.4591048</c:v>
                </c:pt>
                <c:pt idx="30">
                  <c:v>6491.1146678000005</c:v>
                </c:pt>
                <c:pt idx="31">
                  <c:v>613759.93731259985</c:v>
                </c:pt>
              </c:numCache>
            </c:numRef>
          </c:yVal>
          <c:smooth val="0"/>
          <c:extLst>
            <c:ext xmlns:c16="http://schemas.microsoft.com/office/drawing/2014/chart" uri="{C3380CC4-5D6E-409C-BE32-E72D297353CC}">
              <c16:uniqueId val="{00000002-D0E1-462E-9A6A-62302AC1DD14}"/>
            </c:ext>
          </c:extLst>
        </c:ser>
        <c:ser>
          <c:idx val="1"/>
          <c:order val="5"/>
          <c:tx>
            <c:strRef>
              <c:f>'Snappers Complex'!$D$41</c:f>
              <c:strCache>
                <c:ptCount val="1"/>
                <c:pt idx="0">
                  <c:v>Old ABC/ACL</c:v>
                </c:pt>
              </c:strCache>
            </c:strRef>
          </c:tx>
          <c:spPr>
            <a:ln w="38100">
              <a:solidFill>
                <a:schemeClr val="tx1"/>
              </a:solidFill>
            </a:ln>
          </c:spPr>
          <c:marker>
            <c:symbol val="none"/>
          </c:marker>
          <c:xVal>
            <c:numRef>
              <c:f>'Snappers Complex'!$A$42:$A$47</c:f>
              <c:numCache>
                <c:formatCode>General</c:formatCode>
                <c:ptCount val="6"/>
                <c:pt idx="0">
                  <c:v>2012</c:v>
                </c:pt>
                <c:pt idx="1">
                  <c:v>2013</c:v>
                </c:pt>
                <c:pt idx="2">
                  <c:v>2014</c:v>
                </c:pt>
                <c:pt idx="3">
                  <c:v>2015</c:v>
                </c:pt>
                <c:pt idx="4">
                  <c:v>2016</c:v>
                </c:pt>
                <c:pt idx="5">
                  <c:v>2017</c:v>
                </c:pt>
              </c:numCache>
            </c:numRef>
          </c:xVal>
          <c:yVal>
            <c:numRef>
              <c:f>'Snappers Complex'!$D$42:$D$47</c:f>
              <c:numCache>
                <c:formatCode>#,##0</c:formatCode>
                <c:ptCount val="6"/>
                <c:pt idx="0">
                  <c:v>53445.171013999992</c:v>
                </c:pt>
                <c:pt idx="1">
                  <c:v>53445.171013999992</c:v>
                </c:pt>
                <c:pt idx="2">
                  <c:v>53445.171013999992</c:v>
                </c:pt>
                <c:pt idx="3">
                  <c:v>282396.55519371119</c:v>
                </c:pt>
                <c:pt idx="4">
                  <c:v>282396.55519371119</c:v>
                </c:pt>
                <c:pt idx="5">
                  <c:v>282396.55519371119</c:v>
                </c:pt>
              </c:numCache>
            </c:numRef>
          </c:yVal>
          <c:smooth val="0"/>
          <c:extLst>
            <c:ext xmlns:c16="http://schemas.microsoft.com/office/drawing/2014/chart" uri="{C3380CC4-5D6E-409C-BE32-E72D297353CC}">
              <c16:uniqueId val="{00000005-D0E1-462E-9A6A-62302AC1DD14}"/>
            </c:ext>
          </c:extLst>
        </c:ser>
        <c:ser>
          <c:idx val="5"/>
          <c:order val="6"/>
          <c:tx>
            <c:strRef>
              <c:f>'Snappers Complex'!$K$41</c:f>
              <c:strCache>
                <c:ptCount val="1"/>
                <c:pt idx="0">
                  <c:v>New ABC/ACL</c:v>
                </c:pt>
              </c:strCache>
            </c:strRef>
          </c:tx>
          <c:spPr>
            <a:ln>
              <a:solidFill>
                <a:srgbClr val="7030A0"/>
              </a:solidFill>
            </a:ln>
          </c:spPr>
          <c:marker>
            <c:symbol val="none"/>
          </c:marker>
          <c:xVal>
            <c:numRef>
              <c:f>'Snappers Complex'!$H$42:$H$47</c:f>
              <c:numCache>
                <c:formatCode>General</c:formatCode>
                <c:ptCount val="6"/>
                <c:pt idx="0">
                  <c:v>2012</c:v>
                </c:pt>
                <c:pt idx="1">
                  <c:v>2013</c:v>
                </c:pt>
                <c:pt idx="2">
                  <c:v>2014</c:v>
                </c:pt>
                <c:pt idx="3">
                  <c:v>2015</c:v>
                </c:pt>
                <c:pt idx="4">
                  <c:v>2016</c:v>
                </c:pt>
                <c:pt idx="5">
                  <c:v>2017</c:v>
                </c:pt>
              </c:numCache>
            </c:numRef>
          </c:xVal>
          <c:yVal>
            <c:numRef>
              <c:f>'Snappers Complex'!$K$42:$K$47</c:f>
              <c:numCache>
                <c:formatCode>#,##0</c:formatCode>
                <c:ptCount val="6"/>
                <c:pt idx="0">
                  <c:v>53445.171013999992</c:v>
                </c:pt>
                <c:pt idx="1">
                  <c:v>53445.171013999992</c:v>
                </c:pt>
                <c:pt idx="2">
                  <c:v>53445.171013999992</c:v>
                </c:pt>
                <c:pt idx="3">
                  <c:v>282396.55519371119</c:v>
                </c:pt>
                <c:pt idx="4">
                  <c:v>282396.55519371119</c:v>
                </c:pt>
                <c:pt idx="5">
                  <c:v>282396.55519371119</c:v>
                </c:pt>
              </c:numCache>
            </c:numRef>
          </c:yVal>
          <c:smooth val="0"/>
          <c:extLst>
            <c:ext xmlns:c16="http://schemas.microsoft.com/office/drawing/2014/chart" uri="{C3380CC4-5D6E-409C-BE32-E72D297353CC}">
              <c16:uniqueId val="{00000006-D0E1-462E-9A6A-62302AC1DD14}"/>
            </c:ext>
          </c:extLst>
        </c:ser>
        <c:dLbls>
          <c:showLegendKey val="0"/>
          <c:showVal val="0"/>
          <c:showCatName val="0"/>
          <c:showSerName val="0"/>
          <c:showPercent val="0"/>
          <c:showBubbleSize val="0"/>
        </c:dLbls>
        <c:axId val="343047488"/>
        <c:axId val="313630720"/>
        <c:extLst>
          <c:ext xmlns:c15="http://schemas.microsoft.com/office/drawing/2012/chart" uri="{02D57815-91ED-43cb-92C2-25804820EDAC}">
            <c15:filteredScatterSeries>
              <c15:ser>
                <c:idx val="2"/>
                <c:order val="1"/>
                <c:tx>
                  <c:strRef>
                    <c:extLst>
                      <c:ext uri="{02D57815-91ED-43cb-92C2-25804820EDAC}">
                        <c15:formulaRef>
                          <c15:sqref>'Snappers Complex'!$Y$3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'Snappers Complex'!$V$4:$V$35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'Snappers Complex'!$Y$4:$Y$35</c15:sqref>
                        </c15:formulaRef>
                      </c:ext>
                    </c:extLst>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96605.458380799959</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40908.552826830019</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611009.93731259997</c:v>
                      </c:pt>
                    </c:numCache>
                  </c:numRef>
                </c:yVal>
                <c:smooth val="0"/>
                <c:extLst>
                  <c:ext xmlns:c16="http://schemas.microsoft.com/office/drawing/2014/chart" uri="{C3380CC4-5D6E-409C-BE32-E72D297353CC}">
                    <c16:uniqueId val="{00000001-D0E1-462E-9A6A-62302AC1DD14}"/>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'Snappers Complex'!$AE$3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'Snappers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Complex'!$AE$4:$AE$35</c15:sqref>
                        </c15:formulaRef>
                      </c:ext>
                    </c:extLst>
                    <c:numCache>
                      <c:formatCode>#,##0</c:formatCode>
                      <c:ptCount val="32"/>
                      <c:pt idx="0">
                        <c:v>923668.62942410004</c:v>
                      </c:pt>
                      <c:pt idx="1">
                        <c:v>131.98940200000001</c:v>
                      </c:pt>
                      <c:pt idx="2">
                        <c:v>196898.04873039998</c:v>
                      </c:pt>
                      <c:pt idx="3">
                        <c:v>1215.7458623000005</c:v>
                      </c:pt>
                      <c:pt idx="4">
                        <c:v>46635.104298000027</c:v>
                      </c:pt>
                      <c:pt idx="5">
                        <c:v>236558.21299250005</c:v>
                      </c:pt>
                      <c:pt idx="6">
                        <c:v>1233.91462</c:v>
                      </c:pt>
                      <c:pt idx="7">
                        <c:v>328858.25228609983</c:v>
                      </c:pt>
                      <c:pt idx="8">
                        <c:v>51023.855012</c:v>
                      </c:pt>
                      <c:pt idx="9">
                        <c:v>647359.32142600033</c:v>
                      </c:pt>
                      <c:pt idx="10">
                        <c:v>19115.854034700005</c:v>
                      </c:pt>
                      <c:pt idx="11">
                        <c:v>10155.0763726</c:v>
                      </c:pt>
                      <c:pt idx="12">
                        <c:v>18977.129780430001</c:v>
                      </c:pt>
                      <c:pt idx="13">
                        <c:v>17401.340439999996</c:v>
                      </c:pt>
                      <c:pt idx="14">
                        <c:v>231123.46266142599</c:v>
                      </c:pt>
                      <c:pt idx="15">
                        <c:v>79466.265053620024</c:v>
                      </c:pt>
                      <c:pt idx="16">
                        <c:v>34505.950465320006</c:v>
                      </c:pt>
                      <c:pt idx="17">
                        <c:v>50306.171013999992</c:v>
                      </c:pt>
                      <c:pt idx="18">
                        <c:v>10547.864626299999</c:v>
                      </c:pt>
                      <c:pt idx="19">
                        <c:v>2515.0670132000005</c:v>
                      </c:pt>
                      <c:pt idx="20">
                        <c:v>5498.9103844399997</c:v>
                      </c:pt>
                      <c:pt idx="21">
                        <c:v>11700.899067800001</c:v>
                      </c:pt>
                      <c:pt idx="22">
                        <c:v>58316.039220999999</c:v>
                      </c:pt>
                      <c:pt idx="23">
                        <c:v>40908.552826830004</c:v>
                      </c:pt>
                      <c:pt idx="24">
                        <c:v>3668.1655974000005</c:v>
                      </c:pt>
                      <c:pt idx="25">
                        <c:v>108210.83203439999</c:v>
                      </c:pt>
                      <c:pt idx="26">
                        <c:v>39732.609763799992</c:v>
                      </c:pt>
                      <c:pt idx="27">
                        <c:v>11343.752743200006</c:v>
                      </c:pt>
                      <c:pt idx="28">
                        <c:v>79798.302887999977</c:v>
                      </c:pt>
                      <c:pt idx="29">
                        <c:v>5552.4591048000002</c:v>
                      </c:pt>
                      <c:pt idx="30">
                        <c:v>206.11466780000001</c:v>
                      </c:pt>
                      <c:pt idx="31">
                        <c:v>611009.93731259985</c:v>
                      </c:pt>
                    </c:numCache>
                  </c:numRef>
                </c:yVal>
                <c:smooth val="0"/>
                <c:extLst xmlns:c15="http://schemas.microsoft.com/office/drawing/2012/chart">
                  <c:ext xmlns:c16="http://schemas.microsoft.com/office/drawing/2014/chart" uri="{C3380CC4-5D6E-409C-BE32-E72D297353CC}">
                    <c16:uniqueId val="{00000003-D0E1-462E-9A6A-62302AC1DD14}"/>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'Snappers Complex'!$AO$65</c15:sqref>
                        </c15:formulaRef>
                      </c:ext>
                    </c:extLst>
                    <c:strCache>
                      <c:ptCount val="1"/>
                      <c:pt idx="0">
                        <c:v>MRIP+HB</c:v>
                      </c:pt>
                    </c:strCache>
                  </c:strRef>
                </c:tx>
                <c:spPr>
                  <a:ln>
                    <a:solidFill>
                      <a:schemeClr val="bg1">
                        <a:lumMod val="50000"/>
                      </a:schemeClr>
                    </a:solid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'Snappers Complex'!$AI$66:$AI$97</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'Snappers Complex'!$AO$66:$AO$97</c15:sqref>
                        </c15:formulaRef>
                      </c:ext>
                    </c:extLst>
                    <c:numCache>
                      <c:formatCode>#,##0</c:formatCode>
                      <c:ptCount val="32"/>
                      <c:pt idx="0">
                        <c:v>376395.51614250615</c:v>
                      </c:pt>
                      <c:pt idx="1">
                        <c:v>131.98940200000001</c:v>
                      </c:pt>
                      <c:pt idx="4">
                        <c:v>117862.19286025687</c:v>
                      </c:pt>
                      <c:pt idx="5">
                        <c:v>601498.69791348418</c:v>
                      </c:pt>
                      <c:pt idx="6">
                        <c:v>1233.91462</c:v>
                      </c:pt>
                      <c:pt idx="7">
                        <c:v>83938.953119781567</c:v>
                      </c:pt>
                      <c:pt idx="8">
                        <c:v>15439.397272450928</c:v>
                      </c:pt>
                      <c:pt idx="9">
                        <c:v>519366.32732889988</c:v>
                      </c:pt>
                      <c:pt idx="10">
                        <c:v>3256.115029436814</c:v>
                      </c:pt>
                      <c:pt idx="11">
                        <c:v>4049.8380653807976</c:v>
                      </c:pt>
                      <c:pt idx="12">
                        <c:v>7188.1712783347484</c:v>
                      </c:pt>
                      <c:pt idx="13">
                        <c:v>7028.9583912254311</c:v>
                      </c:pt>
                      <c:pt idx="14">
                        <c:v>377916.81759383238</c:v>
                      </c:pt>
                      <c:pt idx="15">
                        <c:v>62540.32190231156</c:v>
                      </c:pt>
                      <c:pt idx="16">
                        <c:v>29535.542688281559</c:v>
                      </c:pt>
                      <c:pt idx="17">
                        <c:v>115010.83471166561</c:v>
                      </c:pt>
                      <c:pt idx="18">
                        <c:v>6132.4684223441054</c:v>
                      </c:pt>
                      <c:pt idx="19">
                        <c:v>1565.0062484011346</c:v>
                      </c:pt>
                      <c:pt idx="20">
                        <c:v>5644.1595159530934</c:v>
                      </c:pt>
                      <c:pt idx="21">
                        <c:v>11700.899067800001</c:v>
                      </c:pt>
                      <c:pt idx="22">
                        <c:v>45262.763092831199</c:v>
                      </c:pt>
                      <c:pt idx="23">
                        <c:v>32625.283683476708</c:v>
                      </c:pt>
                      <c:pt idx="24">
                        <c:v>3668.1655974000005</c:v>
                      </c:pt>
                      <c:pt idx="25">
                        <c:v>23281.766506692926</c:v>
                      </c:pt>
                      <c:pt idx="26">
                        <c:v>36108.117144125179</c:v>
                      </c:pt>
                      <c:pt idx="27">
                        <c:v>11944.440470490696</c:v>
                      </c:pt>
                      <c:pt idx="28">
                        <c:v>8020.0434982893748</c:v>
                      </c:pt>
                      <c:pt idx="29">
                        <c:v>6017.0235331707036</c:v>
                      </c:pt>
                      <c:pt idx="30">
                        <c:v>206.11466780000001</c:v>
                      </c:pt>
                      <c:pt idx="31">
                        <c:v>464995.53944777924</c:v>
                      </c:pt>
                    </c:numCache>
                  </c:numRef>
                </c:yVal>
                <c:smooth val="0"/>
                <c:extLst xmlns:c15="http://schemas.microsoft.com/office/drawing/2012/chart">
                  <c:ext xmlns:c16="http://schemas.microsoft.com/office/drawing/2014/chart" uri="{C3380CC4-5D6E-409C-BE32-E72D297353CC}">
                    <c16:uniqueId val="{00000004-D0E1-462E-9A6A-62302AC1DD14}"/>
                  </c:ext>
                </c:extLst>
              </c15:ser>
            </c15:filteredScatterSeries>
          </c:ext>
        </c:extLst>
      </c:scatterChart>
      <c:valAx>
        <c:axId val="343047488"/>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13630720"/>
        <c:crosses val="autoZero"/>
        <c:crossBetween val="midCat"/>
      </c:valAx>
      <c:valAx>
        <c:axId val="31363072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047488"/>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Grunts Landings</a:t>
            </a:r>
          </a:p>
        </c:rich>
      </c:tx>
      <c:overlay val="0"/>
    </c:title>
    <c:autoTitleDeleted val="0"/>
    <c:plotArea>
      <c:layout/>
      <c:scatterChart>
        <c:scatterStyle val="lineMarker"/>
        <c:varyColors val="0"/>
        <c:ser>
          <c:idx val="0"/>
          <c:order val="0"/>
          <c:tx>
            <c:strRef>
              <c:f>'Grunts Complex'!$B$2</c:f>
              <c:strCache>
                <c:ptCount val="1"/>
                <c:pt idx="0">
                  <c:v>White Grunt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683748.5893929</c:v>
                </c:pt>
                <c:pt idx="1">
                  <c:v>935838.52715354599</c:v>
                </c:pt>
                <c:pt idx="2">
                  <c:v>831784.04769530101</c:v>
                </c:pt>
                <c:pt idx="3">
                  <c:v>892750.34765706793</c:v>
                </c:pt>
                <c:pt idx="4">
                  <c:v>2043327.7761729783</c:v>
                </c:pt>
                <c:pt idx="5">
                  <c:v>1453981.955765221</c:v>
                </c:pt>
                <c:pt idx="6">
                  <c:v>1547530.92440387</c:v>
                </c:pt>
                <c:pt idx="7">
                  <c:v>1180475.8228959099</c:v>
                </c:pt>
                <c:pt idx="8">
                  <c:v>1317425.2407230178</c:v>
                </c:pt>
                <c:pt idx="9">
                  <c:v>790159.47074252204</c:v>
                </c:pt>
                <c:pt idx="10">
                  <c:v>873689.0523910278</c:v>
                </c:pt>
                <c:pt idx="11">
                  <c:v>786272.99264079495</c:v>
                </c:pt>
                <c:pt idx="12">
                  <c:v>990888.47486432991</c:v>
                </c:pt>
                <c:pt idx="13">
                  <c:v>710735.02721870795</c:v>
                </c:pt>
                <c:pt idx="14">
                  <c:v>616970.20025187102</c:v>
                </c:pt>
                <c:pt idx="15">
                  <c:v>863615.15818114707</c:v>
                </c:pt>
                <c:pt idx="16">
                  <c:v>1066139.154769137</c:v>
                </c:pt>
                <c:pt idx="17">
                  <c:v>810404.03950595902</c:v>
                </c:pt>
                <c:pt idx="18">
                  <c:v>807790.95501876017</c:v>
                </c:pt>
                <c:pt idx="19">
                  <c:v>789034.35585041216</c:v>
                </c:pt>
                <c:pt idx="20">
                  <c:v>765914.29956373479</c:v>
                </c:pt>
                <c:pt idx="21">
                  <c:v>885481.29887715215</c:v>
                </c:pt>
                <c:pt idx="22">
                  <c:v>904635.70751129801</c:v>
                </c:pt>
                <c:pt idx="23">
                  <c:v>648575.84281125292</c:v>
                </c:pt>
                <c:pt idx="24">
                  <c:v>378395.39441691863</c:v>
                </c:pt>
                <c:pt idx="25">
                  <c:v>441270.22564241703</c:v>
                </c:pt>
                <c:pt idx="26">
                  <c:v>640075.59454564808</c:v>
                </c:pt>
                <c:pt idx="27">
                  <c:v>714731.75663244457</c:v>
                </c:pt>
                <c:pt idx="28">
                  <c:v>612053.69475160819</c:v>
                </c:pt>
                <c:pt idx="29">
                  <c:v>640616.49876443413</c:v>
                </c:pt>
                <c:pt idx="30">
                  <c:v>661249.52624758496</c:v>
                </c:pt>
                <c:pt idx="31">
                  <c:v>541733.01031967392</c:v>
                </c:pt>
              </c:numCache>
            </c:numRef>
          </c:yVal>
          <c:smooth val="0"/>
          <c:extLst>
            <c:ext xmlns:c16="http://schemas.microsoft.com/office/drawing/2014/chart" uri="{C3380CC4-5D6E-409C-BE32-E72D297353CC}">
              <c16:uniqueId val="{00000000-9CC5-42E7-BB69-A9FFB76A7D36}"/>
            </c:ext>
          </c:extLst>
        </c:ser>
        <c:ser>
          <c:idx val="1"/>
          <c:order val="1"/>
          <c:tx>
            <c:strRef>
              <c:f>'Grunts Complex'!$C$2</c:f>
              <c:strCache>
                <c:ptCount val="1"/>
                <c:pt idx="0">
                  <c:v>Sailor's Choice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17194.045634856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1-9CC5-42E7-BB69-A9FFB76A7D36}"/>
            </c:ext>
          </c:extLst>
        </c:ser>
        <c:ser>
          <c:idx val="2"/>
          <c:order val="2"/>
          <c:tx>
            <c:strRef>
              <c:f>'Grunts Complex'!$D$2</c:f>
              <c:strCache>
                <c:ptCount val="1"/>
                <c:pt idx="0">
                  <c:v>Tomtate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93414.530979484</c:v>
                </c:pt>
                <c:pt idx="24">
                  <c:v>52765.732449437593</c:v>
                </c:pt>
                <c:pt idx="25">
                  <c:v>70416.722021704802</c:v>
                </c:pt>
                <c:pt idx="26">
                  <c:v>51007.63067666391</c:v>
                </c:pt>
                <c:pt idx="27">
                  <c:v>37657.317552716995</c:v>
                </c:pt>
                <c:pt idx="28">
                  <c:v>83297.807396109696</c:v>
                </c:pt>
                <c:pt idx="29">
                  <c:v>80052.498495819978</c:v>
                </c:pt>
                <c:pt idx="30">
                  <c:v>57320.082770390007</c:v>
                </c:pt>
                <c:pt idx="31">
                  <c:v>58646.539279858007</c:v>
                </c:pt>
              </c:numCache>
            </c:numRef>
          </c:yVal>
          <c:smooth val="0"/>
          <c:extLst>
            <c:ext xmlns:c16="http://schemas.microsoft.com/office/drawing/2014/chart" uri="{C3380CC4-5D6E-409C-BE32-E72D297353CC}">
              <c16:uniqueId val="{00000002-9CC5-42E7-BB69-A9FFB76A7D36}"/>
            </c:ext>
          </c:extLst>
        </c:ser>
        <c:ser>
          <c:idx val="3"/>
          <c:order val="3"/>
          <c:tx>
            <c:strRef>
              <c:f>'Grunts Complex'!$E$2</c:f>
              <c:strCache>
                <c:ptCount val="1"/>
                <c:pt idx="0">
                  <c:v>Margate</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14760.929453409999</c:v>
                </c:pt>
                <c:pt idx="1">
                  <c:v>12118.053479800001</c:v>
                </c:pt>
                <c:pt idx="2">
                  <c:v>360842.33988430002</c:v>
                </c:pt>
                <c:pt idx="3">
                  <c:v>15130.572430999997</c:v>
                </c:pt>
                <c:pt idx="4">
                  <c:v>51775.557473000001</c:v>
                </c:pt>
                <c:pt idx="5">
                  <c:v>1029.6363839999999</c:v>
                </c:pt>
                <c:pt idx="6">
                  <c:v>36763.632783000001</c:v>
                </c:pt>
                <c:pt idx="7">
                  <c:v>68569.476811</c:v>
                </c:pt>
                <c:pt idx="8">
                  <c:v>102185.66791189002</c:v>
                </c:pt>
                <c:pt idx="9">
                  <c:v>51775.491047214004</c:v>
                </c:pt>
                <c:pt idx="10">
                  <c:v>124442.83245289</c:v>
                </c:pt>
                <c:pt idx="11">
                  <c:v>15929.721593999997</c:v>
                </c:pt>
                <c:pt idx="12">
                  <c:v>122469.89311782489</c:v>
                </c:pt>
                <c:pt idx="13">
                  <c:v>212820.83349909997</c:v>
                </c:pt>
                <c:pt idx="14">
                  <c:v>136105.82489329998</c:v>
                </c:pt>
                <c:pt idx="15">
                  <c:v>109423.604436842</c:v>
                </c:pt>
                <c:pt idx="16">
                  <c:v>24238.773943234002</c:v>
                </c:pt>
                <c:pt idx="17">
                  <c:v>82124.128645399003</c:v>
                </c:pt>
                <c:pt idx="18">
                  <c:v>43124.182094418007</c:v>
                </c:pt>
                <c:pt idx="19">
                  <c:v>86343.344138681001</c:v>
                </c:pt>
                <c:pt idx="20">
                  <c:v>39004.306898761999</c:v>
                </c:pt>
                <c:pt idx="21">
                  <c:v>47626.075747769995</c:v>
                </c:pt>
                <c:pt idx="22">
                  <c:v>9633.3024290280009</c:v>
                </c:pt>
                <c:pt idx="23">
                  <c:v>18124.342733819998</c:v>
                </c:pt>
                <c:pt idx="24">
                  <c:v>5690.8425224299999</c:v>
                </c:pt>
                <c:pt idx="25">
                  <c:v>14410.035806099999</c:v>
                </c:pt>
                <c:pt idx="26">
                  <c:v>13439.907720302001</c:v>
                </c:pt>
                <c:pt idx="27">
                  <c:v>18464.44903005</c:v>
                </c:pt>
                <c:pt idx="28">
                  <c:v>11503.394589200003</c:v>
                </c:pt>
                <c:pt idx="29">
                  <c:v>5904.72237563</c:v>
                </c:pt>
                <c:pt idx="30">
                  <c:v>143517.65901065001</c:v>
                </c:pt>
                <c:pt idx="31">
                  <c:v>11302.361522000001</c:v>
                </c:pt>
              </c:numCache>
            </c:numRef>
          </c:yVal>
          <c:smooth val="0"/>
          <c:extLst>
            <c:ext xmlns:c16="http://schemas.microsoft.com/office/drawing/2014/chart" uri="{C3380CC4-5D6E-409C-BE32-E72D297353CC}">
              <c16:uniqueId val="{00000003-9CC5-42E7-BB69-A9FFB76A7D36}"/>
            </c:ext>
          </c:extLst>
        </c:ser>
        <c:ser>
          <c:idx val="4"/>
          <c:order val="4"/>
          <c:tx>
            <c:strRef>
              <c:f>'Grunts Complex'!$F$3</c:f>
              <c:strCache>
                <c:ptCount val="1"/>
                <c:pt idx="0">
                  <c:v>Total</c:v>
                </c:pt>
              </c:strCache>
            </c:strRef>
          </c:tx>
          <c:spPr>
            <a:ln>
              <a:solidFill>
                <a:schemeClr val="tx2"/>
              </a:solidFill>
            </a:ln>
          </c:spPr>
          <c:marker>
            <c:spPr>
              <a:ln>
                <a:solidFill>
                  <a:srgbClr val="FF0000"/>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Complex'!$F$4:$F$35</c:f>
              <c:numCache>
                <c:formatCode>#,##0</c:formatCode>
                <c:ptCount val="32"/>
                <c:pt idx="0">
                  <c:v>838277.93857774592</c:v>
                </c:pt>
                <c:pt idx="1">
                  <c:v>1171792.4155143211</c:v>
                </c:pt>
                <c:pt idx="2">
                  <c:v>1858649.7826973889</c:v>
                </c:pt>
                <c:pt idx="3">
                  <c:v>1406544.1719290868</c:v>
                </c:pt>
                <c:pt idx="4">
                  <c:v>2250388.6239964887</c:v>
                </c:pt>
                <c:pt idx="5">
                  <c:v>1866304.1337610111</c:v>
                </c:pt>
                <c:pt idx="6">
                  <c:v>1926586.2048631147</c:v>
                </c:pt>
                <c:pt idx="7">
                  <c:v>1395316.1631220097</c:v>
                </c:pt>
                <c:pt idx="8">
                  <c:v>1524659.6593379308</c:v>
                </c:pt>
                <c:pt idx="9">
                  <c:v>946116.86544282769</c:v>
                </c:pt>
                <c:pt idx="10">
                  <c:v>1044830.3917329978</c:v>
                </c:pt>
                <c:pt idx="11">
                  <c:v>893626.56448246795</c:v>
                </c:pt>
                <c:pt idx="12">
                  <c:v>1215844.2459134846</c:v>
                </c:pt>
                <c:pt idx="13">
                  <c:v>1093531.1254460281</c:v>
                </c:pt>
                <c:pt idx="14">
                  <c:v>959422.91377350199</c:v>
                </c:pt>
                <c:pt idx="15">
                  <c:v>1110028.9437887094</c:v>
                </c:pt>
                <c:pt idx="16">
                  <c:v>1637001.0173027702</c:v>
                </c:pt>
                <c:pt idx="17">
                  <c:v>1452655.398149882</c:v>
                </c:pt>
                <c:pt idx="18">
                  <c:v>1017762.0159868982</c:v>
                </c:pt>
                <c:pt idx="19">
                  <c:v>1063101.6547246273</c:v>
                </c:pt>
                <c:pt idx="20">
                  <c:v>908288.58670525975</c:v>
                </c:pt>
                <c:pt idx="21">
                  <c:v>1141872.2295808373</c:v>
                </c:pt>
                <c:pt idx="22">
                  <c:v>1139242.3019721038</c:v>
                </c:pt>
                <c:pt idx="23">
                  <c:v>782476.46879032627</c:v>
                </c:pt>
                <c:pt idx="24">
                  <c:v>454324.34477507626</c:v>
                </c:pt>
                <c:pt idx="25">
                  <c:v>529148.43084119086</c:v>
                </c:pt>
                <c:pt idx="26">
                  <c:v>721717.17857747001</c:v>
                </c:pt>
                <c:pt idx="27">
                  <c:v>890961.16533062246</c:v>
                </c:pt>
                <c:pt idx="28">
                  <c:v>792119.30221215892</c:v>
                </c:pt>
                <c:pt idx="29">
                  <c:v>851374.65873305418</c:v>
                </c:pt>
                <c:pt idx="30">
                  <c:v>892877.57988666289</c:v>
                </c:pt>
                <c:pt idx="31">
                  <c:v>634445.64533533796</c:v>
                </c:pt>
              </c:numCache>
            </c:numRef>
          </c:yVal>
          <c:smooth val="0"/>
          <c:extLst>
            <c:ext xmlns:c16="http://schemas.microsoft.com/office/drawing/2014/chart" uri="{C3380CC4-5D6E-409C-BE32-E72D297353CC}">
              <c16:uniqueId val="{00000004-9CC5-42E7-BB69-A9FFB76A7D36}"/>
            </c:ext>
          </c:extLst>
        </c:ser>
        <c:ser>
          <c:idx val="5"/>
          <c:order val="5"/>
          <c:tx>
            <c:strRef>
              <c:f>'Grunts Complex'!$G$3</c:f>
              <c:strCache>
                <c:ptCount val="1"/>
                <c:pt idx="0">
                  <c:v>New Wgt ABC/ACL</c:v>
                </c:pt>
              </c:strCache>
            </c:strRef>
          </c:tx>
          <c:spPr>
            <a:ln w="38100">
              <a:solidFill>
                <a:schemeClr val="tx1"/>
              </a:solidFill>
            </a:ln>
          </c:spPr>
          <c:marker>
            <c:symbol val="none"/>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Complex'!$G$4:$G$35</c:f>
              <c:numCache>
                <c:formatCode>#,##0</c:formatCode>
                <c:ptCount val="32"/>
                <c:pt idx="26">
                  <c:v>1217748.0765850532</c:v>
                </c:pt>
                <c:pt idx="27">
                  <c:v>1217748.0765850532</c:v>
                </c:pt>
                <c:pt idx="28">
                  <c:v>1217748.0765850532</c:v>
                </c:pt>
                <c:pt idx="29">
                  <c:v>1459423.6973826981</c:v>
                </c:pt>
                <c:pt idx="30">
                  <c:v>1459423.6973826981</c:v>
                </c:pt>
                <c:pt idx="31">
                  <c:v>1459423.6973826981</c:v>
                </c:pt>
              </c:numCache>
            </c:numRef>
          </c:yVal>
          <c:smooth val="0"/>
          <c:extLst>
            <c:ext xmlns:c16="http://schemas.microsoft.com/office/drawing/2014/chart" uri="{C3380CC4-5D6E-409C-BE32-E72D297353CC}">
              <c16:uniqueId val="{00000005-9CC5-42E7-BB69-A9FFB76A7D36}"/>
            </c:ext>
          </c:extLst>
        </c:ser>
        <c:dLbls>
          <c:showLegendKey val="0"/>
          <c:showVal val="0"/>
          <c:showCatName val="0"/>
          <c:showSerName val="0"/>
          <c:showPercent val="0"/>
          <c:showBubbleSize val="0"/>
        </c:dLbls>
        <c:axId val="343643776"/>
        <c:axId val="343644352"/>
      </c:scatterChart>
      <c:valAx>
        <c:axId val="34364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44352"/>
        <c:crosses val="autoZero"/>
        <c:crossBetween val="midCat"/>
      </c:valAx>
      <c:valAx>
        <c:axId val="343644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4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3"/>
          <c:order val="1"/>
          <c:tx>
            <c:strRef>
              <c:f>'Grunts Complex'!$Z$3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Complex'!$Z$4:$Z$35</c:f>
              <c:numCache>
                <c:formatCode>#,##0</c:formatCode>
                <c:ptCount val="32"/>
                <c:pt idx="0">
                  <c:v>453706.58939290006</c:v>
                </c:pt>
                <c:pt idx="1">
                  <c:v>569224.52715354599</c:v>
                </c:pt>
                <c:pt idx="2">
                  <c:v>475320.04769530101</c:v>
                </c:pt>
                <c:pt idx="3">
                  <c:v>532344.34765706793</c:v>
                </c:pt>
                <c:pt idx="4">
                  <c:v>1601456.7761729783</c:v>
                </c:pt>
                <c:pt idx="5">
                  <c:v>1067318.955765221</c:v>
                </c:pt>
                <c:pt idx="6">
                  <c:v>1287756.92440387</c:v>
                </c:pt>
                <c:pt idx="7">
                  <c:v>931311.82289590989</c:v>
                </c:pt>
                <c:pt idx="8">
                  <c:v>1009949.2407230178</c:v>
                </c:pt>
                <c:pt idx="9">
                  <c:v>477651.47074252198</c:v>
                </c:pt>
                <c:pt idx="10">
                  <c:v>606105.0523910278</c:v>
                </c:pt>
                <c:pt idx="11">
                  <c:v>403943.99264079495</c:v>
                </c:pt>
                <c:pt idx="12">
                  <c:v>715613.47486432991</c:v>
                </c:pt>
                <c:pt idx="13">
                  <c:v>440633.02721870795</c:v>
                </c:pt>
                <c:pt idx="14">
                  <c:v>367637.20025187102</c:v>
                </c:pt>
                <c:pt idx="15">
                  <c:v>617303.15818114707</c:v>
                </c:pt>
                <c:pt idx="16">
                  <c:v>818322.15476913704</c:v>
                </c:pt>
                <c:pt idx="17">
                  <c:v>631692.03950595902</c:v>
                </c:pt>
                <c:pt idx="18">
                  <c:v>620141.95501876017</c:v>
                </c:pt>
                <c:pt idx="19">
                  <c:v>611025.35585041216</c:v>
                </c:pt>
                <c:pt idx="20">
                  <c:v>553514.29956373479</c:v>
                </c:pt>
                <c:pt idx="21">
                  <c:v>676905.29887715215</c:v>
                </c:pt>
                <c:pt idx="22">
                  <c:v>715996.70751129801</c:v>
                </c:pt>
                <c:pt idx="23">
                  <c:v>505405.84281125292</c:v>
                </c:pt>
                <c:pt idx="24">
                  <c:v>269132.39441691863</c:v>
                </c:pt>
                <c:pt idx="25">
                  <c:v>351421.22564241703</c:v>
                </c:pt>
                <c:pt idx="26">
                  <c:v>538547.59454564808</c:v>
                </c:pt>
                <c:pt idx="27">
                  <c:v>613105.75663244457</c:v>
                </c:pt>
                <c:pt idx="28">
                  <c:v>502447.69475160819</c:v>
                </c:pt>
                <c:pt idx="29">
                  <c:v>548839.49876443413</c:v>
                </c:pt>
                <c:pt idx="30">
                  <c:v>579094.52624758496</c:v>
                </c:pt>
                <c:pt idx="31">
                  <c:v>463704.01031967398</c:v>
                </c:pt>
              </c:numCache>
            </c:numRef>
          </c:yVal>
          <c:smooth val="0"/>
          <c:extLst>
            <c:ext xmlns:c16="http://schemas.microsoft.com/office/drawing/2014/chart" uri="{C3380CC4-5D6E-409C-BE32-E72D297353CC}">
              <c16:uniqueId val="{00000001-7801-4917-9899-12652295B3F9}"/>
            </c:ext>
          </c:extLst>
        </c:ser>
        <c:ser>
          <c:idx val="4"/>
          <c:order val="3"/>
          <c:tx>
            <c:strRef>
              <c:f>'Grunts Complex'!$AG$3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Complex'!$AG$4:$AG$35</c:f>
              <c:numCache>
                <c:formatCode>#,##0</c:formatCode>
                <c:ptCount val="32"/>
                <c:pt idx="0">
                  <c:v>453706.58939290012</c:v>
                </c:pt>
                <c:pt idx="1">
                  <c:v>574740.81109314587</c:v>
                </c:pt>
                <c:pt idx="2">
                  <c:v>469496.26080615108</c:v>
                </c:pt>
                <c:pt idx="3">
                  <c:v>525465.04906831845</c:v>
                </c:pt>
                <c:pt idx="4">
                  <c:v>1501068.1665226792</c:v>
                </c:pt>
                <c:pt idx="5">
                  <c:v>1039260.1356100017</c:v>
                </c:pt>
                <c:pt idx="6">
                  <c:v>1317071.5874956707</c:v>
                </c:pt>
                <c:pt idx="7">
                  <c:v>924264.53183650959</c:v>
                </c:pt>
                <c:pt idx="8">
                  <c:v>994961.00257091795</c:v>
                </c:pt>
                <c:pt idx="9">
                  <c:v>488729.00871931185</c:v>
                </c:pt>
                <c:pt idx="10">
                  <c:v>654519.13724647823</c:v>
                </c:pt>
                <c:pt idx="11">
                  <c:v>407276.374243445</c:v>
                </c:pt>
                <c:pt idx="12">
                  <c:v>812414.03110795992</c:v>
                </c:pt>
                <c:pt idx="13">
                  <c:v>420269.69920340035</c:v>
                </c:pt>
                <c:pt idx="14">
                  <c:v>467714.67655487108</c:v>
                </c:pt>
                <c:pt idx="15">
                  <c:v>616635.93659533688</c:v>
                </c:pt>
                <c:pt idx="16">
                  <c:v>838922.68738184706</c:v>
                </c:pt>
                <c:pt idx="17">
                  <c:v>675284.48984417983</c:v>
                </c:pt>
                <c:pt idx="18">
                  <c:v>639985.46615152515</c:v>
                </c:pt>
                <c:pt idx="19">
                  <c:v>610938.14301624813</c:v>
                </c:pt>
                <c:pt idx="20">
                  <c:v>545750.78895002487</c:v>
                </c:pt>
                <c:pt idx="21">
                  <c:v>664673.48688591376</c:v>
                </c:pt>
                <c:pt idx="22">
                  <c:v>721078.26299628883</c:v>
                </c:pt>
                <c:pt idx="23">
                  <c:v>528866.30301926518</c:v>
                </c:pt>
                <c:pt idx="24">
                  <c:v>269018.25209109049</c:v>
                </c:pt>
                <c:pt idx="25">
                  <c:v>331833.16297870973</c:v>
                </c:pt>
                <c:pt idx="26">
                  <c:v>535356.92458551691</c:v>
                </c:pt>
                <c:pt idx="27">
                  <c:v>614703.87163842458</c:v>
                </c:pt>
                <c:pt idx="28">
                  <c:v>499470.53666540771</c:v>
                </c:pt>
                <c:pt idx="29">
                  <c:v>561483.66549771279</c:v>
                </c:pt>
                <c:pt idx="30">
                  <c:v>582058.84892894491</c:v>
                </c:pt>
                <c:pt idx="31">
                  <c:v>392088.36109656288</c:v>
                </c:pt>
              </c:numCache>
            </c:numRef>
          </c:yVal>
          <c:smooth val="0"/>
          <c:extLst>
            <c:ext xmlns:c16="http://schemas.microsoft.com/office/drawing/2014/chart" uri="{C3380CC4-5D6E-409C-BE32-E72D297353CC}">
              <c16:uniqueId val="{00000002-7801-4917-9899-12652295B3F9}"/>
            </c:ext>
          </c:extLst>
        </c:ser>
        <c:ser>
          <c:idx val="6"/>
          <c:order val="4"/>
          <c:tx>
            <c:strRef>
              <c:f>'Grunts Complex'!$W$96</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'Grunts Complex'!$Q$97:$Q$128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'Grunts Complex'!$W$97:$W$128</c:f>
              <c:numCache>
                <c:formatCode>#,##0</c:formatCode>
                <c:ptCount val="32"/>
                <c:pt idx="0">
                  <c:v>468607.21707037673</c:v>
                </c:pt>
                <c:pt idx="1">
                  <c:v>529738.5230901005</c:v>
                </c:pt>
                <c:pt idx="3">
                  <c:v>455484.22063947609</c:v>
                </c:pt>
                <c:pt idx="4">
                  <c:v>1424368.8153915752</c:v>
                </c:pt>
                <c:pt idx="5">
                  <c:v>1006177.1320117961</c:v>
                </c:pt>
                <c:pt idx="7">
                  <c:v>825036.27709161141</c:v>
                </c:pt>
                <c:pt idx="8">
                  <c:v>1015036.9240482558</c:v>
                </c:pt>
                <c:pt idx="9">
                  <c:v>461751.81175713486</c:v>
                </c:pt>
                <c:pt idx="10">
                  <c:v>566923.62445326534</c:v>
                </c:pt>
                <c:pt idx="11">
                  <c:v>397709.47355605836</c:v>
                </c:pt>
                <c:pt idx="12">
                  <c:v>678984.31008844532</c:v>
                </c:pt>
                <c:pt idx="13">
                  <c:v>411687.1331756229</c:v>
                </c:pt>
                <c:pt idx="14">
                  <c:v>353847.46634172276</c:v>
                </c:pt>
                <c:pt idx="15">
                  <c:v>480820.68570681143</c:v>
                </c:pt>
                <c:pt idx="16">
                  <c:v>646341.1890442603</c:v>
                </c:pt>
                <c:pt idx="17">
                  <c:v>531764.3250648618</c:v>
                </c:pt>
                <c:pt idx="18">
                  <c:v>595969.23901155742</c:v>
                </c:pt>
                <c:pt idx="19">
                  <c:v>620963.84851227049</c:v>
                </c:pt>
                <c:pt idx="20">
                  <c:v>537570.88911310665</c:v>
                </c:pt>
                <c:pt idx="21">
                  <c:v>655764.77356666117</c:v>
                </c:pt>
                <c:pt idx="22">
                  <c:v>679763.1515786706</c:v>
                </c:pt>
                <c:pt idx="23">
                  <c:v>501293.68237600627</c:v>
                </c:pt>
                <c:pt idx="24">
                  <c:v>265420.15484270465</c:v>
                </c:pt>
                <c:pt idx="25">
                  <c:v>350768.17692013056</c:v>
                </c:pt>
                <c:pt idx="26">
                  <c:v>549574.9082030002</c:v>
                </c:pt>
                <c:pt idx="27">
                  <c:v>614036.60396076774</c:v>
                </c:pt>
                <c:pt idx="28">
                  <c:v>518656.12539064663</c:v>
                </c:pt>
                <c:pt idx="29">
                  <c:v>573585.72333514947</c:v>
                </c:pt>
                <c:pt idx="30">
                  <c:v>608104.56132789038</c:v>
                </c:pt>
                <c:pt idx="31">
                  <c:v>435648.96210192505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49B5-4324-A96C-EF8AFD6E6996}"/>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0"/>
                <c:order val="0"/>
                <c:tx>
                  <c:strRef>
                    <c:extLst>
                      <c:ext uri="{02D57815-91ED-43cb-92C2-25804820EDAC}">
                        <c15:formulaRef>
                          <c15:sqref>'Grunts Complex'!$B$3</c15:sqref>
                        </c15:formulaRef>
                      </c:ext>
                    </c:extLst>
                    <c:strCache>
                      <c:ptCount val="1"/>
                      <c:pt idx="0">
                        <c:v>Total New Wgt</c:v>
                      </c:pt>
                    </c:strCache>
                  </c:strRef>
                </c:tx>
                <c:xVal>
                  <c:numRef>
                    <c:extLst>
                      <c:ext uri="{02D57815-91ED-43cb-92C2-25804820EDAC}">
                        <c15:formulaRef>
                          <c15:sqref>'Grunts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Complex'!$B$4:$B$35</c15:sqref>
                        </c15:formulaRef>
                      </c:ext>
                    </c:extLst>
                    <c:numCache>
                      <c:formatCode>#,##0</c:formatCode>
                      <c:ptCount val="32"/>
                      <c:pt idx="0">
                        <c:v>683748.5893929</c:v>
                      </c:pt>
                      <c:pt idx="1">
                        <c:v>935838.52715354599</c:v>
                      </c:pt>
                      <c:pt idx="2">
                        <c:v>831784.04769530101</c:v>
                      </c:pt>
                      <c:pt idx="3">
                        <c:v>892750.34765706793</c:v>
                      </c:pt>
                      <c:pt idx="4">
                        <c:v>2043327.7761729783</c:v>
                      </c:pt>
                      <c:pt idx="5">
                        <c:v>1453981.955765221</c:v>
                      </c:pt>
                      <c:pt idx="6">
                        <c:v>1547530.92440387</c:v>
                      </c:pt>
                      <c:pt idx="7">
                        <c:v>1180475.8228959099</c:v>
                      </c:pt>
                      <c:pt idx="8">
                        <c:v>1317425.2407230178</c:v>
                      </c:pt>
                      <c:pt idx="9">
                        <c:v>790159.47074252204</c:v>
                      </c:pt>
                      <c:pt idx="10">
                        <c:v>873689.0523910278</c:v>
                      </c:pt>
                      <c:pt idx="11">
                        <c:v>786272.99264079495</c:v>
                      </c:pt>
                      <c:pt idx="12">
                        <c:v>990888.47486432991</c:v>
                      </c:pt>
                      <c:pt idx="13">
                        <c:v>710735.02721870795</c:v>
                      </c:pt>
                      <c:pt idx="14">
                        <c:v>616970.20025187102</c:v>
                      </c:pt>
                      <c:pt idx="15">
                        <c:v>863615.15818114707</c:v>
                      </c:pt>
                      <c:pt idx="16">
                        <c:v>1066139.154769137</c:v>
                      </c:pt>
                      <c:pt idx="17">
                        <c:v>810404.03950595902</c:v>
                      </c:pt>
                      <c:pt idx="18">
                        <c:v>807790.95501876017</c:v>
                      </c:pt>
                      <c:pt idx="19">
                        <c:v>789034.35585041216</c:v>
                      </c:pt>
                      <c:pt idx="20">
                        <c:v>765914.29956373479</c:v>
                      </c:pt>
                      <c:pt idx="21">
                        <c:v>885481.29887715215</c:v>
                      </c:pt>
                      <c:pt idx="22">
                        <c:v>904635.70751129801</c:v>
                      </c:pt>
                      <c:pt idx="23">
                        <c:v>648575.84281125292</c:v>
                      </c:pt>
                      <c:pt idx="24">
                        <c:v>378395.39441691863</c:v>
                      </c:pt>
                      <c:pt idx="25">
                        <c:v>441270.22564241703</c:v>
                      </c:pt>
                      <c:pt idx="26">
                        <c:v>640075.59454564808</c:v>
                      </c:pt>
                      <c:pt idx="27">
                        <c:v>714731.75663244457</c:v>
                      </c:pt>
                      <c:pt idx="28">
                        <c:v>612053.69475160819</c:v>
                      </c:pt>
                      <c:pt idx="29">
                        <c:v>640616.49876443413</c:v>
                      </c:pt>
                      <c:pt idx="30">
                        <c:v>661249.52624758496</c:v>
                      </c:pt>
                      <c:pt idx="31">
                        <c:v>541733.01031967392</c:v>
                      </c:pt>
                    </c:numCache>
                  </c:numRef>
                </c:yVal>
                <c:smooth val="0"/>
                <c:extLst>
                  <c:ext xmlns:c16="http://schemas.microsoft.com/office/drawing/2014/chart" uri="{C3380CC4-5D6E-409C-BE32-E72D297353CC}">
                    <c16:uniqueId val="{00000000-DDBB-4FD5-88B3-9334C6D55FC0}"/>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'Grunts Complex'!$J$3</c15:sqref>
                        </c15:formulaRef>
                      </c:ext>
                    </c:extLst>
                    <c:strCache>
                      <c:ptCount val="1"/>
                      <c:pt idx="0">
                        <c:v>Total Orig FES</c:v>
                      </c:pt>
                    </c:strCache>
                  </c:strRef>
                </c:tx>
                <c:spPr>
                  <a:ln>
                    <a:solidFill>
                      <a:schemeClr val="accent2"/>
                    </a:solidFill>
                  </a:ln>
                </c:spPr>
                <c:marker>
                  <c:symbol val="x"/>
                  <c:size val="7"/>
                  <c:spPr>
                    <a:noFill/>
                    <a:ln>
                      <a:solidFill>
                        <a:schemeClr val="accent2"/>
                      </a:solidFill>
                    </a:ln>
                  </c:spPr>
                </c:marker>
                <c:xVal>
                  <c:numRef>
                    <c:extLst xmlns:c15="http://schemas.microsoft.com/office/drawing/2012/chart">
                      <c:ext xmlns:c15="http://schemas.microsoft.com/office/drawing/2012/chart" uri="{02D57815-91ED-43cb-92C2-25804820EDAC}">
                        <c15:formulaRef>
                          <c15:sqref>'Grunts Complex'!$I$4:$I$35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Complex'!$J$4:$J$35</c15:sqref>
                        </c15:formulaRef>
                      </c:ext>
                    </c:extLst>
                    <c:numCache>
                      <c:formatCode>#,##0</c:formatCode>
                      <c:ptCount val="32"/>
                      <c:pt idx="0">
                        <c:v>683748.58939290012</c:v>
                      </c:pt>
                      <c:pt idx="1">
                        <c:v>941354.81109314587</c:v>
                      </c:pt>
                      <c:pt idx="2">
                        <c:v>825960.26080615108</c:v>
                      </c:pt>
                      <c:pt idx="3">
                        <c:v>885871.04906831845</c:v>
                      </c:pt>
                      <c:pt idx="4">
                        <c:v>1942939.1665226792</c:v>
                      </c:pt>
                      <c:pt idx="5">
                        <c:v>1425923.1356100016</c:v>
                      </c:pt>
                      <c:pt idx="6">
                        <c:v>1576845.5874956707</c:v>
                      </c:pt>
                      <c:pt idx="7">
                        <c:v>1173428.5318365097</c:v>
                      </c:pt>
                      <c:pt idx="8">
                        <c:v>1302437.0025709178</c:v>
                      </c:pt>
                      <c:pt idx="9">
                        <c:v>801237.00871931179</c:v>
                      </c:pt>
                      <c:pt idx="10">
                        <c:v>922103.13724647823</c:v>
                      </c:pt>
                      <c:pt idx="11">
                        <c:v>789605.374243445</c:v>
                      </c:pt>
                      <c:pt idx="12">
                        <c:v>1087689.0311079598</c:v>
                      </c:pt>
                      <c:pt idx="13">
                        <c:v>690371.69920340041</c:v>
                      </c:pt>
                      <c:pt idx="14">
                        <c:v>717047.67655487102</c:v>
                      </c:pt>
                      <c:pt idx="15">
                        <c:v>862947.93659533688</c:v>
                      </c:pt>
                      <c:pt idx="16">
                        <c:v>1086739.6873818471</c:v>
                      </c:pt>
                      <c:pt idx="17">
                        <c:v>853996.48984417983</c:v>
                      </c:pt>
                      <c:pt idx="18">
                        <c:v>827634.46615152515</c:v>
                      </c:pt>
                      <c:pt idx="19">
                        <c:v>788947.14301624813</c:v>
                      </c:pt>
                      <c:pt idx="20">
                        <c:v>758150.78895002487</c:v>
                      </c:pt>
                      <c:pt idx="21">
                        <c:v>873249.48688591376</c:v>
                      </c:pt>
                      <c:pt idx="22">
                        <c:v>909717.26299628883</c:v>
                      </c:pt>
                      <c:pt idx="23">
                        <c:v>672036.30301926518</c:v>
                      </c:pt>
                      <c:pt idx="24">
                        <c:v>378281.25209109049</c:v>
                      </c:pt>
                      <c:pt idx="25">
                        <c:v>421682.16297870973</c:v>
                      </c:pt>
                      <c:pt idx="26">
                        <c:v>636884.92458551691</c:v>
                      </c:pt>
                      <c:pt idx="27">
                        <c:v>716329.87163842458</c:v>
                      </c:pt>
                      <c:pt idx="28">
                        <c:v>609076.53666540771</c:v>
                      </c:pt>
                      <c:pt idx="29">
                        <c:v>653260.66549771279</c:v>
                      </c:pt>
                      <c:pt idx="30">
                        <c:v>664213.84892894491</c:v>
                      </c:pt>
                      <c:pt idx="31">
                        <c:v>470117.36109656288</c:v>
                      </c:pt>
                    </c:numCache>
                  </c:numRef>
                </c:yVal>
                <c:smooth val="0"/>
                <c:extLst xmlns:c15="http://schemas.microsoft.com/office/drawing/2012/chart">
                  <c:ext xmlns:c16="http://schemas.microsoft.com/office/drawing/2014/chart" uri="{C3380CC4-5D6E-409C-BE32-E72D297353CC}">
                    <c16:uniqueId val="{00000000-7801-4917-9899-12652295B3F9}"/>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'Grunts Complex'!$B$41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'Grunts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'Grunts Complex'!$B$42:$B$47</c15:sqref>
                        </c15:formulaRef>
                      </c:ext>
                    </c:extLst>
                    <c:numCache>
                      <c:formatCode>#,##0</c:formatCode>
                      <c:ptCount val="6"/>
                      <c:pt idx="0">
                        <c:v>863615.15818114707</c:v>
                      </c:pt>
                      <c:pt idx="1">
                        <c:v>863615.15818114707</c:v>
                      </c:pt>
                      <c:pt idx="2">
                        <c:v>863615.15818114707</c:v>
                      </c:pt>
                      <c:pt idx="3">
                        <c:v>932871.76042299496</c:v>
                      </c:pt>
                      <c:pt idx="4">
                        <c:v>932871.76042299496</c:v>
                      </c:pt>
                      <c:pt idx="5">
                        <c:v>932871.76042299496</c:v>
                      </c:pt>
                    </c:numCache>
                  </c:numRef>
                </c:yVal>
                <c:smooth val="0"/>
                <c:extLst xmlns:c15="http://schemas.microsoft.com/office/drawing/2012/chart">
                  <c:ext xmlns:c16="http://schemas.microsoft.com/office/drawing/2014/chart" uri="{C3380CC4-5D6E-409C-BE32-E72D297353CC}">
                    <c16:uniqueId val="{00000001-DDBB-4FD5-88B3-9334C6D55FC0}"/>
                  </c:ext>
                </c:extLst>
              </c15:ser>
            </c15:filteredScatterSeries>
            <c15:filteredScatterSeries>
              <c15:ser>
                <c:idx val="5"/>
                <c:order val="6"/>
                <c:tx>
                  <c:strRef>
                    <c:extLst xmlns:c15="http://schemas.microsoft.com/office/drawing/2012/chart">
                      <c:ext xmlns:c15="http://schemas.microsoft.com/office/drawing/2012/chart" uri="{02D57815-91ED-43cb-92C2-25804820EDAC}">
                        <c15:formulaRef>
                          <c15:sqref>'Grunts Complex'!$J$41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'Grunts Complex'!$I$42:$I$47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'Grunts Complex'!$J$42:$J$47</c15:sqref>
                        </c15:formulaRef>
                      </c:ext>
                    </c:extLst>
                    <c:numCache>
                      <c:formatCode>#,##0</c:formatCode>
                      <c:ptCount val="6"/>
                      <c:pt idx="0">
                        <c:v>862947.93659533688</c:v>
                      </c:pt>
                      <c:pt idx="1">
                        <c:v>862947.93659533688</c:v>
                      </c:pt>
                      <c:pt idx="2">
                        <c:v>862947.93659533688</c:v>
                      </c:pt>
                      <c:pt idx="3">
                        <c:v>950897.22645911609</c:v>
                      </c:pt>
                      <c:pt idx="4">
                        <c:v>950897.22645911609</c:v>
                      </c:pt>
                      <c:pt idx="5">
                        <c:v>950897.22645911609</c:v>
                      </c:pt>
                    </c:numCache>
                  </c:numRef>
                </c:yVal>
                <c:smooth val="0"/>
                <c:extLst xmlns:c15="http://schemas.microsoft.com/office/drawing/2012/chart">
                  <c:ext xmlns:c16="http://schemas.microsoft.com/office/drawing/2014/chart" uri="{C3380CC4-5D6E-409C-BE32-E72D297353CC}">
                    <c16:uniqueId val="{00000003-7801-4917-9899-12652295B3F9}"/>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Grunts Landings</a:t>
            </a:r>
          </a:p>
        </c:rich>
      </c:tx>
      <c:overlay val="0"/>
    </c:title>
    <c:autoTitleDeleted val="0"/>
    <c:plotArea>
      <c:layout/>
      <c:scatterChart>
        <c:scatterStyle val="lineMarker"/>
        <c:varyColors val="0"/>
        <c:ser>
          <c:idx val="0"/>
          <c:order val="0"/>
          <c:tx>
            <c:strRef>
              <c:f>'Grunts Complex'!$J$2</c:f>
              <c:strCache>
                <c:ptCount val="1"/>
                <c:pt idx="0">
                  <c:v>White Grunt</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Complex'!$J$4:$J$35</c:f>
              <c:numCache>
                <c:formatCode>#,##0</c:formatCode>
                <c:ptCount val="32"/>
                <c:pt idx="0">
                  <c:v>683748.58939290012</c:v>
                </c:pt>
                <c:pt idx="1">
                  <c:v>941354.81109314587</c:v>
                </c:pt>
                <c:pt idx="2">
                  <c:v>825960.26080615108</c:v>
                </c:pt>
                <c:pt idx="3">
                  <c:v>885871.04906831845</c:v>
                </c:pt>
                <c:pt idx="4">
                  <c:v>1942939.1665226792</c:v>
                </c:pt>
                <c:pt idx="5">
                  <c:v>1425923.1356100016</c:v>
                </c:pt>
                <c:pt idx="6">
                  <c:v>1576845.5874956707</c:v>
                </c:pt>
                <c:pt idx="7">
                  <c:v>1173428.5318365097</c:v>
                </c:pt>
                <c:pt idx="8">
                  <c:v>1302437.0025709178</c:v>
                </c:pt>
                <c:pt idx="9">
                  <c:v>801237.00871931179</c:v>
                </c:pt>
                <c:pt idx="10">
                  <c:v>922103.13724647823</c:v>
                </c:pt>
                <c:pt idx="11">
                  <c:v>789605.374243445</c:v>
                </c:pt>
                <c:pt idx="12">
                  <c:v>1087689.0311079598</c:v>
                </c:pt>
                <c:pt idx="13">
                  <c:v>690371.69920340041</c:v>
                </c:pt>
                <c:pt idx="14">
                  <c:v>717047.67655487102</c:v>
                </c:pt>
                <c:pt idx="15">
                  <c:v>862947.93659533688</c:v>
                </c:pt>
                <c:pt idx="16">
                  <c:v>1086739.6873818471</c:v>
                </c:pt>
                <c:pt idx="17">
                  <c:v>853996.48984417983</c:v>
                </c:pt>
                <c:pt idx="18">
                  <c:v>827634.46615152515</c:v>
                </c:pt>
                <c:pt idx="19">
                  <c:v>788947.14301624813</c:v>
                </c:pt>
                <c:pt idx="20">
                  <c:v>758150.78895002487</c:v>
                </c:pt>
                <c:pt idx="21">
                  <c:v>873249.48688591376</c:v>
                </c:pt>
                <c:pt idx="22">
                  <c:v>909717.26299628883</c:v>
                </c:pt>
                <c:pt idx="23">
                  <c:v>672036.30301926518</c:v>
                </c:pt>
                <c:pt idx="24">
                  <c:v>378281.25209109049</c:v>
                </c:pt>
                <c:pt idx="25">
                  <c:v>421682.16297870973</c:v>
                </c:pt>
                <c:pt idx="26">
                  <c:v>636884.92458551691</c:v>
                </c:pt>
                <c:pt idx="27">
                  <c:v>716329.87163842458</c:v>
                </c:pt>
                <c:pt idx="28">
                  <c:v>609076.53666540771</c:v>
                </c:pt>
                <c:pt idx="29">
                  <c:v>653260.66549771279</c:v>
                </c:pt>
                <c:pt idx="30">
                  <c:v>664213.84892894491</c:v>
                </c:pt>
                <c:pt idx="31">
                  <c:v>470117.36109656288</c:v>
                </c:pt>
              </c:numCache>
            </c:numRef>
          </c:yVal>
          <c:smooth val="0"/>
          <c:extLst>
            <c:ext xmlns:c16="http://schemas.microsoft.com/office/drawing/2014/chart" uri="{C3380CC4-5D6E-409C-BE32-E72D297353CC}">
              <c16:uniqueId val="{00000000-41D3-4F92-A93C-069C4808FAEA}"/>
            </c:ext>
          </c:extLst>
        </c:ser>
        <c:ser>
          <c:idx val="1"/>
          <c:order val="1"/>
          <c:tx>
            <c:strRef>
              <c:f>'Grunts Complex'!$K$2</c:f>
              <c:strCache>
                <c:ptCount val="1"/>
                <c:pt idx="0">
                  <c:v>Sailor's Choice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Complex'!$K$5:$K$40</c:f>
              <c:numCache>
                <c:formatCode>#,##0</c:formatCode>
                <c:ptCount val="36"/>
                <c:pt idx="0">
                  <c:v>86508.980683770991</c:v>
                </c:pt>
                <c:pt idx="1">
                  <c:v>481647.06024130003</c:v>
                </c:pt>
                <c:pt idx="2">
                  <c:v>442893.90913149004</c:v>
                </c:pt>
                <c:pt idx="3">
                  <c:v>108857.22537099999</c:v>
                </c:pt>
                <c:pt idx="4">
                  <c:v>325296.82282079</c:v>
                </c:pt>
                <c:pt idx="5">
                  <c:v>214561.63253907999</c:v>
                </c:pt>
                <c:pt idx="6">
                  <c:v>59091.14308550999</c:v>
                </c:pt>
                <c:pt idx="7">
                  <c:v>32146.009871202994</c:v>
                </c:pt>
                <c:pt idx="8">
                  <c:v>20602.8296664136</c:v>
                </c:pt>
                <c:pt idx="9">
                  <c:v>6089.6966078700007</c:v>
                </c:pt>
                <c:pt idx="10">
                  <c:v>17533.989109360005</c:v>
                </c:pt>
                <c:pt idx="11">
                  <c:v>49313.296559940005</c:v>
                </c:pt>
                <c:pt idx="12">
                  <c:v>50887.260700209998</c:v>
                </c:pt>
                <c:pt idx="13">
                  <c:v>38686.362023380003</c:v>
                </c:pt>
                <c:pt idx="14">
                  <c:v>16306.573121181498</c:v>
                </c:pt>
                <c:pt idx="15">
                  <c:v>465659.426481737</c:v>
                </c:pt>
                <c:pt idx="16">
                  <c:v>365589.5271471499</c:v>
                </c:pt>
                <c:pt idx="17">
                  <c:v>75546.917158725118</c:v>
                </c:pt>
                <c:pt idx="18">
                  <c:v>97375.21827054098</c:v>
                </c:pt>
                <c:pt idx="19">
                  <c:v>11383.937336144001</c:v>
                </c:pt>
                <c:pt idx="20">
                  <c:v>56323.687448247001</c:v>
                </c:pt>
                <c:pt idx="21">
                  <c:v>53675.322073234704</c:v>
                </c:pt>
                <c:pt idx="22">
                  <c:v>21918.5009797694</c:v>
                </c:pt>
                <c:pt idx="23">
                  <c:v>17359.948133960002</c:v>
                </c:pt>
                <c:pt idx="24">
                  <c:v>3031.8493299049996</c:v>
                </c:pt>
                <c:pt idx="25">
                  <c:v>16939.023021056004</c:v>
                </c:pt>
                <c:pt idx="26">
                  <c:v>119825.03618618095</c:v>
                </c:pt>
                <c:pt idx="27">
                  <c:v>85264.405475240987</c:v>
                </c:pt>
                <c:pt idx="28">
                  <c:v>124374.27126517001</c:v>
                </c:pt>
                <c:pt idx="29">
                  <c:v>28076.817435976009</c:v>
                </c:pt>
                <c:pt idx="30">
                  <c:v>18916.614492524004</c:v>
                </c:pt>
                <c:pt idx="31">
                  <c:v>130862.1010763684</c:v>
                </c:pt>
                <c:pt idx="32">
                  <c:v>65566.027979357998</c:v>
                </c:pt>
                <c:pt idx="33" formatCode="0.00">
                  <c:v>0.50103144791397647</c:v>
                </c:pt>
                <c:pt idx="34" formatCode="0.00">
                  <c:v>0.7441055696768526</c:v>
                </c:pt>
              </c:numCache>
            </c:numRef>
          </c:yVal>
          <c:smooth val="0"/>
          <c:extLst>
            <c:ext xmlns:c16="http://schemas.microsoft.com/office/drawing/2014/chart" uri="{C3380CC4-5D6E-409C-BE32-E72D297353CC}">
              <c16:uniqueId val="{00000001-41D3-4F92-A93C-069C4808FAEA}"/>
            </c:ext>
          </c:extLst>
        </c:ser>
        <c:ser>
          <c:idx val="2"/>
          <c:order val="2"/>
          <c:tx>
            <c:strRef>
              <c:f>'Grunts Complex'!$L$2</c:f>
              <c:strCache>
                <c:ptCount val="1"/>
                <c:pt idx="0">
                  <c:v>Tomtate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Complex'!$L$4:$L$35</c:f>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83814.602868829999</c:v>
                </c:pt>
                <c:pt idx="24">
                  <c:v>52450.569873921639</c:v>
                </c:pt>
                <c:pt idx="25">
                  <c:v>76548.645976964792</c:v>
                </c:pt>
                <c:pt idx="26">
                  <c:v>48979.886889038891</c:v>
                </c:pt>
                <c:pt idx="27">
                  <c:v>38774.294673705714</c:v>
                </c:pt>
                <c:pt idx="28">
                  <c:v>83028.773642923406</c:v>
                </c:pt>
                <c:pt idx="29">
                  <c:v>81308.191287629961</c:v>
                </c:pt>
                <c:pt idx="30">
                  <c:v>56678.210965804006</c:v>
                </c:pt>
                <c:pt idx="31">
                  <c:v>57505.307462857723</c:v>
                </c:pt>
              </c:numCache>
            </c:numRef>
          </c:yVal>
          <c:smooth val="0"/>
          <c:extLst>
            <c:ext xmlns:c16="http://schemas.microsoft.com/office/drawing/2014/chart" uri="{C3380CC4-5D6E-409C-BE32-E72D297353CC}">
              <c16:uniqueId val="{00000002-41D3-4F92-A93C-069C4808FAEA}"/>
            </c:ext>
          </c:extLst>
        </c:ser>
        <c:ser>
          <c:idx val="3"/>
          <c:order val="3"/>
          <c:tx>
            <c:strRef>
              <c:f>'Grunts Complex'!$M$2</c:f>
              <c:strCache>
                <c:ptCount val="1"/>
                <c:pt idx="0">
                  <c:v>Margate</c:v>
                </c:pt>
              </c:strCache>
            </c:strRef>
          </c:tx>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Complex'!$M$4:$M$35</c:f>
              <c:numCache>
                <c:formatCode>#,##0</c:formatCode>
                <c:ptCount val="32"/>
                <c:pt idx="0">
                  <c:v>14760.929453409997</c:v>
                </c:pt>
                <c:pt idx="1">
                  <c:v>12118.053479800001</c:v>
                </c:pt>
                <c:pt idx="2">
                  <c:v>360842.33988430002</c:v>
                </c:pt>
                <c:pt idx="3">
                  <c:v>15130.572430999997</c:v>
                </c:pt>
                <c:pt idx="4">
                  <c:v>51775.557473000008</c:v>
                </c:pt>
                <c:pt idx="5">
                  <c:v>1029.6363839999999</c:v>
                </c:pt>
                <c:pt idx="6">
                  <c:v>36763.632783000001</c:v>
                </c:pt>
                <c:pt idx="7">
                  <c:v>68569.476810999986</c:v>
                </c:pt>
                <c:pt idx="8">
                  <c:v>101743.99352264999</c:v>
                </c:pt>
                <c:pt idx="9">
                  <c:v>53264.18776565</c:v>
                </c:pt>
                <c:pt idx="10">
                  <c:v>215563.93775748994</c:v>
                </c:pt>
                <c:pt idx="11">
                  <c:v>15929.721593999997</c:v>
                </c:pt>
                <c:pt idx="12">
                  <c:v>162134.98564849503</c:v>
                </c:pt>
                <c:pt idx="13">
                  <c:v>193439.12731599994</c:v>
                </c:pt>
                <c:pt idx="14">
                  <c:v>69755.000106699983</c:v>
                </c:pt>
                <c:pt idx="15">
                  <c:v>79593.095842032024</c:v>
                </c:pt>
                <c:pt idx="16">
                  <c:v>21661.278613873998</c:v>
                </c:pt>
                <c:pt idx="17">
                  <c:v>74693.042119259975</c:v>
                </c:pt>
                <c:pt idx="18">
                  <c:v>73884.717652510022</c:v>
                </c:pt>
                <c:pt idx="19">
                  <c:v>140145.22820749108</c:v>
                </c:pt>
                <c:pt idx="20">
                  <c:v>41333.275295342013</c:v>
                </c:pt>
                <c:pt idx="21">
                  <c:v>47943.539055539979</c:v>
                </c:pt>
                <c:pt idx="22">
                  <c:v>9633.3024290280009</c:v>
                </c:pt>
                <c:pt idx="23">
                  <c:v>25468.015923119987</c:v>
                </c:pt>
                <c:pt idx="24">
                  <c:v>5690.842522429999</c:v>
                </c:pt>
                <c:pt idx="25">
                  <c:v>14410.035806099999</c:v>
                </c:pt>
                <c:pt idx="26">
                  <c:v>13439.907720302001</c:v>
                </c:pt>
                <c:pt idx="27">
                  <c:v>18464.44903005</c:v>
                </c:pt>
                <c:pt idx="28">
                  <c:v>11503.394589200005</c:v>
                </c:pt>
                <c:pt idx="29">
                  <c:v>5904.7223756300009</c:v>
                </c:pt>
                <c:pt idx="30">
                  <c:v>143517.65901065007</c:v>
                </c:pt>
                <c:pt idx="31">
                  <c:v>11302.361522000003</c:v>
                </c:pt>
              </c:numCache>
            </c:numRef>
          </c:yVal>
          <c:smooth val="0"/>
          <c:extLst>
            <c:ext xmlns:c16="http://schemas.microsoft.com/office/drawing/2014/chart" uri="{C3380CC4-5D6E-409C-BE32-E72D297353CC}">
              <c16:uniqueId val="{00000003-41D3-4F92-A93C-069C4808FAEA}"/>
            </c:ext>
          </c:extLst>
        </c:ser>
        <c:ser>
          <c:idx val="4"/>
          <c:order val="4"/>
          <c:tx>
            <c:strRef>
              <c:f>'Grunts Complex'!$N$3</c:f>
              <c:strCache>
                <c:ptCount val="1"/>
                <c:pt idx="0">
                  <c:v>Total</c:v>
                </c:pt>
              </c:strCache>
            </c:strRef>
          </c:tx>
          <c:spPr>
            <a:ln>
              <a:solidFill>
                <a:schemeClr val="tx2"/>
              </a:solidFill>
            </a:ln>
          </c:spPr>
          <c:marker>
            <c:spPr>
              <a:ln>
                <a:solidFill>
                  <a:srgbClr val="FF0000"/>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Complex'!$N$4:$N$35</c:f>
              <c:numCache>
                <c:formatCode>#,##0</c:formatCode>
                <c:ptCount val="32"/>
                <c:pt idx="0">
                  <c:v>838683.85021189018</c:v>
                </c:pt>
                <c:pt idx="1">
                  <c:v>1196363.37153725</c:v>
                </c:pt>
                <c:pt idx="2">
                  <c:v>1849663.5624383951</c:v>
                </c:pt>
                <c:pt idx="3">
                  <c:v>1482045.7550652763</c:v>
                </c:pt>
                <c:pt idx="4">
                  <c:v>2192632.0062360493</c:v>
                </c:pt>
                <c:pt idx="5">
                  <c:v>1859537.7969667718</c:v>
                </c:pt>
                <c:pt idx="6">
                  <c:v>1975484.5264369254</c:v>
                </c:pt>
                <c:pt idx="7">
                  <c:v>1385587.7175055395</c:v>
                </c:pt>
                <c:pt idx="8">
                  <c:v>1513020.802408701</c:v>
                </c:pt>
                <c:pt idx="9">
                  <c:v>955215.17471580836</c:v>
                </c:pt>
                <c:pt idx="10">
                  <c:v>1184267.6762146482</c:v>
                </c:pt>
                <c:pt idx="11">
                  <c:v>893428.62747374806</c:v>
                </c:pt>
                <c:pt idx="12">
                  <c:v>1352224.1566105648</c:v>
                </c:pt>
                <c:pt idx="13">
                  <c:v>1054609.0403284905</c:v>
                </c:pt>
                <c:pt idx="14">
                  <c:v>1015642.6931746522</c:v>
                </c:pt>
                <c:pt idx="15">
                  <c:v>1074668.8928585404</c:v>
                </c:pt>
                <c:pt idx="16">
                  <c:v>1660327.36559669</c:v>
                </c:pt>
                <c:pt idx="17">
                  <c:v>1493969.1473362236</c:v>
                </c:pt>
                <c:pt idx="18">
                  <c:v>1070406.6509393703</c:v>
                </c:pt>
                <c:pt idx="19">
                  <c:v>1119257.5276413083</c:v>
                </c:pt>
                <c:pt idx="20">
                  <c:v>894061.8367377118</c:v>
                </c:pt>
                <c:pt idx="21">
                  <c:v>1125065.619074136</c:v>
                </c:pt>
                <c:pt idx="22">
                  <c:v>1146483.5087442547</c:v>
                </c:pt>
                <c:pt idx="23">
                  <c:v>803237.42279098451</c:v>
                </c:pt>
                <c:pt idx="24">
                  <c:v>453782.61262140214</c:v>
                </c:pt>
                <c:pt idx="25">
                  <c:v>515672.69409167953</c:v>
                </c:pt>
                <c:pt idx="26">
                  <c:v>716243.74221591372</c:v>
                </c:pt>
                <c:pt idx="27">
                  <c:v>893393.65152836114</c:v>
                </c:pt>
                <c:pt idx="28">
                  <c:v>788873.11037277221</c:v>
                </c:pt>
                <c:pt idx="29">
                  <c:v>864847.85042614292</c:v>
                </c:pt>
                <c:pt idx="30">
                  <c:v>892486.53634137497</c:v>
                </c:pt>
                <c:pt idx="31">
                  <c:v>557841.64457394462</c:v>
                </c:pt>
              </c:numCache>
            </c:numRef>
          </c:yVal>
          <c:smooth val="0"/>
          <c:extLst>
            <c:ext xmlns:c16="http://schemas.microsoft.com/office/drawing/2014/chart" uri="{C3380CC4-5D6E-409C-BE32-E72D297353CC}">
              <c16:uniqueId val="{00000004-41D3-4F92-A93C-069C4808FAEA}"/>
            </c:ext>
          </c:extLst>
        </c:ser>
        <c:ser>
          <c:idx val="5"/>
          <c:order val="5"/>
          <c:tx>
            <c:strRef>
              <c:f>'Grunts Complex'!$O$3</c:f>
              <c:strCache>
                <c:ptCount val="1"/>
                <c:pt idx="0">
                  <c:v>Orig FES ABC/ACL</c:v>
                </c:pt>
              </c:strCache>
            </c:strRef>
          </c:tx>
          <c:spPr>
            <a:ln w="38100">
              <a:solidFill>
                <a:schemeClr val="tx1"/>
              </a:solidFill>
            </a:ln>
          </c:spPr>
          <c:marker>
            <c:symbol val="none"/>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Complex'!$O$4:$O$35</c:f>
              <c:numCache>
                <c:formatCode>#,##0</c:formatCode>
                <c:ptCount val="32"/>
                <c:pt idx="26">
                  <c:v>1187465.156392345</c:v>
                </c:pt>
                <c:pt idx="27">
                  <c:v>1187465.156392345</c:v>
                </c:pt>
                <c:pt idx="28">
                  <c:v>1187465.156392345</c:v>
                </c:pt>
                <c:pt idx="29">
                  <c:v>1455128.2247062866</c:v>
                </c:pt>
                <c:pt idx="30">
                  <c:v>1455128.2247062866</c:v>
                </c:pt>
                <c:pt idx="31">
                  <c:v>1455128.2247062866</c:v>
                </c:pt>
              </c:numCache>
            </c:numRef>
          </c:yVal>
          <c:smooth val="0"/>
          <c:extLst>
            <c:ext xmlns:c16="http://schemas.microsoft.com/office/drawing/2014/chart" uri="{C3380CC4-5D6E-409C-BE32-E72D297353CC}">
              <c16:uniqueId val="{00000005-41D3-4F92-A93C-069C4808FAEA}"/>
            </c:ext>
          </c:extLst>
        </c:ser>
        <c:dLbls>
          <c:showLegendKey val="0"/>
          <c:showVal val="0"/>
          <c:showCatName val="0"/>
          <c:showSerName val="0"/>
          <c:showPercent val="0"/>
          <c:showBubbleSize val="0"/>
        </c:dLbls>
        <c:axId val="343643776"/>
        <c:axId val="343644352"/>
      </c:scatterChart>
      <c:valAx>
        <c:axId val="3436437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644352"/>
        <c:crosses val="autoZero"/>
        <c:crossBetween val="midCat"/>
      </c:valAx>
      <c:valAx>
        <c:axId val="3436443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643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0"/>
          <c:order val="0"/>
          <c:tx>
            <c:strRef>
              <c:f>'Grunts Complex'!$D$3</c:f>
              <c:strCache>
                <c:ptCount val="1"/>
                <c:pt idx="0">
                  <c:v>Total New Wgt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93414.530979484</c:v>
                </c:pt>
                <c:pt idx="24">
                  <c:v>52765.732449437593</c:v>
                </c:pt>
                <c:pt idx="25">
                  <c:v>70416.722021704802</c:v>
                </c:pt>
                <c:pt idx="26">
                  <c:v>51007.63067666391</c:v>
                </c:pt>
                <c:pt idx="27">
                  <c:v>37657.317552716995</c:v>
                </c:pt>
                <c:pt idx="28">
                  <c:v>83297.807396109696</c:v>
                </c:pt>
                <c:pt idx="29">
                  <c:v>80052.498495819978</c:v>
                </c:pt>
                <c:pt idx="30">
                  <c:v>57320.082770390007</c:v>
                </c:pt>
                <c:pt idx="31">
                  <c:v>58646.539279858007</c:v>
                </c:pt>
              </c:numCache>
            </c:numRef>
          </c:yVal>
          <c:smooth val="0"/>
          <c:extLst>
            <c:ext xmlns:c16="http://schemas.microsoft.com/office/drawing/2014/chart" uri="{C3380CC4-5D6E-409C-BE32-E72D297353CC}">
              <c16:uniqueId val="{00000000-6486-4211-ADDB-63D7F263AFBD}"/>
            </c:ext>
          </c:extLst>
        </c:ser>
        <c:ser>
          <c:idx val="2"/>
          <c:order val="2"/>
          <c:tx>
            <c:strRef>
              <c:f>'Grunts Complex'!$L$3</c:f>
              <c:strCache>
                <c:ptCount val="1"/>
                <c:pt idx="0">
                  <c:v>Total Orig FES</c:v>
                </c:pt>
              </c:strCache>
            </c:strRef>
          </c:tx>
          <c:spPr>
            <a:ln>
              <a:solidFill>
                <a:schemeClr val="accent2"/>
              </a:solidFill>
            </a:ln>
          </c:spPr>
          <c:marker>
            <c:symbol val="x"/>
            <c:size val="7"/>
            <c:spPr>
              <a:noFill/>
              <a:ln>
                <a:solidFill>
                  <a:schemeClr val="accent2"/>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Complex'!$L$4:$L$35</c:f>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83814.602868829999</c:v>
                </c:pt>
                <c:pt idx="24">
                  <c:v>52450.569873921639</c:v>
                </c:pt>
                <c:pt idx="25">
                  <c:v>76548.645976964792</c:v>
                </c:pt>
                <c:pt idx="26">
                  <c:v>48979.886889038891</c:v>
                </c:pt>
                <c:pt idx="27">
                  <c:v>38774.294673705714</c:v>
                </c:pt>
                <c:pt idx="28">
                  <c:v>83028.773642923406</c:v>
                </c:pt>
                <c:pt idx="29">
                  <c:v>81308.191287629961</c:v>
                </c:pt>
                <c:pt idx="30">
                  <c:v>56678.210965804006</c:v>
                </c:pt>
                <c:pt idx="31">
                  <c:v>57505.307462857723</c:v>
                </c:pt>
              </c:numCache>
            </c:numRef>
          </c:yVal>
          <c:smooth val="0"/>
          <c:extLst>
            <c:ext xmlns:c16="http://schemas.microsoft.com/office/drawing/2014/chart" uri="{C3380CC4-5D6E-409C-BE32-E72D297353CC}">
              <c16:uniqueId val="{00000002-6486-4211-ADDB-63D7F263AFBD}"/>
            </c:ext>
          </c:extLst>
        </c:ser>
        <c:ser>
          <c:idx val="1"/>
          <c:order val="4"/>
          <c:tx>
            <c:strRef>
              <c:f>'Grunts Complex'!$D$41</c:f>
              <c:strCache>
                <c:ptCount val="1"/>
                <c:pt idx="0">
                  <c:v>New Wgt ABC/ACL</c:v>
                </c:pt>
              </c:strCache>
            </c:strRef>
          </c:tx>
          <c:spPr>
            <a:ln w="38100">
              <a:solidFill>
                <a:schemeClr val="tx1"/>
              </a:solidFill>
            </a:ln>
          </c:spPr>
          <c:marker>
            <c:symbol val="none"/>
          </c:marker>
          <c:xVal>
            <c:numRef>
              <c:f>'Grunts Complex'!$A$42:$A$47</c:f>
              <c:numCache>
                <c:formatCode>General</c:formatCode>
                <c:ptCount val="6"/>
                <c:pt idx="0">
                  <c:v>2012</c:v>
                </c:pt>
                <c:pt idx="1">
                  <c:v>2013</c:v>
                </c:pt>
                <c:pt idx="2">
                  <c:v>2014</c:v>
                </c:pt>
                <c:pt idx="3">
                  <c:v>2015</c:v>
                </c:pt>
                <c:pt idx="4">
                  <c:v>2016</c:v>
                </c:pt>
                <c:pt idx="5">
                  <c:v>2017</c:v>
                </c:pt>
              </c:numCache>
            </c:numRef>
          </c:xVal>
          <c:yVal>
            <c:numRef>
              <c:f>'Grunts Complex'!$D$42:$D$47</c:f>
              <c:numCache>
                <c:formatCode>#,##0</c:formatCode>
                <c:ptCount val="6"/>
                <c:pt idx="0">
                  <c:v>147312.18268825815</c:v>
                </c:pt>
                <c:pt idx="1">
                  <c:v>147312.18268825815</c:v>
                </c:pt>
                <c:pt idx="2">
                  <c:v>147312.18268825815</c:v>
                </c:pt>
                <c:pt idx="3">
                  <c:v>173769.80548197706</c:v>
                </c:pt>
                <c:pt idx="4">
                  <c:v>173769.80548197706</c:v>
                </c:pt>
                <c:pt idx="5">
                  <c:v>173769.80548197706</c:v>
                </c:pt>
              </c:numCache>
            </c:numRef>
          </c:yVal>
          <c:smooth val="0"/>
          <c:extLst>
            <c:ext xmlns:c16="http://schemas.microsoft.com/office/drawing/2014/chart" uri="{C3380CC4-5D6E-409C-BE32-E72D297353CC}">
              <c16:uniqueId val="{00000004-6486-4211-ADDB-63D7F263AFBD}"/>
            </c:ext>
          </c:extLst>
        </c:ser>
        <c:ser>
          <c:idx val="5"/>
          <c:order val="5"/>
          <c:tx>
            <c:strRef>
              <c:f>'Grunts Complex'!$L$41</c:f>
              <c:strCache>
                <c:ptCount val="1"/>
                <c:pt idx="0">
                  <c:v>Orig FES ABC/ACL</c:v>
                </c:pt>
              </c:strCache>
            </c:strRef>
          </c:tx>
          <c:spPr>
            <a:ln>
              <a:solidFill>
                <a:srgbClr val="7030A0"/>
              </a:solidFill>
            </a:ln>
          </c:spPr>
          <c:marker>
            <c:symbol val="none"/>
          </c:marker>
          <c:xVal>
            <c:numRef>
              <c:f>'Grunts Complex'!$I$42:$I$47</c:f>
              <c:numCache>
                <c:formatCode>General</c:formatCode>
                <c:ptCount val="6"/>
                <c:pt idx="0">
                  <c:v>2012</c:v>
                </c:pt>
                <c:pt idx="1">
                  <c:v>2013</c:v>
                </c:pt>
                <c:pt idx="2">
                  <c:v>2014</c:v>
                </c:pt>
                <c:pt idx="3">
                  <c:v>2015</c:v>
                </c:pt>
                <c:pt idx="4">
                  <c:v>2016</c:v>
                </c:pt>
                <c:pt idx="5">
                  <c:v>2017</c:v>
                </c:pt>
              </c:numCache>
            </c:numRef>
          </c:xVal>
          <c:yVal>
            <c:numRef>
              <c:f>'Grunts Complex'!$L$42:$L$47</c:f>
              <c:numCache>
                <c:formatCode>#,##0</c:formatCode>
                <c:ptCount val="6"/>
                <c:pt idx="0">
                  <c:v>147548.90568443519</c:v>
                </c:pt>
                <c:pt idx="1">
                  <c:v>147548.90568443519</c:v>
                </c:pt>
                <c:pt idx="2">
                  <c:v>147548.90568443519</c:v>
                </c:pt>
                <c:pt idx="3">
                  <c:v>174728.82719742949</c:v>
                </c:pt>
                <c:pt idx="4">
                  <c:v>174728.82719742949</c:v>
                </c:pt>
                <c:pt idx="5">
                  <c:v>174728.82719742949</c:v>
                </c:pt>
              </c:numCache>
            </c:numRef>
          </c:yVal>
          <c:smooth val="0"/>
          <c:extLst>
            <c:ext xmlns:c16="http://schemas.microsoft.com/office/drawing/2014/chart" uri="{C3380CC4-5D6E-409C-BE32-E72D297353CC}">
              <c16:uniqueId val="{00000005-6486-4211-ADDB-63D7F263AFBD}"/>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Complex'!$AB$3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Complex'!$AB$4:$AB$35</c15:sqref>
                        </c15:formulaRef>
                      </c:ext>
                    </c:extLst>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93339.530979484</c:v>
                      </c:pt>
                      <c:pt idx="24">
                        <c:v>52650.732449437593</c:v>
                      </c:pt>
                      <c:pt idx="25">
                        <c:v>69802.722021704802</c:v>
                      </c:pt>
                      <c:pt idx="26">
                        <c:v>50875.63067666391</c:v>
                      </c:pt>
                      <c:pt idx="27">
                        <c:v>37634.317552716995</c:v>
                      </c:pt>
                      <c:pt idx="28">
                        <c:v>83186.807396109696</c:v>
                      </c:pt>
                      <c:pt idx="29">
                        <c:v>79583.498495819978</c:v>
                      </c:pt>
                      <c:pt idx="30">
                        <c:v>56059.082770390007</c:v>
                      </c:pt>
                      <c:pt idx="31">
                        <c:v>58646.539279858007</c:v>
                      </c:pt>
                    </c:numCache>
                  </c:numRef>
                </c:yVal>
                <c:smooth val="0"/>
                <c:extLst>
                  <c:ext xmlns:c16="http://schemas.microsoft.com/office/drawing/2014/chart" uri="{C3380CC4-5D6E-409C-BE32-E72D297353CC}">
                    <c16:uniqueId val="{00000001-6486-4211-ADDB-63D7F263AFBD}"/>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Complex'!$AI$3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Complex'!$AI$4:$AI$35</c15:sqref>
                        </c15:formulaRef>
                      </c:ext>
                    </c:extLst>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83739.602868829999</c:v>
                      </c:pt>
                      <c:pt idx="24">
                        <c:v>52335.569873921639</c:v>
                      </c:pt>
                      <c:pt idx="25">
                        <c:v>75934.645976964792</c:v>
                      </c:pt>
                      <c:pt idx="26">
                        <c:v>48847.886889038891</c:v>
                      </c:pt>
                      <c:pt idx="27">
                        <c:v>38751.294673705714</c:v>
                      </c:pt>
                      <c:pt idx="28">
                        <c:v>82917.773642923406</c:v>
                      </c:pt>
                      <c:pt idx="29">
                        <c:v>80839.191287629961</c:v>
                      </c:pt>
                      <c:pt idx="30">
                        <c:v>55417.210965804006</c:v>
                      </c:pt>
                      <c:pt idx="31">
                        <c:v>57505.307462857723</c:v>
                      </c:pt>
                    </c:numCache>
                  </c:numRef>
                </c:yVal>
                <c:smooth val="0"/>
                <c:extLst xmlns:c15="http://schemas.microsoft.com/office/drawing/2012/chart">
                  <c:ext xmlns:c16="http://schemas.microsoft.com/office/drawing/2014/chart" uri="{C3380CC4-5D6E-409C-BE32-E72D297353CC}">
                    <c16:uniqueId val="{00000003-6486-4211-ADDB-63D7F263AFBD}"/>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2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0"/>
          <c:order val="0"/>
          <c:tx>
            <c:strRef>
              <c:f>'Grunts Complex'!$AB$3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Complex'!$AB$4:$AB$35</c:f>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93339.530979484</c:v>
                </c:pt>
                <c:pt idx="24">
                  <c:v>52650.732449437593</c:v>
                </c:pt>
                <c:pt idx="25">
                  <c:v>69802.722021704802</c:v>
                </c:pt>
                <c:pt idx="26">
                  <c:v>50875.63067666391</c:v>
                </c:pt>
                <c:pt idx="27">
                  <c:v>37634.317552716995</c:v>
                </c:pt>
                <c:pt idx="28">
                  <c:v>83186.807396109696</c:v>
                </c:pt>
                <c:pt idx="29">
                  <c:v>79583.498495819978</c:v>
                </c:pt>
                <c:pt idx="30">
                  <c:v>56059.082770390007</c:v>
                </c:pt>
                <c:pt idx="31">
                  <c:v>58646.539279858007</c:v>
                </c:pt>
              </c:numCache>
            </c:numRef>
          </c:yVal>
          <c:smooth val="0"/>
          <c:extLst>
            <c:ext xmlns:c16="http://schemas.microsoft.com/office/drawing/2014/chart" uri="{C3380CC4-5D6E-409C-BE32-E72D297353CC}">
              <c16:uniqueId val="{00000000-7725-4A49-B19D-738F79058710}"/>
            </c:ext>
          </c:extLst>
        </c:ser>
        <c:ser>
          <c:idx val="2"/>
          <c:order val="2"/>
          <c:tx>
            <c:strRef>
              <c:f>'Grunts Complex'!$AI$3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Complex'!$AI$4:$AI$35</c:f>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83739.602868829999</c:v>
                </c:pt>
                <c:pt idx="24">
                  <c:v>52335.569873921639</c:v>
                </c:pt>
                <c:pt idx="25">
                  <c:v>75934.645976964792</c:v>
                </c:pt>
                <c:pt idx="26">
                  <c:v>48847.886889038891</c:v>
                </c:pt>
                <c:pt idx="27">
                  <c:v>38751.294673705714</c:v>
                </c:pt>
                <c:pt idx="28">
                  <c:v>82917.773642923406</c:v>
                </c:pt>
                <c:pt idx="29">
                  <c:v>80839.191287629961</c:v>
                </c:pt>
                <c:pt idx="30">
                  <c:v>55417.210965804006</c:v>
                </c:pt>
                <c:pt idx="31">
                  <c:v>57505.307462857723</c:v>
                </c:pt>
              </c:numCache>
            </c:numRef>
          </c:yVal>
          <c:smooth val="0"/>
          <c:extLst>
            <c:ext xmlns:c16="http://schemas.microsoft.com/office/drawing/2014/chart" uri="{C3380CC4-5D6E-409C-BE32-E72D297353CC}">
              <c16:uniqueId val="{00000001-7725-4A49-B19D-738F79058710}"/>
            </c:ext>
          </c:extLst>
        </c:ser>
        <c:ser>
          <c:idx val="1"/>
          <c:order val="4"/>
          <c:tx>
            <c:strRef>
              <c:f>'Grunts Complex'!$W$132</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'Grunts Complex'!$Q$133:$Q$164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'Grunts Complex'!$W$133:$W$164</c:f>
              <c:numCache>
                <c:formatCode>#,##0</c:formatCode>
                <c:ptCount val="32"/>
                <c:pt idx="0">
                  <c:v>123364.22461498919</c:v>
                </c:pt>
                <c:pt idx="1">
                  <c:v>156117.58405214854</c:v>
                </c:pt>
                <c:pt idx="3">
                  <c:v>148585.77217247026</c:v>
                </c:pt>
                <c:pt idx="4">
                  <c:v>89001.469068889302</c:v>
                </c:pt>
                <c:pt idx="5">
                  <c:v>107414.45566698063</c:v>
                </c:pt>
                <c:pt idx="6">
                  <c:v>142286.45213322219</c:v>
                </c:pt>
                <c:pt idx="8">
                  <c:v>77582.796515662616</c:v>
                </c:pt>
                <c:pt idx="9">
                  <c:v>80564.912887863684</c:v>
                </c:pt>
                <c:pt idx="10">
                  <c:v>39655.068653177907</c:v>
                </c:pt>
                <c:pt idx="11">
                  <c:v>65152.651165890828</c:v>
                </c:pt>
                <c:pt idx="12">
                  <c:v>51970.135058381857</c:v>
                </c:pt>
                <c:pt idx="13">
                  <c:v>121493.74514719193</c:v>
                </c:pt>
                <c:pt idx="14">
                  <c:v>227763.68658498308</c:v>
                </c:pt>
                <c:pt idx="15">
                  <c:v>112070.69045265063</c:v>
                </c:pt>
                <c:pt idx="16">
                  <c:v>91334.60928768391</c:v>
                </c:pt>
                <c:pt idx="17">
                  <c:v>194408.03047344796</c:v>
                </c:pt>
                <c:pt idx="18">
                  <c:v>95026.108722895166</c:v>
                </c:pt>
                <c:pt idx="19">
                  <c:v>91063.181765663583</c:v>
                </c:pt>
                <c:pt idx="20">
                  <c:v>85148.798615146996</c:v>
                </c:pt>
                <c:pt idx="21">
                  <c:v>147408.71726762268</c:v>
                </c:pt>
                <c:pt idx="22">
                  <c:v>176446.87120482334</c:v>
                </c:pt>
                <c:pt idx="23">
                  <c:v>91152.207455175201</c:v>
                </c:pt>
                <c:pt idx="24">
                  <c:v>52990.92833310581</c:v>
                </c:pt>
                <c:pt idx="25">
                  <c:v>69002.358482751821</c:v>
                </c:pt>
                <c:pt idx="26">
                  <c:v>50195.884472567443</c:v>
                </c:pt>
                <c:pt idx="27">
                  <c:v>37560.304320045492</c:v>
                </c:pt>
                <c:pt idx="28">
                  <c:v>80279.437102107986</c:v>
                </c:pt>
                <c:pt idx="29">
                  <c:v>78467.228024044307</c:v>
                </c:pt>
                <c:pt idx="30">
                  <c:v>57167.56045670496</c:v>
                </c:pt>
                <c:pt idx="31">
                  <c:v>51577.841544148112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BA7E-40BF-A46C-05C8970FA137}"/>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Complex'!$AB$3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Complex'!$AB$4:$AB$35</c15:sqref>
                        </c15:formulaRef>
                      </c:ext>
                    </c:extLst>
                    <c:numCache>
                      <c:formatCode>#,##0</c:formatCode>
                      <c:ptCount val="32"/>
                      <c:pt idx="0">
                        <c:v>121347.12749422601</c:v>
                      </c:pt>
                      <c:pt idx="1">
                        <c:v>156072.58221820404</c:v>
                      </c:pt>
                      <c:pt idx="2">
                        <c:v>181240.24330458787</c:v>
                      </c:pt>
                      <c:pt idx="3">
                        <c:v>137692.20931362896</c:v>
                      </c:pt>
                      <c:pt idx="4">
                        <c:v>89153.108473609958</c:v>
                      </c:pt>
                      <c:pt idx="5">
                        <c:v>107328.34099509998</c:v>
                      </c:pt>
                      <c:pt idx="6">
                        <c:v>147476.71806687495</c:v>
                      </c:pt>
                      <c:pt idx="7">
                        <c:v>84023.528079469994</c:v>
                      </c:pt>
                      <c:pt idx="8">
                        <c:v>76340.096454810002</c:v>
                      </c:pt>
                      <c:pt idx="9">
                        <c:v>80091.042063633009</c:v>
                      </c:pt>
                      <c:pt idx="10">
                        <c:v>40569.493285750003</c:v>
                      </c:pt>
                      <c:pt idx="11">
                        <c:v>64772.934866133008</c:v>
                      </c:pt>
                      <c:pt idx="12">
                        <c:v>53172.581371389999</c:v>
                      </c:pt>
                      <c:pt idx="13">
                        <c:v>117542.08973488001</c:v>
                      </c:pt>
                      <c:pt idx="14">
                        <c:v>166558.73095311099</c:v>
                      </c:pt>
                      <c:pt idx="15">
                        <c:v>115353.31097334001</c:v>
                      </c:pt>
                      <c:pt idx="16">
                        <c:v>91166.69083931201</c:v>
                      </c:pt>
                      <c:pt idx="17">
                        <c:v>198594.06340797379</c:v>
                      </c:pt>
                      <c:pt idx="18">
                        <c:v>93125.467296939983</c:v>
                      </c:pt>
                      <c:pt idx="19">
                        <c:v>90326.823456728016</c:v>
                      </c:pt>
                      <c:pt idx="20">
                        <c:v>84639.234805216009</c:v>
                      </c:pt>
                      <c:pt idx="21">
                        <c:v>147312.18268825815</c:v>
                      </c:pt>
                      <c:pt idx="22">
                        <c:v>171200.84416300297</c:v>
                      </c:pt>
                      <c:pt idx="23">
                        <c:v>93339.530979484</c:v>
                      </c:pt>
                      <c:pt idx="24">
                        <c:v>52650.732449437593</c:v>
                      </c:pt>
                      <c:pt idx="25">
                        <c:v>69802.722021704802</c:v>
                      </c:pt>
                      <c:pt idx="26">
                        <c:v>50875.63067666391</c:v>
                      </c:pt>
                      <c:pt idx="27">
                        <c:v>37634.317552716995</c:v>
                      </c:pt>
                      <c:pt idx="28">
                        <c:v>83186.807396109696</c:v>
                      </c:pt>
                      <c:pt idx="29">
                        <c:v>79583.498495819978</c:v>
                      </c:pt>
                      <c:pt idx="30">
                        <c:v>56059.082770390007</c:v>
                      </c:pt>
                      <c:pt idx="31">
                        <c:v>58646.539279858007</c:v>
                      </c:pt>
                    </c:numCache>
                  </c:numRef>
                </c:yVal>
                <c:smooth val="0"/>
                <c:extLst>
                  <c:ext xmlns:c16="http://schemas.microsoft.com/office/drawing/2014/chart" uri="{C3380CC4-5D6E-409C-BE32-E72D297353CC}">
                    <c16:uniqueId val="{00000004-7725-4A49-B19D-738F79058710}"/>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Complex'!$AI$3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Complex'!$AI$4:$AI$35</c15:sqref>
                        </c15:formulaRef>
                      </c:ext>
                    </c:extLst>
                    <c:numCache>
                      <c:formatCode>#,##0</c:formatCode>
                      <c:ptCount val="32"/>
                      <c:pt idx="0">
                        <c:v>121872.20077350998</c:v>
                      </c:pt>
                      <c:pt idx="1">
                        <c:v>156381.52628053309</c:v>
                      </c:pt>
                      <c:pt idx="2">
                        <c:v>181213.90150664389</c:v>
                      </c:pt>
                      <c:pt idx="3">
                        <c:v>138150.22443446796</c:v>
                      </c:pt>
                      <c:pt idx="4">
                        <c:v>89060.056869369961</c:v>
                      </c:pt>
                      <c:pt idx="5">
                        <c:v>107288.20215197999</c:v>
                      </c:pt>
                      <c:pt idx="6">
                        <c:v>147313.67361917492</c:v>
                      </c:pt>
                      <c:pt idx="7">
                        <c:v>84498.565772519985</c:v>
                      </c:pt>
                      <c:pt idx="8">
                        <c:v>76693.796443930027</c:v>
                      </c:pt>
                      <c:pt idx="9">
                        <c:v>80111.148564432995</c:v>
                      </c:pt>
                      <c:pt idx="10">
                        <c:v>40510.904602809991</c:v>
                      </c:pt>
                      <c:pt idx="11">
                        <c:v>70359.542526943027</c:v>
                      </c:pt>
                      <c:pt idx="12">
                        <c:v>53086.843294169972</c:v>
                      </c:pt>
                      <c:pt idx="13">
                        <c:v>119910.95310888004</c:v>
                      </c:pt>
                      <c:pt idx="14">
                        <c:v>190153.65448970115</c:v>
                      </c:pt>
                      <c:pt idx="15">
                        <c:v>115821.28729998998</c:v>
                      </c:pt>
                      <c:pt idx="16">
                        <c:v>86266.973119231974</c:v>
                      </c:pt>
                      <c:pt idx="17">
                        <c:v>199690.08822563372</c:v>
                      </c:pt>
                      <c:pt idx="18">
                        <c:v>93340.549976609967</c:v>
                      </c:pt>
                      <c:pt idx="19">
                        <c:v>92789.93814702805</c:v>
                      </c:pt>
                      <c:pt idx="20">
                        <c:v>83193.835156200978</c:v>
                      </c:pt>
                      <c:pt idx="21">
                        <c:v>147548.90568443519</c:v>
                      </c:pt>
                      <c:pt idx="22">
                        <c:v>173457.62124570302</c:v>
                      </c:pt>
                      <c:pt idx="23">
                        <c:v>83739.602868829999</c:v>
                      </c:pt>
                      <c:pt idx="24">
                        <c:v>52335.569873921639</c:v>
                      </c:pt>
                      <c:pt idx="25">
                        <c:v>75934.645976964792</c:v>
                      </c:pt>
                      <c:pt idx="26">
                        <c:v>48847.886889038891</c:v>
                      </c:pt>
                      <c:pt idx="27">
                        <c:v>38751.294673705714</c:v>
                      </c:pt>
                      <c:pt idx="28">
                        <c:v>82917.773642923406</c:v>
                      </c:pt>
                      <c:pt idx="29">
                        <c:v>80839.191287629961</c:v>
                      </c:pt>
                      <c:pt idx="30">
                        <c:v>55417.210965804006</c:v>
                      </c:pt>
                      <c:pt idx="31">
                        <c:v>57505.307462857723</c:v>
                      </c:pt>
                    </c:numCache>
                  </c:numRef>
                </c:yVal>
                <c:smooth val="0"/>
                <c:extLst xmlns:c15="http://schemas.microsoft.com/office/drawing/2012/chart">
                  <c:ext xmlns:c16="http://schemas.microsoft.com/office/drawing/2014/chart" uri="{C3380CC4-5D6E-409C-BE32-E72D297353CC}">
                    <c16:uniqueId val="{00000005-7725-4A49-B19D-738F79058710}"/>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Grouper'!$D$2</c:f>
              <c:strCache>
                <c:ptCount val="1"/>
                <c:pt idx="0">
                  <c:v>Total New Est</c:v>
                </c:pt>
              </c:strCache>
            </c:strRef>
          </c:tx>
          <c:xVal>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Grouper'!$D$3:$D$34</c:f>
              <c:numCache>
                <c:formatCode>#,##0</c:formatCode>
                <c:ptCount val="32"/>
                <c:pt idx="0">
                  <c:v>1922751.8870809998</c:v>
                </c:pt>
                <c:pt idx="1">
                  <c:v>1637312.4008839997</c:v>
                </c:pt>
                <c:pt idx="2">
                  <c:v>2702766.6130821994</c:v>
                </c:pt>
                <c:pt idx="3">
                  <c:v>953054.87236299959</c:v>
                </c:pt>
                <c:pt idx="4">
                  <c:v>1692596.196454</c:v>
                </c:pt>
                <c:pt idx="5">
                  <c:v>1149278.6110963002</c:v>
                </c:pt>
                <c:pt idx="6">
                  <c:v>579801.81203922001</c:v>
                </c:pt>
                <c:pt idx="7">
                  <c:v>518267.91147099022</c:v>
                </c:pt>
                <c:pt idx="8">
                  <c:v>523821.30471569998</c:v>
                </c:pt>
                <c:pt idx="9">
                  <c:v>741594.49310019996</c:v>
                </c:pt>
                <c:pt idx="10">
                  <c:v>1482664.9054413498</c:v>
                </c:pt>
                <c:pt idx="11">
                  <c:v>2133400.1157414974</c:v>
                </c:pt>
                <c:pt idx="12">
                  <c:v>773210.54508496972</c:v>
                </c:pt>
                <c:pt idx="13">
                  <c:v>376118.9730713123</c:v>
                </c:pt>
                <c:pt idx="14">
                  <c:v>544605.27665212005</c:v>
                </c:pt>
                <c:pt idx="15">
                  <c:v>445699.83576547977</c:v>
                </c:pt>
                <c:pt idx="16">
                  <c:v>845379.89065544982</c:v>
                </c:pt>
                <c:pt idx="17">
                  <c:v>784365.70092002989</c:v>
                </c:pt>
                <c:pt idx="18">
                  <c:v>1168431.1736695999</c:v>
                </c:pt>
                <c:pt idx="19">
                  <c:v>348505.57375575986</c:v>
                </c:pt>
                <c:pt idx="20">
                  <c:v>696765.64505541022</c:v>
                </c:pt>
                <c:pt idx="21">
                  <c:v>641642.25013318018</c:v>
                </c:pt>
                <c:pt idx="22">
                  <c:v>608111.89985535014</c:v>
                </c:pt>
                <c:pt idx="23">
                  <c:v>718638.97764779977</c:v>
                </c:pt>
                <c:pt idx="24">
                  <c:v>83380.907770539983</c:v>
                </c:pt>
                <c:pt idx="25">
                  <c:v>157295.98607425002</c:v>
                </c:pt>
                <c:pt idx="26">
                  <c:v>283988.56858855998</c:v>
                </c:pt>
                <c:pt idx="27">
                  <c:v>325660.51294442994</c:v>
                </c:pt>
                <c:pt idx="28">
                  <c:v>265441.91880704998</c:v>
                </c:pt>
                <c:pt idx="29">
                  <c:v>416275.0749395499</c:v>
                </c:pt>
                <c:pt idx="30">
                  <c:v>578125.42846867978</c:v>
                </c:pt>
                <c:pt idx="31">
                  <c:v>306472.00073880004</c:v>
                </c:pt>
              </c:numCache>
            </c:numRef>
          </c:yVal>
          <c:smooth val="0"/>
          <c:extLst>
            <c:ext xmlns:c16="http://schemas.microsoft.com/office/drawing/2014/chart" uri="{C3380CC4-5D6E-409C-BE32-E72D297353CC}">
              <c16:uniqueId val="{00000000-8CFE-4FCD-A84E-BE16C87F47AB}"/>
            </c:ext>
          </c:extLst>
        </c:ser>
        <c:ser>
          <c:idx val="3"/>
          <c:order val="3"/>
          <c:tx>
            <c:strRef>
              <c:f>'Black Grouper'!$G$2</c:f>
              <c:strCache>
                <c:ptCount val="1"/>
                <c:pt idx="0">
                  <c:v>Total Orig FES</c:v>
                </c:pt>
              </c:strCache>
            </c:strRef>
          </c:tx>
          <c:spPr>
            <a:ln>
              <a:solidFill>
                <a:schemeClr val="accent2"/>
              </a:solidFill>
            </a:ln>
          </c:spPr>
          <c:marker>
            <c:spPr>
              <a:ln>
                <a:solidFill>
                  <a:schemeClr val="accent2"/>
                </a:solidFill>
              </a:ln>
            </c:spPr>
          </c:marker>
          <c:xVal>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Grouper'!$G$3:$G$34</c:f>
              <c:numCache>
                <c:formatCode>#,##0</c:formatCode>
                <c:ptCount val="32"/>
                <c:pt idx="0">
                  <c:v>1955140.1510045999</c:v>
                </c:pt>
                <c:pt idx="1">
                  <c:v>1755318.1381289994</c:v>
                </c:pt>
                <c:pt idx="2">
                  <c:v>2633505.9757021996</c:v>
                </c:pt>
                <c:pt idx="3">
                  <c:v>799662.58492000028</c:v>
                </c:pt>
                <c:pt idx="4">
                  <c:v>1815371.7775619999</c:v>
                </c:pt>
                <c:pt idx="5">
                  <c:v>1056123.9100874001</c:v>
                </c:pt>
                <c:pt idx="6">
                  <c:v>677091.84572332015</c:v>
                </c:pt>
                <c:pt idx="7">
                  <c:v>540799.18411379016</c:v>
                </c:pt>
                <c:pt idx="8">
                  <c:v>506405.05486079998</c:v>
                </c:pt>
                <c:pt idx="9">
                  <c:v>678360.36355940008</c:v>
                </c:pt>
                <c:pt idx="10">
                  <c:v>1525200.1043777498</c:v>
                </c:pt>
                <c:pt idx="11">
                  <c:v>2142623.9377692975</c:v>
                </c:pt>
                <c:pt idx="12">
                  <c:v>789202.9302831497</c:v>
                </c:pt>
                <c:pt idx="13">
                  <c:v>368378.56690403138</c:v>
                </c:pt>
                <c:pt idx="14">
                  <c:v>498231.85797934199</c:v>
                </c:pt>
                <c:pt idx="15">
                  <c:v>383887.64651182992</c:v>
                </c:pt>
                <c:pt idx="16">
                  <c:v>848692.28417719982</c:v>
                </c:pt>
                <c:pt idx="17">
                  <c:v>774320.51988355001</c:v>
                </c:pt>
                <c:pt idx="18">
                  <c:v>1167533.5873702201</c:v>
                </c:pt>
                <c:pt idx="19">
                  <c:v>348598.16647894995</c:v>
                </c:pt>
                <c:pt idx="20">
                  <c:v>695324.48183806019</c:v>
                </c:pt>
                <c:pt idx="21">
                  <c:v>644036.86277487001</c:v>
                </c:pt>
                <c:pt idx="22">
                  <c:v>608057.33531571017</c:v>
                </c:pt>
                <c:pt idx="23">
                  <c:v>597079.47989139974</c:v>
                </c:pt>
                <c:pt idx="24">
                  <c:v>83243.538492239983</c:v>
                </c:pt>
                <c:pt idx="25">
                  <c:v>156991.60731878999</c:v>
                </c:pt>
                <c:pt idx="26">
                  <c:v>279313.92009800003</c:v>
                </c:pt>
                <c:pt idx="27">
                  <c:v>324813.19880130998</c:v>
                </c:pt>
                <c:pt idx="28">
                  <c:v>278578.47428477998</c:v>
                </c:pt>
                <c:pt idx="29">
                  <c:v>400202.55010198994</c:v>
                </c:pt>
                <c:pt idx="30">
                  <c:v>584854.92761661985</c:v>
                </c:pt>
                <c:pt idx="31">
                  <c:v>305557.68245740002</c:v>
                </c:pt>
              </c:numCache>
            </c:numRef>
          </c:yVal>
          <c:smooth val="0"/>
          <c:extLst>
            <c:ext xmlns:c16="http://schemas.microsoft.com/office/drawing/2014/chart" uri="{C3380CC4-5D6E-409C-BE32-E72D297353CC}">
              <c16:uniqueId val="{00000001-8CFE-4FCD-A84E-BE16C87F47AB}"/>
            </c:ext>
          </c:extLst>
        </c:ser>
        <c:ser>
          <c:idx val="6"/>
          <c:order val="5"/>
          <c:tx>
            <c:strRef>
              <c:f>'Black Grouper'!$I$2</c:f>
              <c:strCache>
                <c:ptCount val="1"/>
                <c:pt idx="0">
                  <c:v>3rd Highest New Est</c:v>
                </c:pt>
              </c:strCache>
            </c:strRef>
          </c:tx>
          <c:spPr>
            <a:ln>
              <a:solidFill>
                <a:srgbClr val="00B0F0"/>
              </a:solidFill>
            </a:ln>
          </c:spPr>
          <c:marker>
            <c:symbol val="none"/>
          </c:marker>
          <c:xVal>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Grouper'!$I$3:$I$34</c:f>
              <c:numCache>
                <c:formatCode>General</c:formatCode>
                <c:ptCount val="32"/>
                <c:pt idx="25" formatCode="#,##0">
                  <c:v>784365.70092002989</c:v>
                </c:pt>
                <c:pt idx="26" formatCode="#,##0">
                  <c:v>784365.70092002989</c:v>
                </c:pt>
                <c:pt idx="27" formatCode="#,##0">
                  <c:v>784365.70092002989</c:v>
                </c:pt>
                <c:pt idx="28" formatCode="#,##0">
                  <c:v>784365.70092002989</c:v>
                </c:pt>
                <c:pt idx="29" formatCode="#,##0">
                  <c:v>784365.70092002989</c:v>
                </c:pt>
                <c:pt idx="30" formatCode="#,##0">
                  <c:v>784365.70092002989</c:v>
                </c:pt>
                <c:pt idx="31" formatCode="#,##0">
                  <c:v>784365.70092002989</c:v>
                </c:pt>
              </c:numCache>
            </c:numRef>
          </c:yVal>
          <c:smooth val="0"/>
          <c:extLst>
            <c:ext xmlns:c16="http://schemas.microsoft.com/office/drawing/2014/chart" uri="{C3380CC4-5D6E-409C-BE32-E72D297353CC}">
              <c16:uniqueId val="{00000000-5A9D-4CB3-9494-8D53A131FE40}"/>
            </c:ext>
          </c:extLst>
        </c:ser>
        <c:ser>
          <c:idx val="7"/>
          <c:order val="6"/>
          <c:tx>
            <c:strRef>
              <c:f>'Black Grouper'!$J$2</c:f>
              <c:strCache>
                <c:ptCount val="1"/>
                <c:pt idx="0">
                  <c:v>3rd Highest Orig FES</c:v>
                </c:pt>
              </c:strCache>
            </c:strRef>
          </c:tx>
          <c:spPr>
            <a:ln w="31750">
              <a:solidFill>
                <a:srgbClr val="FF0000"/>
              </a:solidFill>
            </a:ln>
          </c:spPr>
          <c:marker>
            <c:symbol val="none"/>
          </c:marker>
          <c:xVal>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Grouper'!$J$3:$J$34</c:f>
              <c:numCache>
                <c:formatCode>General</c:formatCode>
                <c:ptCount val="32"/>
                <c:pt idx="25" formatCode="#,##0">
                  <c:v>774320.51988355001</c:v>
                </c:pt>
                <c:pt idx="26" formatCode="#,##0">
                  <c:v>774320.51988355001</c:v>
                </c:pt>
                <c:pt idx="27" formatCode="#,##0">
                  <c:v>774320.51988355001</c:v>
                </c:pt>
                <c:pt idx="28" formatCode="#,##0">
                  <c:v>774320.51988355001</c:v>
                </c:pt>
                <c:pt idx="29" formatCode="#,##0">
                  <c:v>774320.51988355001</c:v>
                </c:pt>
                <c:pt idx="30" formatCode="#,##0">
                  <c:v>774320.51988355001</c:v>
                </c:pt>
                <c:pt idx="31" formatCode="#,##0">
                  <c:v>774320.51988355001</c:v>
                </c:pt>
              </c:numCache>
            </c:numRef>
          </c:yVal>
          <c:smooth val="0"/>
          <c:extLst>
            <c:ext xmlns:c16="http://schemas.microsoft.com/office/drawing/2014/chart" uri="{C3380CC4-5D6E-409C-BE32-E72D297353CC}">
              <c16:uniqueId val="{00000000-DDE3-4554-8FA0-BC6280F56863}"/>
            </c:ext>
          </c:extLst>
        </c:ser>
        <c:dLbls>
          <c:showLegendKey val="0"/>
          <c:showVal val="0"/>
          <c:showCatName val="0"/>
          <c:showSerName val="0"/>
          <c:showPercent val="0"/>
          <c:showBubbleSize val="0"/>
        </c:dLbls>
        <c:axId val="338520896"/>
        <c:axId val="338521472"/>
        <c:extLst>
          <c:ext xmlns:c15="http://schemas.microsoft.com/office/drawing/2012/chart" uri="{02D57815-91ED-43cb-92C2-25804820EDAC}">
            <c15:filteredScatterSeries>
              <c15:ser>
                <c:idx val="2"/>
                <c:order val="1"/>
                <c:tx>
                  <c:strRef>
                    <c:extLst>
                      <c:ext uri="{02D57815-91ED-43cb-92C2-25804820EDAC}">
                        <c15:formulaRef>
                          <c15:sqref>'Black Grouper'!$F$2</c15:sqref>
                        </c15:formulaRef>
                      </c:ext>
                    </c:extLst>
                    <c:strCache>
                      <c:ptCount val="1"/>
                      <c:pt idx="0">
                        <c:v>Commercial</c:v>
                      </c:pt>
                    </c:strCache>
                  </c:strRef>
                </c:tx>
                <c:xVal>
                  <c:numRef>
                    <c:extLst>
                      <c:ext uri="{02D57815-91ED-43cb-92C2-25804820EDAC}">
                        <c15:formulaRef>
                          <c15:sqref>'Black Grouper'!$C$3:$C$34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'Black Grouper'!$F$3:$F$34</c15:sqref>
                        </c15:formulaRef>
                      </c:ext>
                    </c:extLst>
                    <c:numCache>
                      <c:formatCode>#,##0</c:formatCode>
                      <c:ptCount val="32"/>
                      <c:pt idx="0">
                        <c:v>439898</c:v>
                      </c:pt>
                      <c:pt idx="1">
                        <c:v>510662</c:v>
                      </c:pt>
                      <c:pt idx="2">
                        <c:v>344360</c:v>
                      </c:pt>
                      <c:pt idx="3">
                        <c:v>346395</c:v>
                      </c:pt>
                      <c:pt idx="4">
                        <c:v>200844</c:v>
                      </c:pt>
                      <c:pt idx="5">
                        <c:v>120230</c:v>
                      </c:pt>
                      <c:pt idx="6">
                        <c:v>131788</c:v>
                      </c:pt>
                      <c:pt idx="7">
                        <c:v>146214</c:v>
                      </c:pt>
                      <c:pt idx="8">
                        <c:v>131164</c:v>
                      </c:pt>
                      <c:pt idx="9">
                        <c:v>201737</c:v>
                      </c:pt>
                      <c:pt idx="10">
                        <c:v>190494</c:v>
                      </c:pt>
                      <c:pt idx="11">
                        <c:v>169530</c:v>
                      </c:pt>
                      <c:pt idx="12">
                        <c:v>174739</c:v>
                      </c:pt>
                      <c:pt idx="13">
                        <c:v>128968</c:v>
                      </c:pt>
                      <c:pt idx="14">
                        <c:v>122650</c:v>
                      </c:pt>
                      <c:pt idx="15">
                        <c:v>136082</c:v>
                      </c:pt>
                      <c:pt idx="16">
                        <c:v>149681</c:v>
                      </c:pt>
                      <c:pt idx="17">
                        <c:v>151382</c:v>
                      </c:pt>
                      <c:pt idx="18">
                        <c:v>147167</c:v>
                      </c:pt>
                      <c:pt idx="19">
                        <c:v>115345</c:v>
                      </c:pt>
                      <c:pt idx="20">
                        <c:v>81753</c:v>
                      </c:pt>
                      <c:pt idx="21">
                        <c:v>95501</c:v>
                      </c:pt>
                      <c:pt idx="22">
                        <c:v>52722</c:v>
                      </c:pt>
                      <c:pt idx="23">
                        <c:v>46726</c:v>
                      </c:pt>
                      <c:pt idx="24">
                        <c:v>44057</c:v>
                      </c:pt>
                      <c:pt idx="25">
                        <c:v>62407</c:v>
                      </c:pt>
                      <c:pt idx="26">
                        <c:v>50813</c:v>
                      </c:pt>
                      <c:pt idx="27">
                        <c:v>60576</c:v>
                      </c:pt>
                      <c:pt idx="28">
                        <c:v>92038</c:v>
                      </c:pt>
                      <c:pt idx="29">
                        <c:v>88957</c:v>
                      </c:pt>
                      <c:pt idx="30">
                        <c:v>71166</c:v>
                      </c:pt>
                      <c:pt idx="31">
                        <c:v>83997</c:v>
                      </c:pt>
                    </c:numCache>
                  </c:numRef>
                </c:yVal>
                <c:smooth val="0"/>
                <c:extLst>
                  <c:ext xmlns:c16="http://schemas.microsoft.com/office/drawing/2014/chart" uri="{C3380CC4-5D6E-409C-BE32-E72D297353CC}">
                    <c16:uniqueId val="{00000003-8CFE-4FCD-A84E-BE16C87F47AB}"/>
                  </c:ext>
                </c:extLst>
              </c15:ser>
            </c15:filteredScatterSeries>
            <c15:filteredScatterSeries>
              <c15:ser>
                <c:idx val="1"/>
                <c:order val="2"/>
                <c:tx>
                  <c:strRef>
                    <c:extLst xmlns:c15="http://schemas.microsoft.com/office/drawing/2012/chart">
                      <c:ext xmlns:c15="http://schemas.microsoft.com/office/drawing/2012/chart" uri="{02D57815-91ED-43cb-92C2-25804820EDAC}">
                        <c15:formulaRef>
                          <c15:sqref>'Black Grouper'!$E$2</c15:sqref>
                        </c15:formulaRef>
                      </c:ext>
                    </c:extLst>
                    <c:strCache>
                      <c:ptCount val="1"/>
                      <c:pt idx="0">
                        <c:v>New Est Rec</c:v>
                      </c:pt>
                    </c:strCache>
                  </c:strRef>
                </c:tx>
                <c:xVal>
                  <c:numRef>
                    <c:extLst xmlns:c15="http://schemas.microsoft.com/office/drawing/2012/chart">
                      <c:ext xmlns:c15="http://schemas.microsoft.com/office/drawing/2012/chart" uri="{02D57815-91ED-43cb-92C2-25804820EDAC}">
                        <c15:formulaRef>
                          <c15:sqref>'Black Grouper'!$C$3:$C$34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'Black Grouper'!$E$3:$E$34</c15:sqref>
                        </c15:formulaRef>
                      </c:ext>
                    </c:extLst>
                    <c:numCache>
                      <c:formatCode>#,##0</c:formatCode>
                      <c:ptCount val="32"/>
                      <c:pt idx="0">
                        <c:v>1482853.8870809998</c:v>
                      </c:pt>
                      <c:pt idx="1">
                        <c:v>1126650.4008839997</c:v>
                      </c:pt>
                      <c:pt idx="2">
                        <c:v>2358406.6130821994</c:v>
                      </c:pt>
                      <c:pt idx="3">
                        <c:v>606659.87236299959</c:v>
                      </c:pt>
                      <c:pt idx="4">
                        <c:v>1491752.196454</c:v>
                      </c:pt>
                      <c:pt idx="5">
                        <c:v>1029048.6110963001</c:v>
                      </c:pt>
                      <c:pt idx="6">
                        <c:v>448013.81203922001</c:v>
                      </c:pt>
                      <c:pt idx="7">
                        <c:v>372053.91147099022</c:v>
                      </c:pt>
                      <c:pt idx="8">
                        <c:v>392657.30471569998</c:v>
                      </c:pt>
                      <c:pt idx="9">
                        <c:v>539857.49310019996</c:v>
                      </c:pt>
                      <c:pt idx="10">
                        <c:v>1292170.9054413498</c:v>
                      </c:pt>
                      <c:pt idx="11">
                        <c:v>1963870.1157414974</c:v>
                      </c:pt>
                      <c:pt idx="12">
                        <c:v>598471.54508496972</c:v>
                      </c:pt>
                      <c:pt idx="13">
                        <c:v>247150.97307131227</c:v>
                      </c:pt>
                      <c:pt idx="14">
                        <c:v>421955.27665212005</c:v>
                      </c:pt>
                      <c:pt idx="15">
                        <c:v>309617.83576547977</c:v>
                      </c:pt>
                      <c:pt idx="16">
                        <c:v>695698.89065544982</c:v>
                      </c:pt>
                      <c:pt idx="17">
                        <c:v>632983.70092002989</c:v>
                      </c:pt>
                      <c:pt idx="18">
                        <c:v>1021264.1736695999</c:v>
                      </c:pt>
                      <c:pt idx="19">
                        <c:v>233160.57375575989</c:v>
                      </c:pt>
                      <c:pt idx="20">
                        <c:v>615012.64505541022</c:v>
                      </c:pt>
                      <c:pt idx="21">
                        <c:v>546141.25013318018</c:v>
                      </c:pt>
                      <c:pt idx="22">
                        <c:v>555389.89985535014</c:v>
                      </c:pt>
                      <c:pt idx="23">
                        <c:v>671912.97764779977</c:v>
                      </c:pt>
                      <c:pt idx="24">
                        <c:v>39323.907770539983</c:v>
                      </c:pt>
                      <c:pt idx="25">
                        <c:v>94888.986074250002</c:v>
                      </c:pt>
                      <c:pt idx="26">
                        <c:v>233175.56858856001</c:v>
                      </c:pt>
                      <c:pt idx="27">
                        <c:v>265084.51294442994</c:v>
                      </c:pt>
                      <c:pt idx="28">
                        <c:v>173403.91880704998</c:v>
                      </c:pt>
                      <c:pt idx="29">
                        <c:v>327318.0749395499</c:v>
                      </c:pt>
                      <c:pt idx="30">
                        <c:v>506959.42846867983</c:v>
                      </c:pt>
                      <c:pt idx="31">
                        <c:v>222475.00073880004</c:v>
                      </c:pt>
                    </c:numCache>
                  </c:numRef>
                </c:yVal>
                <c:smooth val="0"/>
                <c:extLst xmlns:c15="http://schemas.microsoft.com/office/drawing/2012/chart">
                  <c:ext xmlns:c16="http://schemas.microsoft.com/office/drawing/2014/chart" uri="{C3380CC4-5D6E-409C-BE32-E72D297353CC}">
                    <c16:uniqueId val="{00000004-8CFE-4FCD-A84E-BE16C87F47AB}"/>
                  </c:ext>
                </c:extLst>
              </c15:ser>
            </c15:filteredScatterSeries>
            <c15:filteredScatterSeries>
              <c15:ser>
                <c:idx val="5"/>
                <c:order val="4"/>
                <c:tx>
                  <c:strRef>
                    <c:extLst xmlns:c15="http://schemas.microsoft.com/office/drawing/2012/chart">
                      <c:ext xmlns:c15="http://schemas.microsoft.com/office/drawing/2012/chart" uri="{02D57815-91ED-43cb-92C2-25804820EDAC}">
                        <c15:formulaRef>
                          <c15:sqref>'Black Grouper'!$H$2</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'Black Grouper'!$C$3:$C$34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'Black Grouper'!$H$3:$H$34</c15:sqref>
                        </c15:formulaRef>
                      </c:ext>
                    </c:extLst>
                    <c:numCache>
                      <c:formatCode>#,##0</c:formatCode>
                      <c:ptCount val="32"/>
                      <c:pt idx="0">
                        <c:v>1515242.1510045999</c:v>
                      </c:pt>
                      <c:pt idx="1">
                        <c:v>1244656.1381289994</c:v>
                      </c:pt>
                      <c:pt idx="2">
                        <c:v>2289145.9757021996</c:v>
                      </c:pt>
                      <c:pt idx="3">
                        <c:v>453267.58492000023</c:v>
                      </c:pt>
                      <c:pt idx="4">
                        <c:v>1614527.7775619999</c:v>
                      </c:pt>
                      <c:pt idx="5">
                        <c:v>935893.91008740012</c:v>
                      </c:pt>
                      <c:pt idx="6">
                        <c:v>545303.84572332015</c:v>
                      </c:pt>
                      <c:pt idx="7">
                        <c:v>394585.18411379016</c:v>
                      </c:pt>
                      <c:pt idx="8">
                        <c:v>375241.05486079998</c:v>
                      </c:pt>
                      <c:pt idx="9">
                        <c:v>476623.36355940008</c:v>
                      </c:pt>
                      <c:pt idx="10">
                        <c:v>1334706.1043777498</c:v>
                      </c:pt>
                      <c:pt idx="11">
                        <c:v>1973093.9377692977</c:v>
                      </c:pt>
                      <c:pt idx="12">
                        <c:v>614463.9302831497</c:v>
                      </c:pt>
                      <c:pt idx="13">
                        <c:v>239410.56690403138</c:v>
                      </c:pt>
                      <c:pt idx="14">
                        <c:v>375581.85797934199</c:v>
                      </c:pt>
                      <c:pt idx="15">
                        <c:v>247805.64651182995</c:v>
                      </c:pt>
                      <c:pt idx="16">
                        <c:v>699011.28417719982</c:v>
                      </c:pt>
                      <c:pt idx="17">
                        <c:v>622938.51988355001</c:v>
                      </c:pt>
                      <c:pt idx="18">
                        <c:v>1020366.5873702202</c:v>
                      </c:pt>
                      <c:pt idx="19">
                        <c:v>233253.16647894992</c:v>
                      </c:pt>
                      <c:pt idx="20">
                        <c:v>613571.48183806019</c:v>
                      </c:pt>
                      <c:pt idx="21">
                        <c:v>548535.86277487001</c:v>
                      </c:pt>
                      <c:pt idx="22">
                        <c:v>555335.33531571017</c:v>
                      </c:pt>
                      <c:pt idx="23">
                        <c:v>550353.47989139974</c:v>
                      </c:pt>
                      <c:pt idx="24">
                        <c:v>39186.53849223999</c:v>
                      </c:pt>
                      <c:pt idx="25">
                        <c:v>94584.607318790004</c:v>
                      </c:pt>
                      <c:pt idx="26">
                        <c:v>228500.92009800003</c:v>
                      </c:pt>
                      <c:pt idx="27">
                        <c:v>264237.19880130998</c:v>
                      </c:pt>
                      <c:pt idx="28">
                        <c:v>186540.47428478001</c:v>
                      </c:pt>
                      <c:pt idx="29">
                        <c:v>311245.55010198994</c:v>
                      </c:pt>
                      <c:pt idx="30">
                        <c:v>513688.92761661985</c:v>
                      </c:pt>
                      <c:pt idx="31">
                        <c:v>221560.68245740005</c:v>
                      </c:pt>
                    </c:numCache>
                  </c:numRef>
                </c:yVal>
                <c:smooth val="0"/>
                <c:extLst xmlns:c15="http://schemas.microsoft.com/office/drawing/2012/chart">
                  <c:ext xmlns:c16="http://schemas.microsoft.com/office/drawing/2014/chart" uri="{C3380CC4-5D6E-409C-BE32-E72D297353CC}">
                    <c16:uniqueId val="{00000005-8CFE-4FCD-A84E-BE16C87F47AB}"/>
                  </c:ext>
                </c:extLst>
              </c15:ser>
            </c15:filteredScatterSeries>
          </c:ext>
        </c:extLst>
      </c:scatterChart>
      <c:scatterChart>
        <c:scatterStyle val="lineMarker"/>
        <c:varyColors val="0"/>
        <c:ser>
          <c:idx val="8"/>
          <c:order val="7"/>
          <c:tx>
            <c:strRef>
              <c:f>'Black Grouper'!$AJ$35</c:f>
              <c:strCache>
                <c:ptCount val="1"/>
                <c:pt idx="0">
                  <c:v>FL RVC</c:v>
                </c:pt>
              </c:strCache>
            </c:strRef>
          </c:tx>
          <c:spPr>
            <a:ln>
              <a:solidFill>
                <a:srgbClr val="00B050"/>
              </a:solidFill>
            </a:ln>
          </c:spPr>
          <c:marker>
            <c:symbol val="circle"/>
            <c:size val="7"/>
            <c:spPr>
              <a:solidFill>
                <a:srgbClr val="00B050"/>
              </a:solidFill>
              <a:ln>
                <a:solidFill>
                  <a:srgbClr val="00B050"/>
                </a:solidFill>
              </a:ln>
            </c:spPr>
          </c:marker>
          <c:xVal>
            <c:numRef>
              <c:f>'Black Grouper'!$AF$36:$AF$53</c:f>
              <c:numCache>
                <c:formatCode>0</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xVal>
          <c:yVal>
            <c:numRef>
              <c:f>'Black Grouper'!$AK$36:$AK$53</c:f>
              <c:numCache>
                <c:formatCode>0.000</c:formatCode>
                <c:ptCount val="18"/>
                <c:pt idx="0">
                  <c:v>0.32800000000000001</c:v>
                </c:pt>
                <c:pt idx="1">
                  <c:v>0.47399999999999998</c:v>
                </c:pt>
                <c:pt idx="2">
                  <c:v>0.72</c:v>
                </c:pt>
                <c:pt idx="3">
                  <c:v>1.2569999999999999</c:v>
                </c:pt>
                <c:pt idx="4">
                  <c:v>1.1160000000000001</c:v>
                </c:pt>
                <c:pt idx="5">
                  <c:v>1.8819999999999999</c:v>
                </c:pt>
                <c:pt idx="6">
                  <c:v>1.083</c:v>
                </c:pt>
                <c:pt idx="7">
                  <c:v>1.573</c:v>
                </c:pt>
                <c:pt idx="8">
                  <c:v>1.385</c:v>
                </c:pt>
                <c:pt idx="9">
                  <c:v>0.85</c:v>
                </c:pt>
                <c:pt idx="10">
                  <c:v>1.0309999999999999</c:v>
                </c:pt>
                <c:pt idx="11">
                  <c:v>0.84799999999999998</c:v>
                </c:pt>
                <c:pt idx="12">
                  <c:v>0.56399999999999995</c:v>
                </c:pt>
                <c:pt idx="13">
                  <c:v>0.80800000000000005</c:v>
                </c:pt>
                <c:pt idx="14">
                  <c:v>1.4319999999999999</c:v>
                </c:pt>
                <c:pt idx="15">
                  <c:v>1.0029999999999999</c:v>
                </c:pt>
                <c:pt idx="17">
                  <c:v>0.88700000000000001</c:v>
                </c:pt>
              </c:numCache>
            </c:numRef>
          </c:yVal>
          <c:smooth val="0"/>
          <c:extLst>
            <c:ext xmlns:c16="http://schemas.microsoft.com/office/drawing/2014/chart" uri="{C3380CC4-5D6E-409C-BE32-E72D297353CC}">
              <c16:uniqueId val="{00000000-6CE1-40F8-81DA-5D7428F74F6A}"/>
            </c:ext>
          </c:extLst>
        </c:ser>
        <c:dLbls>
          <c:showLegendKey val="0"/>
          <c:showVal val="0"/>
          <c:showCatName val="0"/>
          <c:showSerName val="0"/>
          <c:showPercent val="0"/>
          <c:showBubbleSize val="0"/>
        </c:dLbls>
        <c:axId val="622062991"/>
        <c:axId val="622047183"/>
      </c:scatterChart>
      <c:valAx>
        <c:axId val="33852089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8521472"/>
        <c:crosses val="autoZero"/>
        <c:crossBetween val="midCat"/>
      </c:valAx>
      <c:valAx>
        <c:axId val="3385214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20896"/>
        <c:crosses val="autoZero"/>
        <c:crossBetween val="midCat"/>
      </c:valAx>
      <c:valAx>
        <c:axId val="622047183"/>
        <c:scaling>
          <c:orientation val="minMax"/>
        </c:scaling>
        <c:delete val="0"/>
        <c:axPos val="r"/>
        <c:numFmt formatCode="0.0" sourceLinked="0"/>
        <c:majorTickMark val="out"/>
        <c:minorTickMark val="none"/>
        <c:tickLblPos val="nextTo"/>
        <c:crossAx val="622062991"/>
        <c:crosses val="max"/>
        <c:crossBetween val="midCat"/>
      </c:valAx>
      <c:valAx>
        <c:axId val="622062991"/>
        <c:scaling>
          <c:orientation val="minMax"/>
        </c:scaling>
        <c:delete val="1"/>
        <c:axPos val="b"/>
        <c:numFmt formatCode="0" sourceLinked="1"/>
        <c:majorTickMark val="out"/>
        <c:minorTickMark val="none"/>
        <c:tickLblPos val="nextTo"/>
        <c:crossAx val="622047183"/>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Complex'!$AA$3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Complex'!$AA$4:$AA$35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17182.045634856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0-55E9-448C-9771-D9EF7020EE4E}"/>
            </c:ext>
          </c:extLst>
        </c:ser>
        <c:ser>
          <c:idx val="2"/>
          <c:order val="2"/>
          <c:tx>
            <c:strRef>
              <c:f>'Grunts Complex'!$AH$3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Complex'!$AH$4:$AH$35</c:f>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16927.023021056004</c:v>
                </c:pt>
                <c:pt idx="27">
                  <c:v>119825.03618618095</c:v>
                </c:pt>
                <c:pt idx="28">
                  <c:v>85264.405475240987</c:v>
                </c:pt>
                <c:pt idx="29">
                  <c:v>124374.27126517001</c:v>
                </c:pt>
                <c:pt idx="30">
                  <c:v>28076.817435976009</c:v>
                </c:pt>
                <c:pt idx="31">
                  <c:v>18916.614492524004</c:v>
                </c:pt>
              </c:numCache>
            </c:numRef>
          </c:yVal>
          <c:smooth val="0"/>
          <c:extLst>
            <c:ext xmlns:c16="http://schemas.microsoft.com/office/drawing/2014/chart" uri="{C3380CC4-5D6E-409C-BE32-E72D297353CC}">
              <c16:uniqueId val="{00000001-55E9-448C-9771-D9EF7020EE4E}"/>
            </c:ext>
          </c:extLst>
        </c:ser>
        <c:ser>
          <c:idx val="1"/>
          <c:order val="4"/>
          <c:tx>
            <c:strRef>
              <c:f>'Grunts Complex'!$AM$132</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'Grunts Complex'!$AG$133:$AG$164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'Grunts Complex'!$AM$133:$AM$164</c:f>
              <c:numCache>
                <c:formatCode>#,##0</c:formatCode>
                <c:ptCount val="32"/>
                <c:pt idx="0">
                  <c:v>7947.7801647209499</c:v>
                </c:pt>
                <c:pt idx="1">
                  <c:v>64926.648074039047</c:v>
                </c:pt>
                <c:pt idx="3">
                  <c:v>252587.22776855662</c:v>
                </c:pt>
                <c:pt idx="4">
                  <c:v>54664.272283570368</c:v>
                </c:pt>
                <c:pt idx="5">
                  <c:v>307815.22516159603</c:v>
                </c:pt>
                <c:pt idx="7">
                  <c:v>65348.543728715202</c:v>
                </c:pt>
                <c:pt idx="8">
                  <c:v>30880.290347505976</c:v>
                </c:pt>
                <c:pt idx="9">
                  <c:v>24165.790169012216</c:v>
                </c:pt>
                <c:pt idx="10">
                  <c:v>7705.0374826608631</c:v>
                </c:pt>
                <c:pt idx="11">
                  <c:v>27132.130002072292</c:v>
                </c:pt>
                <c:pt idx="12">
                  <c:v>44366.706905424791</c:v>
                </c:pt>
                <c:pt idx="13">
                  <c:v>48433.165013818216</c:v>
                </c:pt>
                <c:pt idx="14">
                  <c:v>38794.009929372274</c:v>
                </c:pt>
                <c:pt idx="15">
                  <c:v>20332.344120156191</c:v>
                </c:pt>
                <c:pt idx="16">
                  <c:v>470026.36070226779</c:v>
                </c:pt>
                <c:pt idx="17">
                  <c:v>374735.77211625874</c:v>
                </c:pt>
                <c:pt idx="18">
                  <c:v>56224.888885220011</c:v>
                </c:pt>
                <c:pt idx="19">
                  <c:v>110106.81856180602</c:v>
                </c:pt>
                <c:pt idx="20">
                  <c:v>19473.262375710168</c:v>
                </c:pt>
                <c:pt idx="21">
                  <c:v>58420.032452161548</c:v>
                </c:pt>
                <c:pt idx="22">
                  <c:v>55427.611914855945</c:v>
                </c:pt>
                <c:pt idx="23">
                  <c:v>23508.525532014632</c:v>
                </c:pt>
                <c:pt idx="24">
                  <c:v>33743.860468382438</c:v>
                </c:pt>
                <c:pt idx="25">
                  <c:v>4190.5108435239272</c:v>
                </c:pt>
                <c:pt idx="26">
                  <c:v>16699.943283632547</c:v>
                </c:pt>
                <c:pt idx="27">
                  <c:v>102931.7499964091</c:v>
                </c:pt>
                <c:pt idx="28">
                  <c:v>87488.509137662084</c:v>
                </c:pt>
                <c:pt idx="29">
                  <c:v>97354.463748372014</c:v>
                </c:pt>
                <c:pt idx="30">
                  <c:v>28572.769986568281</c:v>
                </c:pt>
                <c:pt idx="31">
                  <c:v>21458.011278700531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18D1-4C64-825B-7D6189D282EE}"/>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Complex'!$AA$3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Complex'!$AA$4:$AA$35</c15:sqref>
                        </c15:formulaRef>
                      </c:ext>
                    </c:extLst>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17182.045634856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4-55E9-448C-9771-D9EF7020EE4E}"/>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Complex'!$AH$3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Complex'!$AH$4:$AH$35</c15:sqref>
                        </c15:formulaRef>
                      </c:ext>
                    </c:extLst>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16927.023021056004</c:v>
                      </c:pt>
                      <c:pt idx="27">
                        <c:v>119825.03618618095</c:v>
                      </c:pt>
                      <c:pt idx="28">
                        <c:v>85264.405475240987</c:v>
                      </c:pt>
                      <c:pt idx="29">
                        <c:v>124374.27126517001</c:v>
                      </c:pt>
                      <c:pt idx="30">
                        <c:v>28076.817435976009</c:v>
                      </c:pt>
                      <c:pt idx="31">
                        <c:v>18916.614492524004</c:v>
                      </c:pt>
                    </c:numCache>
                  </c:numRef>
                </c:yVal>
                <c:smooth val="0"/>
                <c:extLst xmlns:c15="http://schemas.microsoft.com/office/drawing/2012/chart">
                  <c:ext xmlns:c16="http://schemas.microsoft.com/office/drawing/2014/chart" uri="{C3380CC4-5D6E-409C-BE32-E72D297353CC}">
                    <c16:uniqueId val="{00000005-55E9-448C-9771-D9EF7020EE4E}"/>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Complex'!$C$3</c:f>
              <c:strCache>
                <c:ptCount val="1"/>
                <c:pt idx="0">
                  <c:v>Total New Wgt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17194.045634856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0-966B-4939-B5AE-2C85784DE746}"/>
            </c:ext>
          </c:extLst>
        </c:ser>
        <c:ser>
          <c:idx val="2"/>
          <c:order val="2"/>
          <c:tx>
            <c:strRef>
              <c:f>'Grunts Complex'!$K$3</c:f>
              <c:strCache>
                <c:ptCount val="1"/>
                <c:pt idx="0">
                  <c:v>Total Orig FES</c:v>
                </c:pt>
              </c:strCache>
            </c:strRef>
          </c:tx>
          <c:spPr>
            <a:ln>
              <a:solidFill>
                <a:schemeClr val="accent2"/>
              </a:solidFill>
            </a:ln>
          </c:spPr>
          <c:marker>
            <c:symbol val="x"/>
            <c:size val="7"/>
            <c:spPr>
              <a:noFill/>
              <a:ln>
                <a:solidFill>
                  <a:schemeClr val="accent2"/>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Complex'!$K$4:$K$35</c:f>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16939.023021056004</c:v>
                </c:pt>
                <c:pt idx="27">
                  <c:v>119825.03618618095</c:v>
                </c:pt>
                <c:pt idx="28">
                  <c:v>85264.405475240987</c:v>
                </c:pt>
                <c:pt idx="29">
                  <c:v>124374.27126517001</c:v>
                </c:pt>
                <c:pt idx="30">
                  <c:v>28076.817435976009</c:v>
                </c:pt>
                <c:pt idx="31">
                  <c:v>18916.614492524004</c:v>
                </c:pt>
              </c:numCache>
            </c:numRef>
          </c:yVal>
          <c:smooth val="0"/>
          <c:extLst>
            <c:ext xmlns:c16="http://schemas.microsoft.com/office/drawing/2014/chart" uri="{C3380CC4-5D6E-409C-BE32-E72D297353CC}">
              <c16:uniqueId val="{00000002-966B-4939-B5AE-2C85784DE746}"/>
            </c:ext>
          </c:extLst>
        </c:ser>
        <c:ser>
          <c:idx val="1"/>
          <c:order val="4"/>
          <c:tx>
            <c:strRef>
              <c:f>'Grunts Complex'!$C$41</c:f>
              <c:strCache>
                <c:ptCount val="1"/>
                <c:pt idx="0">
                  <c:v>New Wgt ABC/ACL</c:v>
                </c:pt>
              </c:strCache>
            </c:strRef>
          </c:tx>
          <c:spPr>
            <a:ln w="38100">
              <a:solidFill>
                <a:schemeClr val="tx1"/>
              </a:solidFill>
            </a:ln>
          </c:spPr>
          <c:marker>
            <c:symbol val="none"/>
          </c:marker>
          <c:xVal>
            <c:numRef>
              <c:f>'Grunts Complex'!$A$42:$A$47</c:f>
              <c:numCache>
                <c:formatCode>General</c:formatCode>
                <c:ptCount val="6"/>
                <c:pt idx="0">
                  <c:v>2012</c:v>
                </c:pt>
                <c:pt idx="1">
                  <c:v>2013</c:v>
                </c:pt>
                <c:pt idx="2">
                  <c:v>2014</c:v>
                </c:pt>
                <c:pt idx="3">
                  <c:v>2015</c:v>
                </c:pt>
                <c:pt idx="4">
                  <c:v>2016</c:v>
                </c:pt>
                <c:pt idx="5">
                  <c:v>2017</c:v>
                </c:pt>
              </c:numCache>
            </c:numRef>
          </c:xVal>
          <c:yVal>
            <c:numRef>
              <c:f>'Grunts Complex'!$C$42:$C$47</c:f>
              <c:numCache>
                <c:formatCode>#,##0</c:formatCode>
                <c:ptCount val="6"/>
                <c:pt idx="0">
                  <c:v>97397.131278806017</c:v>
                </c:pt>
                <c:pt idx="1">
                  <c:v>97397.131278806017</c:v>
                </c:pt>
                <c:pt idx="2">
                  <c:v>97397.131278806017</c:v>
                </c:pt>
                <c:pt idx="3">
                  <c:v>97397.131278806017</c:v>
                </c:pt>
                <c:pt idx="4">
                  <c:v>97397.131278806017</c:v>
                </c:pt>
                <c:pt idx="5">
                  <c:v>97397.131278806017</c:v>
                </c:pt>
              </c:numCache>
            </c:numRef>
          </c:yVal>
          <c:smooth val="0"/>
          <c:extLst>
            <c:ext xmlns:c16="http://schemas.microsoft.com/office/drawing/2014/chart" uri="{C3380CC4-5D6E-409C-BE32-E72D297353CC}">
              <c16:uniqueId val="{00000001-966B-4939-B5AE-2C85784DE746}"/>
            </c:ext>
          </c:extLst>
        </c:ser>
        <c:ser>
          <c:idx val="5"/>
          <c:order val="5"/>
          <c:tx>
            <c:strRef>
              <c:f>'Grunts Complex'!$K$41</c:f>
              <c:strCache>
                <c:ptCount val="1"/>
                <c:pt idx="0">
                  <c:v>Orig FES ABC/ACL</c:v>
                </c:pt>
              </c:strCache>
            </c:strRef>
          </c:tx>
          <c:spPr>
            <a:ln>
              <a:solidFill>
                <a:srgbClr val="7030A0"/>
              </a:solidFill>
            </a:ln>
          </c:spPr>
          <c:marker>
            <c:symbol val="none"/>
          </c:marker>
          <c:xVal>
            <c:numRef>
              <c:f>'Grunts Complex'!$I$42:$I$47</c:f>
              <c:numCache>
                <c:formatCode>General</c:formatCode>
                <c:ptCount val="6"/>
                <c:pt idx="0">
                  <c:v>2012</c:v>
                </c:pt>
                <c:pt idx="1">
                  <c:v>2013</c:v>
                </c:pt>
                <c:pt idx="2">
                  <c:v>2014</c:v>
                </c:pt>
                <c:pt idx="3">
                  <c:v>2015</c:v>
                </c:pt>
                <c:pt idx="4">
                  <c:v>2016</c:v>
                </c:pt>
                <c:pt idx="5">
                  <c:v>2017</c:v>
                </c:pt>
              </c:numCache>
            </c:numRef>
          </c:xVal>
          <c:yVal>
            <c:numRef>
              <c:f>'Grunts Complex'!$K$42:$K$47</c:f>
              <c:numCache>
                <c:formatCode>#,##0</c:formatCode>
                <c:ptCount val="6"/>
                <c:pt idx="0">
                  <c:v>97375.21827054098</c:v>
                </c:pt>
                <c:pt idx="1">
                  <c:v>97375.21827054098</c:v>
                </c:pt>
                <c:pt idx="2">
                  <c:v>97375.21827054098</c:v>
                </c:pt>
                <c:pt idx="3">
                  <c:v>97375.21827054098</c:v>
                </c:pt>
                <c:pt idx="4">
                  <c:v>97375.21827054098</c:v>
                </c:pt>
                <c:pt idx="5">
                  <c:v>97375.21827054098</c:v>
                </c:pt>
              </c:numCache>
            </c:numRef>
          </c:yVal>
          <c:smooth val="0"/>
          <c:extLst>
            <c:ext xmlns:c16="http://schemas.microsoft.com/office/drawing/2014/chart" uri="{C3380CC4-5D6E-409C-BE32-E72D297353CC}">
              <c16:uniqueId val="{00000005-966B-4939-B5AE-2C85784DE746}"/>
            </c:ext>
          </c:extLst>
        </c:ser>
        <c:ser>
          <c:idx val="6"/>
          <c:order val="6"/>
          <c:spPr>
            <a:ln>
              <a:solidFill>
                <a:schemeClr val="tx1"/>
              </a:solidFill>
            </a:ln>
          </c:spPr>
          <c:marker>
            <c:symbol val="none"/>
          </c:marker>
          <c:xVal>
            <c:numRef>
              <c:f>'Grunts Complex'!$CA$29:$CA$30</c:f>
              <c:numCache>
                <c:formatCode>General</c:formatCode>
                <c:ptCount val="2"/>
                <c:pt idx="0">
                  <c:v>1999</c:v>
                </c:pt>
                <c:pt idx="1">
                  <c:v>1999</c:v>
                </c:pt>
              </c:numCache>
            </c:numRef>
          </c:xVal>
          <c:yVal>
            <c:numRef>
              <c:f>'Grunts Complex'!$CB$29:$CB$30</c:f>
              <c:numCache>
                <c:formatCode>#,##0</c:formatCode>
                <c:ptCount val="2"/>
                <c:pt idx="0">
                  <c:v>0</c:v>
                </c:pt>
                <c:pt idx="1">
                  <c:v>500000</c:v>
                </c:pt>
              </c:numCache>
            </c:numRef>
          </c:yVal>
          <c:smooth val="0"/>
          <c:extLst>
            <c:ext xmlns:c16="http://schemas.microsoft.com/office/drawing/2014/chart" uri="{C3380CC4-5D6E-409C-BE32-E72D297353CC}">
              <c16:uniqueId val="{00000000-0CFF-4607-BA31-BF82F07A4136}"/>
            </c:ext>
          </c:extLst>
        </c:ser>
        <c:ser>
          <c:idx val="7"/>
          <c:order val="7"/>
          <c:spPr>
            <a:ln>
              <a:solidFill>
                <a:schemeClr val="tx1"/>
              </a:solidFill>
            </a:ln>
          </c:spPr>
          <c:marker>
            <c:symbol val="none"/>
          </c:marker>
          <c:xVal>
            <c:numRef>
              <c:f>'Grunts Complex'!$CA$31:$CA$32</c:f>
              <c:numCache>
                <c:formatCode>General</c:formatCode>
                <c:ptCount val="2"/>
                <c:pt idx="0">
                  <c:v>2007</c:v>
                </c:pt>
                <c:pt idx="1">
                  <c:v>2007</c:v>
                </c:pt>
              </c:numCache>
            </c:numRef>
          </c:xVal>
          <c:yVal>
            <c:numRef>
              <c:f>'Grunts Complex'!$CB$31:$CB$32</c:f>
              <c:numCache>
                <c:formatCode>#,##0</c:formatCode>
                <c:ptCount val="2"/>
                <c:pt idx="0">
                  <c:v>0</c:v>
                </c:pt>
                <c:pt idx="1">
                  <c:v>500000</c:v>
                </c:pt>
              </c:numCache>
            </c:numRef>
          </c:yVal>
          <c:smooth val="0"/>
          <c:extLst>
            <c:ext xmlns:c16="http://schemas.microsoft.com/office/drawing/2014/chart" uri="{C3380CC4-5D6E-409C-BE32-E72D297353CC}">
              <c16:uniqueId val="{00000001-0CFF-4607-BA31-BF82F07A4136}"/>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Complex'!$AA$3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Complex'!$AA$4:$AA$35</c15:sqref>
                        </c15:formulaRef>
                      </c:ext>
                    </c:extLst>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17182.045634856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3-966B-4939-B5AE-2C85784DE746}"/>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Complex'!$AH$3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Complex'!$AH$4:$AH$35</c15:sqref>
                        </c15:formulaRef>
                      </c:ext>
                    </c:extLst>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16927.023021056004</c:v>
                      </c:pt>
                      <c:pt idx="27">
                        <c:v>119825.03618618095</c:v>
                      </c:pt>
                      <c:pt idx="28">
                        <c:v>85264.405475240987</c:v>
                      </c:pt>
                      <c:pt idx="29">
                        <c:v>124374.27126517001</c:v>
                      </c:pt>
                      <c:pt idx="30">
                        <c:v>28076.817435976009</c:v>
                      </c:pt>
                      <c:pt idx="31">
                        <c:v>18916.614492524004</c:v>
                      </c:pt>
                    </c:numCache>
                  </c:numRef>
                </c:yVal>
                <c:smooth val="0"/>
                <c:extLst xmlns:c15="http://schemas.microsoft.com/office/drawing/2012/chart">
                  <c:ext xmlns:c16="http://schemas.microsoft.com/office/drawing/2014/chart" uri="{C3380CC4-5D6E-409C-BE32-E72D297353CC}">
                    <c16:uniqueId val="{00000004-966B-4939-B5AE-2C85784DE746}"/>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legendEntry>
        <c:idx val="4"/>
        <c:delete val="1"/>
      </c:legendEntry>
      <c:legendEntry>
        <c:idx val="5"/>
        <c:delete val="1"/>
      </c:legendEntry>
      <c:overlay val="0"/>
    </c:legend>
    <c:plotVisOnly val="1"/>
    <c:dispBlanksAs val="gap"/>
    <c:showDLblsOverMax val="0"/>
  </c:chart>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3"/>
          <c:order val="1"/>
          <c:tx>
            <c:strRef>
              <c:f>'Grunts Complex'!$AC$3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'Grunts Complex'!$Y$4:$Y$35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Complex'!$AC$4:$AC$35</c:f>
              <c:numCache>
                <c:formatCode>#,##0</c:formatCode>
                <c:ptCount val="32"/>
                <c:pt idx="0">
                  <c:v>14760.929453409999</c:v>
                </c:pt>
                <c:pt idx="1">
                  <c:v>12118.053479800001</c:v>
                </c:pt>
                <c:pt idx="2">
                  <c:v>360842.33988430002</c:v>
                </c:pt>
                <c:pt idx="3">
                  <c:v>15130.572430999997</c:v>
                </c:pt>
                <c:pt idx="4">
                  <c:v>51775.557473000001</c:v>
                </c:pt>
                <c:pt idx="5">
                  <c:v>1029.6363839999999</c:v>
                </c:pt>
                <c:pt idx="6">
                  <c:v>33845.632783000001</c:v>
                </c:pt>
                <c:pt idx="7">
                  <c:v>63227.476811</c:v>
                </c:pt>
                <c:pt idx="8">
                  <c:v>80927.667911890021</c:v>
                </c:pt>
                <c:pt idx="9">
                  <c:v>24625.491047214</c:v>
                </c:pt>
                <c:pt idx="10">
                  <c:v>105647.83245289</c:v>
                </c:pt>
                <c:pt idx="11">
                  <c:v>6356.7215939999969</c:v>
                </c:pt>
                <c:pt idx="12">
                  <c:v>118127.89311782489</c:v>
                </c:pt>
                <c:pt idx="13">
                  <c:v>209725.83349909997</c:v>
                </c:pt>
                <c:pt idx="14">
                  <c:v>132901.82489329998</c:v>
                </c:pt>
                <c:pt idx="15">
                  <c:v>105408.604436842</c:v>
                </c:pt>
                <c:pt idx="16">
                  <c:v>21519.773943234002</c:v>
                </c:pt>
                <c:pt idx="17">
                  <c:v>79023.128645399003</c:v>
                </c:pt>
                <c:pt idx="18">
                  <c:v>40060.182094418007</c:v>
                </c:pt>
                <c:pt idx="19">
                  <c:v>83820.344138681001</c:v>
                </c:pt>
                <c:pt idx="20">
                  <c:v>35002.306898761999</c:v>
                </c:pt>
                <c:pt idx="21">
                  <c:v>43972.075747769995</c:v>
                </c:pt>
                <c:pt idx="22">
                  <c:v>6659.302429028</c:v>
                </c:pt>
                <c:pt idx="23">
                  <c:v>14312.34273382</c:v>
                </c:pt>
                <c:pt idx="24">
                  <c:v>2334.8425224299999</c:v>
                </c:pt>
                <c:pt idx="25">
                  <c:v>10705.035806099999</c:v>
                </c:pt>
                <c:pt idx="26">
                  <c:v>8559.9077203020006</c:v>
                </c:pt>
                <c:pt idx="27">
                  <c:v>14639.44903005</c:v>
                </c:pt>
                <c:pt idx="28">
                  <c:v>11464.394589200003</c:v>
                </c:pt>
                <c:pt idx="29">
                  <c:v>5865.72237563</c:v>
                </c:pt>
                <c:pt idx="30">
                  <c:v>143463.65901065001</c:v>
                </c:pt>
                <c:pt idx="31">
                  <c:v>11144.361522000001</c:v>
                </c:pt>
              </c:numCache>
            </c:numRef>
          </c:yVal>
          <c:smooth val="0"/>
          <c:extLst>
            <c:ext xmlns:c16="http://schemas.microsoft.com/office/drawing/2014/chart" uri="{C3380CC4-5D6E-409C-BE32-E72D297353CC}">
              <c16:uniqueId val="{00000001-6264-4E0F-AB07-B4B51FB46E7A}"/>
            </c:ext>
          </c:extLst>
        </c:ser>
        <c:ser>
          <c:idx val="4"/>
          <c:order val="3"/>
          <c:tx>
            <c:strRef>
              <c:f>'Grunts Complex'!$AJ$3</c:f>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f>'Grunts Complex'!$AF$4:$AF$35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Complex'!$AJ$4:$AJ$35</c:f>
              <c:numCache>
                <c:formatCode>#,##0</c:formatCode>
                <c:ptCount val="32"/>
                <c:pt idx="0">
                  <c:v>14760.929453409997</c:v>
                </c:pt>
                <c:pt idx="1">
                  <c:v>12118.053479800001</c:v>
                </c:pt>
                <c:pt idx="2">
                  <c:v>360842.33988430002</c:v>
                </c:pt>
                <c:pt idx="3">
                  <c:v>15130.572430999997</c:v>
                </c:pt>
                <c:pt idx="4">
                  <c:v>51775.557473000008</c:v>
                </c:pt>
                <c:pt idx="5">
                  <c:v>1029.6363839999999</c:v>
                </c:pt>
                <c:pt idx="6">
                  <c:v>33845.632783000001</c:v>
                </c:pt>
                <c:pt idx="7">
                  <c:v>63227.476810999986</c:v>
                </c:pt>
                <c:pt idx="8">
                  <c:v>80485.993522649995</c:v>
                </c:pt>
                <c:pt idx="9">
                  <c:v>26114.187765650004</c:v>
                </c:pt>
                <c:pt idx="10">
                  <c:v>196768.93775748994</c:v>
                </c:pt>
                <c:pt idx="11">
                  <c:v>6356.7215939999969</c:v>
                </c:pt>
                <c:pt idx="12">
                  <c:v>157792.98564849503</c:v>
                </c:pt>
                <c:pt idx="13">
                  <c:v>190344.12731599994</c:v>
                </c:pt>
                <c:pt idx="14">
                  <c:v>66551.000106699983</c:v>
                </c:pt>
                <c:pt idx="15">
                  <c:v>75578.095842032024</c:v>
                </c:pt>
                <c:pt idx="16">
                  <c:v>18942.278613873998</c:v>
                </c:pt>
                <c:pt idx="17">
                  <c:v>71592.042119259975</c:v>
                </c:pt>
                <c:pt idx="18">
                  <c:v>70820.717652510022</c:v>
                </c:pt>
                <c:pt idx="19">
                  <c:v>137622.22820749108</c:v>
                </c:pt>
                <c:pt idx="20">
                  <c:v>37331.275295342013</c:v>
                </c:pt>
                <c:pt idx="21">
                  <c:v>44289.539055539979</c:v>
                </c:pt>
                <c:pt idx="22">
                  <c:v>6659.302429028</c:v>
                </c:pt>
                <c:pt idx="23">
                  <c:v>21656.015923119987</c:v>
                </c:pt>
                <c:pt idx="24">
                  <c:v>2334.8425224299995</c:v>
                </c:pt>
                <c:pt idx="25">
                  <c:v>10705.035806099999</c:v>
                </c:pt>
                <c:pt idx="26">
                  <c:v>8559.9077203020006</c:v>
                </c:pt>
                <c:pt idx="27">
                  <c:v>14639.44903005</c:v>
                </c:pt>
                <c:pt idx="28">
                  <c:v>11464.394589200005</c:v>
                </c:pt>
                <c:pt idx="29">
                  <c:v>5865.7223756300009</c:v>
                </c:pt>
                <c:pt idx="30">
                  <c:v>143463.65901065007</c:v>
                </c:pt>
                <c:pt idx="31">
                  <c:v>11144.361522000003</c:v>
                </c:pt>
              </c:numCache>
            </c:numRef>
          </c:yVal>
          <c:smooth val="0"/>
          <c:extLst>
            <c:ext xmlns:c16="http://schemas.microsoft.com/office/drawing/2014/chart" uri="{C3380CC4-5D6E-409C-BE32-E72D297353CC}">
              <c16:uniqueId val="{00000003-6264-4E0F-AB07-B4B51FB46E7A}"/>
            </c:ext>
          </c:extLst>
        </c:ser>
        <c:ser>
          <c:idx val="7"/>
          <c:order val="6"/>
          <c:tx>
            <c:strRef>
              <c:f>'Grunts Complex'!$AM$96</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'Grunts Complex'!$AG$97:$AG$128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'Grunts Complex'!$AM$97:$AM$128</c:f>
              <c:numCache>
                <c:formatCode>#,##0</c:formatCode>
                <c:ptCount val="32"/>
                <c:pt idx="0">
                  <c:v>14599.473987238343</c:v>
                </c:pt>
                <c:pt idx="1">
                  <c:v>12118.053479800001</c:v>
                </c:pt>
                <c:pt idx="3">
                  <c:v>9399.5231543693262</c:v>
                </c:pt>
                <c:pt idx="4">
                  <c:v>17204.028135136788</c:v>
                </c:pt>
                <c:pt idx="5">
                  <c:v>1029.6363839999999</c:v>
                </c:pt>
                <c:pt idx="7">
                  <c:v>47301.193187835626</c:v>
                </c:pt>
                <c:pt idx="8">
                  <c:v>89712.972382851483</c:v>
                </c:pt>
                <c:pt idx="9">
                  <c:v>24650.174835935457</c:v>
                </c:pt>
                <c:pt idx="10">
                  <c:v>110444.66615532582</c:v>
                </c:pt>
                <c:pt idx="11">
                  <c:v>6356.7215939999969</c:v>
                </c:pt>
                <c:pt idx="12">
                  <c:v>111459.57918075414</c:v>
                </c:pt>
                <c:pt idx="13">
                  <c:v>192156.91005461544</c:v>
                </c:pt>
                <c:pt idx="14">
                  <c:v>73221.052452465941</c:v>
                </c:pt>
                <c:pt idx="15">
                  <c:v>73359.429102151669</c:v>
                </c:pt>
                <c:pt idx="16">
                  <c:v>18280.689902496219</c:v>
                </c:pt>
                <c:pt idx="17">
                  <c:v>41188.493632454905</c:v>
                </c:pt>
                <c:pt idx="18">
                  <c:v>43978.578901949688</c:v>
                </c:pt>
                <c:pt idx="19">
                  <c:v>93104.385136498575</c:v>
                </c:pt>
                <c:pt idx="20">
                  <c:v>37321.590778988226</c:v>
                </c:pt>
                <c:pt idx="21">
                  <c:v>40961.212691791618</c:v>
                </c:pt>
                <c:pt idx="22">
                  <c:v>4672.3309230585937</c:v>
                </c:pt>
                <c:pt idx="23">
                  <c:v>13833.207736155578</c:v>
                </c:pt>
                <c:pt idx="24">
                  <c:v>2369.2515520093766</c:v>
                </c:pt>
                <c:pt idx="25">
                  <c:v>9342.4256506690781</c:v>
                </c:pt>
                <c:pt idx="26">
                  <c:v>9778.6285824258703</c:v>
                </c:pt>
                <c:pt idx="27">
                  <c:v>15404.059728468179</c:v>
                </c:pt>
                <c:pt idx="28">
                  <c:v>12299.517531672449</c:v>
                </c:pt>
                <c:pt idx="29">
                  <c:v>9147.0715680027752</c:v>
                </c:pt>
                <c:pt idx="30">
                  <c:v>255602.57406295923</c:v>
                </c:pt>
                <c:pt idx="31">
                  <c:v>17459.151989419315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B317-4829-8B27-17D9E8CC5045}"/>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0"/>
                <c:order val="0"/>
                <c:tx>
                  <c:strRef>
                    <c:extLst>
                      <c:ext uri="{02D57815-91ED-43cb-92C2-25804820EDAC}">
                        <c15:formulaRef>
                          <c15:sqref>'Grunts Complex'!$E$3</c15:sqref>
                        </c15:formulaRef>
                      </c:ext>
                    </c:extLst>
                    <c:strCache>
                      <c:ptCount val="1"/>
                      <c:pt idx="0">
                        <c:v>Total New Wgt</c:v>
                      </c:pt>
                    </c:strCache>
                  </c:strRef>
                </c:tx>
                <c:xVal>
                  <c:numRef>
                    <c:extLst>
                      <c:ext uri="{02D57815-91ED-43cb-92C2-25804820EDAC}">
                        <c15:formulaRef>
                          <c15:sqref>'Grunts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Complex'!$E$4:$E$35</c15:sqref>
                        </c15:formulaRef>
                      </c:ext>
                    </c:extLst>
                    <c:numCache>
                      <c:formatCode>#,##0</c:formatCode>
                      <c:ptCount val="32"/>
                      <c:pt idx="0">
                        <c:v>14760.929453409999</c:v>
                      </c:pt>
                      <c:pt idx="1">
                        <c:v>12118.053479800001</c:v>
                      </c:pt>
                      <c:pt idx="2">
                        <c:v>360842.33988430002</c:v>
                      </c:pt>
                      <c:pt idx="3">
                        <c:v>15130.572430999997</c:v>
                      </c:pt>
                      <c:pt idx="4">
                        <c:v>51775.557473000001</c:v>
                      </c:pt>
                      <c:pt idx="5">
                        <c:v>1029.6363839999999</c:v>
                      </c:pt>
                      <c:pt idx="6">
                        <c:v>36763.632783000001</c:v>
                      </c:pt>
                      <c:pt idx="7">
                        <c:v>68569.476811</c:v>
                      </c:pt>
                      <c:pt idx="8">
                        <c:v>102185.66791189002</c:v>
                      </c:pt>
                      <c:pt idx="9">
                        <c:v>51775.491047214004</c:v>
                      </c:pt>
                      <c:pt idx="10">
                        <c:v>124442.83245289</c:v>
                      </c:pt>
                      <c:pt idx="11">
                        <c:v>15929.721593999997</c:v>
                      </c:pt>
                      <c:pt idx="12">
                        <c:v>122469.89311782489</c:v>
                      </c:pt>
                      <c:pt idx="13">
                        <c:v>212820.83349909997</c:v>
                      </c:pt>
                      <c:pt idx="14">
                        <c:v>136105.82489329998</c:v>
                      </c:pt>
                      <c:pt idx="15">
                        <c:v>109423.604436842</c:v>
                      </c:pt>
                      <c:pt idx="16">
                        <c:v>24238.773943234002</c:v>
                      </c:pt>
                      <c:pt idx="17">
                        <c:v>82124.128645399003</c:v>
                      </c:pt>
                      <c:pt idx="18">
                        <c:v>43124.182094418007</c:v>
                      </c:pt>
                      <c:pt idx="19">
                        <c:v>86343.344138681001</c:v>
                      </c:pt>
                      <c:pt idx="20">
                        <c:v>39004.306898761999</c:v>
                      </c:pt>
                      <c:pt idx="21">
                        <c:v>47626.075747769995</c:v>
                      </c:pt>
                      <c:pt idx="22">
                        <c:v>9633.3024290280009</c:v>
                      </c:pt>
                      <c:pt idx="23">
                        <c:v>18124.342733819998</c:v>
                      </c:pt>
                      <c:pt idx="24">
                        <c:v>5690.8425224299999</c:v>
                      </c:pt>
                      <c:pt idx="25">
                        <c:v>14410.035806099999</c:v>
                      </c:pt>
                      <c:pt idx="26">
                        <c:v>13439.907720302001</c:v>
                      </c:pt>
                      <c:pt idx="27">
                        <c:v>18464.44903005</c:v>
                      </c:pt>
                      <c:pt idx="28">
                        <c:v>11503.394589200003</c:v>
                      </c:pt>
                      <c:pt idx="29">
                        <c:v>5904.72237563</c:v>
                      </c:pt>
                      <c:pt idx="30">
                        <c:v>143517.65901065001</c:v>
                      </c:pt>
                      <c:pt idx="31">
                        <c:v>11302.361522000001</c:v>
                      </c:pt>
                    </c:numCache>
                  </c:numRef>
                </c:yVal>
                <c:smooth val="0"/>
                <c:extLst>
                  <c:ext xmlns:c16="http://schemas.microsoft.com/office/drawing/2014/chart" uri="{C3380CC4-5D6E-409C-BE32-E72D297353CC}">
                    <c16:uniqueId val="{00000000-6264-4E0F-AB07-B4B51FB46E7A}"/>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'Grunts Complex'!$M$3</c15:sqref>
                        </c15:formulaRef>
                      </c:ext>
                    </c:extLst>
                    <c:strCache>
                      <c:ptCount val="1"/>
                      <c:pt idx="0">
                        <c:v>Total Orig FES</c:v>
                      </c:pt>
                    </c:strCache>
                  </c:strRef>
                </c:tx>
                <c:spPr>
                  <a:ln>
                    <a:solidFill>
                      <a:schemeClr val="accent2"/>
                    </a:solidFill>
                  </a:ln>
                </c:spPr>
                <c:marker>
                  <c:symbol val="x"/>
                  <c:size val="7"/>
                  <c:spPr>
                    <a:noFill/>
                    <a:ln>
                      <a:solidFill>
                        <a:schemeClr val="accent2"/>
                      </a:solidFill>
                    </a:ln>
                  </c:spPr>
                </c:marker>
                <c:xVal>
                  <c:numRef>
                    <c:extLst xmlns:c15="http://schemas.microsoft.com/office/drawing/2012/chart">
                      <c:ext xmlns:c15="http://schemas.microsoft.com/office/drawing/2012/chart" uri="{02D57815-91ED-43cb-92C2-25804820EDAC}">
                        <c15:formulaRef>
                          <c15:sqref>'Grunts Complex'!$I$4:$I$35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Complex'!$M$4:$M$35</c15:sqref>
                        </c15:formulaRef>
                      </c:ext>
                    </c:extLst>
                    <c:numCache>
                      <c:formatCode>#,##0</c:formatCode>
                      <c:ptCount val="32"/>
                      <c:pt idx="0">
                        <c:v>14760.929453409997</c:v>
                      </c:pt>
                      <c:pt idx="1">
                        <c:v>12118.053479800001</c:v>
                      </c:pt>
                      <c:pt idx="2">
                        <c:v>360842.33988430002</c:v>
                      </c:pt>
                      <c:pt idx="3">
                        <c:v>15130.572430999997</c:v>
                      </c:pt>
                      <c:pt idx="4">
                        <c:v>51775.557473000008</c:v>
                      </c:pt>
                      <c:pt idx="5">
                        <c:v>1029.6363839999999</c:v>
                      </c:pt>
                      <c:pt idx="6">
                        <c:v>36763.632783000001</c:v>
                      </c:pt>
                      <c:pt idx="7">
                        <c:v>68569.476810999986</c:v>
                      </c:pt>
                      <c:pt idx="8">
                        <c:v>101743.99352264999</c:v>
                      </c:pt>
                      <c:pt idx="9">
                        <c:v>53264.18776565</c:v>
                      </c:pt>
                      <c:pt idx="10">
                        <c:v>215563.93775748994</c:v>
                      </c:pt>
                      <c:pt idx="11">
                        <c:v>15929.721593999997</c:v>
                      </c:pt>
                      <c:pt idx="12">
                        <c:v>162134.98564849503</c:v>
                      </c:pt>
                      <c:pt idx="13">
                        <c:v>193439.12731599994</c:v>
                      </c:pt>
                      <c:pt idx="14">
                        <c:v>69755.000106699983</c:v>
                      </c:pt>
                      <c:pt idx="15">
                        <c:v>79593.095842032024</c:v>
                      </c:pt>
                      <c:pt idx="16">
                        <c:v>21661.278613873998</c:v>
                      </c:pt>
                      <c:pt idx="17">
                        <c:v>74693.042119259975</c:v>
                      </c:pt>
                      <c:pt idx="18">
                        <c:v>73884.717652510022</c:v>
                      </c:pt>
                      <c:pt idx="19">
                        <c:v>140145.22820749108</c:v>
                      </c:pt>
                      <c:pt idx="20">
                        <c:v>41333.275295342013</c:v>
                      </c:pt>
                      <c:pt idx="21">
                        <c:v>47943.539055539979</c:v>
                      </c:pt>
                      <c:pt idx="22">
                        <c:v>9633.3024290280009</c:v>
                      </c:pt>
                      <c:pt idx="23">
                        <c:v>25468.015923119987</c:v>
                      </c:pt>
                      <c:pt idx="24">
                        <c:v>5690.842522429999</c:v>
                      </c:pt>
                      <c:pt idx="25">
                        <c:v>14410.035806099999</c:v>
                      </c:pt>
                      <c:pt idx="26">
                        <c:v>13439.907720302001</c:v>
                      </c:pt>
                      <c:pt idx="27">
                        <c:v>18464.44903005</c:v>
                      </c:pt>
                      <c:pt idx="28">
                        <c:v>11503.394589200005</c:v>
                      </c:pt>
                      <c:pt idx="29">
                        <c:v>5904.7223756300009</c:v>
                      </c:pt>
                      <c:pt idx="30">
                        <c:v>143517.65901065007</c:v>
                      </c:pt>
                      <c:pt idx="31">
                        <c:v>11302.361522000003</c:v>
                      </c:pt>
                    </c:numCache>
                  </c:numRef>
                </c:yVal>
                <c:smooth val="0"/>
                <c:extLst xmlns:c15="http://schemas.microsoft.com/office/drawing/2012/chart">
                  <c:ext xmlns:c16="http://schemas.microsoft.com/office/drawing/2014/chart" uri="{C3380CC4-5D6E-409C-BE32-E72D297353CC}">
                    <c16:uniqueId val="{00000002-6264-4E0F-AB07-B4B51FB46E7A}"/>
                  </c:ext>
                </c:extLst>
              </c15:ser>
            </c15:filteredScatterSeries>
            <c15:filteredScatterSeries>
              <c15:ser>
                <c:idx val="1"/>
                <c:order val="4"/>
                <c:tx>
                  <c:strRef>
                    <c:extLst xmlns:c15="http://schemas.microsoft.com/office/drawing/2012/chart">
                      <c:ext xmlns:c15="http://schemas.microsoft.com/office/drawing/2012/chart" uri="{02D57815-91ED-43cb-92C2-25804820EDAC}">
                        <c15:formulaRef>
                          <c15:sqref>'Grunts Complex'!$E$41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'Grunts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'Grunts Complex'!$E$42:$E$47</c15:sqref>
                        </c15:formulaRef>
                      </c:ext>
                    </c:extLst>
                    <c:numCache>
                      <c:formatCode>#,##0</c:formatCode>
                      <c:ptCount val="6"/>
                      <c:pt idx="0">
                        <c:v>109423.604436842</c:v>
                      </c:pt>
                      <c:pt idx="1">
                        <c:v>109423.604436842</c:v>
                      </c:pt>
                      <c:pt idx="2">
                        <c:v>109423.604436842</c:v>
                      </c:pt>
                      <c:pt idx="3">
                        <c:v>255385.00019892</c:v>
                      </c:pt>
                      <c:pt idx="4">
                        <c:v>255385.00019892</c:v>
                      </c:pt>
                      <c:pt idx="5">
                        <c:v>255385.00019892</c:v>
                      </c:pt>
                    </c:numCache>
                  </c:numRef>
                </c:yVal>
                <c:smooth val="0"/>
                <c:extLst xmlns:c15="http://schemas.microsoft.com/office/drawing/2012/chart">
                  <c:ext xmlns:c16="http://schemas.microsoft.com/office/drawing/2014/chart" uri="{C3380CC4-5D6E-409C-BE32-E72D297353CC}">
                    <c16:uniqueId val="{00000004-6264-4E0F-AB07-B4B51FB46E7A}"/>
                  </c:ext>
                </c:extLst>
              </c15:ser>
            </c15:filteredScatterSeries>
            <c15:filteredScatterSeries>
              <c15:ser>
                <c:idx val="5"/>
                <c:order val="5"/>
                <c:tx>
                  <c:strRef>
                    <c:extLst xmlns:c15="http://schemas.microsoft.com/office/drawing/2012/chart">
                      <c:ext xmlns:c15="http://schemas.microsoft.com/office/drawing/2012/chart" uri="{02D57815-91ED-43cb-92C2-25804820EDAC}">
                        <c15:formulaRef>
                          <c15:sqref>'Grunts Complex'!$M$41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'Grunts Complex'!$I$42:$I$47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'Grunts Complex'!$M$42:$M$47</c15:sqref>
                        </c15:formulaRef>
                      </c:ext>
                    </c:extLst>
                    <c:numCache>
                      <c:formatCode>#,##0</c:formatCode>
                      <c:ptCount val="6"/>
                      <c:pt idx="0">
                        <c:v>79593.095842032024</c:v>
                      </c:pt>
                      <c:pt idx="1">
                        <c:v>79593.095842032024</c:v>
                      </c:pt>
                      <c:pt idx="2">
                        <c:v>79593.095842032024</c:v>
                      </c:pt>
                      <c:pt idx="3">
                        <c:v>232126.95277919993</c:v>
                      </c:pt>
                      <c:pt idx="4">
                        <c:v>232126.95277919993</c:v>
                      </c:pt>
                      <c:pt idx="5">
                        <c:v>232126.95277919993</c:v>
                      </c:pt>
                    </c:numCache>
                  </c:numRef>
                </c:yVal>
                <c:smooth val="0"/>
                <c:extLst xmlns:c15="http://schemas.microsoft.com/office/drawing/2012/chart">
                  <c:ext xmlns:c16="http://schemas.microsoft.com/office/drawing/2014/chart" uri="{C3380CC4-5D6E-409C-BE32-E72D297353CC}">
                    <c16:uniqueId val="{00000005-6264-4E0F-AB07-B4B51FB46E7A}"/>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0"/>
          <c:order val="0"/>
          <c:tx>
            <c:strRef>
              <c:f>'Grunts Complex'!$B$3</c:f>
              <c:strCache>
                <c:ptCount val="1"/>
                <c:pt idx="0">
                  <c:v>Total New Wgt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683748.5893929</c:v>
                </c:pt>
                <c:pt idx="1">
                  <c:v>935838.52715354599</c:v>
                </c:pt>
                <c:pt idx="2">
                  <c:v>831784.04769530101</c:v>
                </c:pt>
                <c:pt idx="3">
                  <c:v>892750.34765706793</c:v>
                </c:pt>
                <c:pt idx="4">
                  <c:v>2043327.7761729783</c:v>
                </c:pt>
                <c:pt idx="5">
                  <c:v>1453981.955765221</c:v>
                </c:pt>
                <c:pt idx="6">
                  <c:v>1547530.92440387</c:v>
                </c:pt>
                <c:pt idx="7">
                  <c:v>1180475.8228959099</c:v>
                </c:pt>
                <c:pt idx="8">
                  <c:v>1317425.2407230178</c:v>
                </c:pt>
                <c:pt idx="9">
                  <c:v>790159.47074252204</c:v>
                </c:pt>
                <c:pt idx="10">
                  <c:v>873689.0523910278</c:v>
                </c:pt>
                <c:pt idx="11">
                  <c:v>786272.99264079495</c:v>
                </c:pt>
                <c:pt idx="12">
                  <c:v>990888.47486432991</c:v>
                </c:pt>
                <c:pt idx="13">
                  <c:v>710735.02721870795</c:v>
                </c:pt>
                <c:pt idx="14">
                  <c:v>616970.20025187102</c:v>
                </c:pt>
                <c:pt idx="15">
                  <c:v>863615.15818114707</c:v>
                </c:pt>
                <c:pt idx="16">
                  <c:v>1066139.154769137</c:v>
                </c:pt>
                <c:pt idx="17">
                  <c:v>810404.03950595902</c:v>
                </c:pt>
                <c:pt idx="18">
                  <c:v>807790.95501876017</c:v>
                </c:pt>
                <c:pt idx="19">
                  <c:v>789034.35585041216</c:v>
                </c:pt>
                <c:pt idx="20">
                  <c:v>765914.29956373479</c:v>
                </c:pt>
                <c:pt idx="21">
                  <c:v>885481.29887715215</c:v>
                </c:pt>
                <c:pt idx="22">
                  <c:v>904635.70751129801</c:v>
                </c:pt>
                <c:pt idx="23">
                  <c:v>648575.84281125292</c:v>
                </c:pt>
                <c:pt idx="24">
                  <c:v>378395.39441691863</c:v>
                </c:pt>
                <c:pt idx="25">
                  <c:v>441270.22564241703</c:v>
                </c:pt>
                <c:pt idx="26">
                  <c:v>640075.59454564808</c:v>
                </c:pt>
                <c:pt idx="27">
                  <c:v>714731.75663244457</c:v>
                </c:pt>
                <c:pt idx="28">
                  <c:v>612053.69475160819</c:v>
                </c:pt>
                <c:pt idx="29">
                  <c:v>640616.49876443413</c:v>
                </c:pt>
                <c:pt idx="30">
                  <c:v>661249.52624758496</c:v>
                </c:pt>
                <c:pt idx="31">
                  <c:v>541733.01031967392</c:v>
                </c:pt>
              </c:numCache>
            </c:numRef>
          </c:yVal>
          <c:smooth val="0"/>
          <c:extLst>
            <c:ext xmlns:c16="http://schemas.microsoft.com/office/drawing/2014/chart" uri="{C3380CC4-5D6E-409C-BE32-E72D297353CC}">
              <c16:uniqueId val="{00000000-5765-4D3A-8FDC-6899404C7A00}"/>
            </c:ext>
          </c:extLst>
        </c:ser>
        <c:ser>
          <c:idx val="2"/>
          <c:order val="2"/>
          <c:tx>
            <c:strRef>
              <c:f>'Grunts Complex'!$J$3</c:f>
              <c:strCache>
                <c:ptCount val="1"/>
                <c:pt idx="0">
                  <c:v>Total Orig FES</c:v>
                </c:pt>
              </c:strCache>
            </c:strRef>
          </c:tx>
          <c:spPr>
            <a:ln>
              <a:solidFill>
                <a:schemeClr val="accent2"/>
              </a:solidFill>
            </a:ln>
          </c:spPr>
          <c:marker>
            <c:symbol val="x"/>
            <c:size val="7"/>
            <c:spPr>
              <a:noFill/>
              <a:ln>
                <a:solidFill>
                  <a:schemeClr val="accent2"/>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Complex'!$J$4:$J$35</c:f>
              <c:numCache>
                <c:formatCode>#,##0</c:formatCode>
                <c:ptCount val="32"/>
                <c:pt idx="0">
                  <c:v>683748.58939290012</c:v>
                </c:pt>
                <c:pt idx="1">
                  <c:v>941354.81109314587</c:v>
                </c:pt>
                <c:pt idx="2">
                  <c:v>825960.26080615108</c:v>
                </c:pt>
                <c:pt idx="3">
                  <c:v>885871.04906831845</c:v>
                </c:pt>
                <c:pt idx="4">
                  <c:v>1942939.1665226792</c:v>
                </c:pt>
                <c:pt idx="5">
                  <c:v>1425923.1356100016</c:v>
                </c:pt>
                <c:pt idx="6">
                  <c:v>1576845.5874956707</c:v>
                </c:pt>
                <c:pt idx="7">
                  <c:v>1173428.5318365097</c:v>
                </c:pt>
                <c:pt idx="8">
                  <c:v>1302437.0025709178</c:v>
                </c:pt>
                <c:pt idx="9">
                  <c:v>801237.00871931179</c:v>
                </c:pt>
                <c:pt idx="10">
                  <c:v>922103.13724647823</c:v>
                </c:pt>
                <c:pt idx="11">
                  <c:v>789605.374243445</c:v>
                </c:pt>
                <c:pt idx="12">
                  <c:v>1087689.0311079598</c:v>
                </c:pt>
                <c:pt idx="13">
                  <c:v>690371.69920340041</c:v>
                </c:pt>
                <c:pt idx="14">
                  <c:v>717047.67655487102</c:v>
                </c:pt>
                <c:pt idx="15">
                  <c:v>862947.93659533688</c:v>
                </c:pt>
                <c:pt idx="16">
                  <c:v>1086739.6873818471</c:v>
                </c:pt>
                <c:pt idx="17">
                  <c:v>853996.48984417983</c:v>
                </c:pt>
                <c:pt idx="18">
                  <c:v>827634.46615152515</c:v>
                </c:pt>
                <c:pt idx="19">
                  <c:v>788947.14301624813</c:v>
                </c:pt>
                <c:pt idx="20">
                  <c:v>758150.78895002487</c:v>
                </c:pt>
                <c:pt idx="21">
                  <c:v>873249.48688591376</c:v>
                </c:pt>
                <c:pt idx="22">
                  <c:v>909717.26299628883</c:v>
                </c:pt>
                <c:pt idx="23">
                  <c:v>672036.30301926518</c:v>
                </c:pt>
                <c:pt idx="24">
                  <c:v>378281.25209109049</c:v>
                </c:pt>
                <c:pt idx="25">
                  <c:v>421682.16297870973</c:v>
                </c:pt>
                <c:pt idx="26">
                  <c:v>636884.92458551691</c:v>
                </c:pt>
                <c:pt idx="27">
                  <c:v>716329.87163842458</c:v>
                </c:pt>
                <c:pt idx="28">
                  <c:v>609076.53666540771</c:v>
                </c:pt>
                <c:pt idx="29">
                  <c:v>653260.66549771279</c:v>
                </c:pt>
                <c:pt idx="30">
                  <c:v>664213.84892894491</c:v>
                </c:pt>
                <c:pt idx="31">
                  <c:v>470117.36109656288</c:v>
                </c:pt>
              </c:numCache>
            </c:numRef>
          </c:yVal>
          <c:smooth val="0"/>
          <c:extLst>
            <c:ext xmlns:c16="http://schemas.microsoft.com/office/drawing/2014/chart" uri="{C3380CC4-5D6E-409C-BE32-E72D297353CC}">
              <c16:uniqueId val="{00000002-5765-4D3A-8FDC-6899404C7A00}"/>
            </c:ext>
          </c:extLst>
        </c:ser>
        <c:ser>
          <c:idx val="1"/>
          <c:order val="4"/>
          <c:tx>
            <c:strRef>
              <c:f>'Grunts Complex'!$B$41</c:f>
              <c:strCache>
                <c:ptCount val="1"/>
                <c:pt idx="0">
                  <c:v>New Wgt ABC/ACL</c:v>
                </c:pt>
              </c:strCache>
            </c:strRef>
          </c:tx>
          <c:spPr>
            <a:ln w="38100">
              <a:solidFill>
                <a:schemeClr val="tx1"/>
              </a:solidFill>
            </a:ln>
          </c:spPr>
          <c:marker>
            <c:symbol val="none"/>
          </c:marker>
          <c:xVal>
            <c:numRef>
              <c:f>'Grunts Complex'!$A$42:$A$47</c:f>
              <c:numCache>
                <c:formatCode>General</c:formatCode>
                <c:ptCount val="6"/>
                <c:pt idx="0">
                  <c:v>2012</c:v>
                </c:pt>
                <c:pt idx="1">
                  <c:v>2013</c:v>
                </c:pt>
                <c:pt idx="2">
                  <c:v>2014</c:v>
                </c:pt>
                <c:pt idx="3">
                  <c:v>2015</c:v>
                </c:pt>
                <c:pt idx="4">
                  <c:v>2016</c:v>
                </c:pt>
                <c:pt idx="5">
                  <c:v>2017</c:v>
                </c:pt>
              </c:numCache>
            </c:numRef>
          </c:xVal>
          <c:yVal>
            <c:numRef>
              <c:f>'Grunts Complex'!$B$42:$B$47</c:f>
              <c:numCache>
                <c:formatCode>#,##0</c:formatCode>
                <c:ptCount val="6"/>
                <c:pt idx="0">
                  <c:v>863615.15818114707</c:v>
                </c:pt>
                <c:pt idx="1">
                  <c:v>863615.15818114707</c:v>
                </c:pt>
                <c:pt idx="2">
                  <c:v>863615.15818114707</c:v>
                </c:pt>
                <c:pt idx="3">
                  <c:v>932871.76042299496</c:v>
                </c:pt>
                <c:pt idx="4">
                  <c:v>932871.76042299496</c:v>
                </c:pt>
                <c:pt idx="5">
                  <c:v>932871.76042299496</c:v>
                </c:pt>
              </c:numCache>
            </c:numRef>
          </c:yVal>
          <c:smooth val="0"/>
          <c:extLst>
            <c:ext xmlns:c16="http://schemas.microsoft.com/office/drawing/2014/chart" uri="{C3380CC4-5D6E-409C-BE32-E72D297353CC}">
              <c16:uniqueId val="{00000004-5765-4D3A-8FDC-6899404C7A00}"/>
            </c:ext>
          </c:extLst>
        </c:ser>
        <c:ser>
          <c:idx val="5"/>
          <c:order val="5"/>
          <c:tx>
            <c:strRef>
              <c:f>'Grunts Complex'!$J$41</c:f>
              <c:strCache>
                <c:ptCount val="1"/>
                <c:pt idx="0">
                  <c:v>Orig FES ABC/ACL</c:v>
                </c:pt>
              </c:strCache>
            </c:strRef>
          </c:tx>
          <c:spPr>
            <a:ln>
              <a:solidFill>
                <a:srgbClr val="7030A0"/>
              </a:solidFill>
            </a:ln>
          </c:spPr>
          <c:marker>
            <c:symbol val="none"/>
          </c:marker>
          <c:xVal>
            <c:numRef>
              <c:f>'Grunts Complex'!$I$42:$I$47</c:f>
              <c:numCache>
                <c:formatCode>General</c:formatCode>
                <c:ptCount val="6"/>
                <c:pt idx="0">
                  <c:v>2012</c:v>
                </c:pt>
                <c:pt idx="1">
                  <c:v>2013</c:v>
                </c:pt>
                <c:pt idx="2">
                  <c:v>2014</c:v>
                </c:pt>
                <c:pt idx="3">
                  <c:v>2015</c:v>
                </c:pt>
                <c:pt idx="4">
                  <c:v>2016</c:v>
                </c:pt>
                <c:pt idx="5">
                  <c:v>2017</c:v>
                </c:pt>
              </c:numCache>
            </c:numRef>
          </c:xVal>
          <c:yVal>
            <c:numRef>
              <c:f>'Grunts Complex'!$J$42:$J$47</c:f>
              <c:numCache>
                <c:formatCode>#,##0</c:formatCode>
                <c:ptCount val="6"/>
                <c:pt idx="0">
                  <c:v>862947.93659533688</c:v>
                </c:pt>
                <c:pt idx="1">
                  <c:v>862947.93659533688</c:v>
                </c:pt>
                <c:pt idx="2">
                  <c:v>862947.93659533688</c:v>
                </c:pt>
                <c:pt idx="3">
                  <c:v>950897.22645911609</c:v>
                </c:pt>
                <c:pt idx="4">
                  <c:v>950897.22645911609</c:v>
                </c:pt>
                <c:pt idx="5">
                  <c:v>950897.22645911609</c:v>
                </c:pt>
              </c:numCache>
            </c:numRef>
          </c:yVal>
          <c:smooth val="0"/>
          <c:extLst>
            <c:ext xmlns:c16="http://schemas.microsoft.com/office/drawing/2014/chart" uri="{C3380CC4-5D6E-409C-BE32-E72D297353CC}">
              <c16:uniqueId val="{00000005-5765-4D3A-8FDC-6899404C7A00}"/>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Complex'!$Z$3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Complex'!$Z$4:$Z$35</c15:sqref>
                        </c15:formulaRef>
                      </c:ext>
                    </c:extLst>
                    <c:numCache>
                      <c:formatCode>#,##0</c:formatCode>
                      <c:ptCount val="32"/>
                      <c:pt idx="0">
                        <c:v>453706.58939290006</c:v>
                      </c:pt>
                      <c:pt idx="1">
                        <c:v>569224.52715354599</c:v>
                      </c:pt>
                      <c:pt idx="2">
                        <c:v>475320.04769530101</c:v>
                      </c:pt>
                      <c:pt idx="3">
                        <c:v>532344.34765706793</c:v>
                      </c:pt>
                      <c:pt idx="4">
                        <c:v>1601456.7761729783</c:v>
                      </c:pt>
                      <c:pt idx="5">
                        <c:v>1067318.955765221</c:v>
                      </c:pt>
                      <c:pt idx="6">
                        <c:v>1287756.92440387</c:v>
                      </c:pt>
                      <c:pt idx="7">
                        <c:v>931311.82289590989</c:v>
                      </c:pt>
                      <c:pt idx="8">
                        <c:v>1009949.2407230178</c:v>
                      </c:pt>
                      <c:pt idx="9">
                        <c:v>477651.47074252198</c:v>
                      </c:pt>
                      <c:pt idx="10">
                        <c:v>606105.0523910278</c:v>
                      </c:pt>
                      <c:pt idx="11">
                        <c:v>403943.99264079495</c:v>
                      </c:pt>
                      <c:pt idx="12">
                        <c:v>715613.47486432991</c:v>
                      </c:pt>
                      <c:pt idx="13">
                        <c:v>440633.02721870795</c:v>
                      </c:pt>
                      <c:pt idx="14">
                        <c:v>367637.20025187102</c:v>
                      </c:pt>
                      <c:pt idx="15">
                        <c:v>617303.15818114707</c:v>
                      </c:pt>
                      <c:pt idx="16">
                        <c:v>818322.15476913704</c:v>
                      </c:pt>
                      <c:pt idx="17">
                        <c:v>631692.03950595902</c:v>
                      </c:pt>
                      <c:pt idx="18">
                        <c:v>620141.95501876017</c:v>
                      </c:pt>
                      <c:pt idx="19">
                        <c:v>611025.35585041216</c:v>
                      </c:pt>
                      <c:pt idx="20">
                        <c:v>553514.29956373479</c:v>
                      </c:pt>
                      <c:pt idx="21">
                        <c:v>676905.29887715215</c:v>
                      </c:pt>
                      <c:pt idx="22">
                        <c:v>715996.70751129801</c:v>
                      </c:pt>
                      <c:pt idx="23">
                        <c:v>505405.84281125292</c:v>
                      </c:pt>
                      <c:pt idx="24">
                        <c:v>269132.39441691863</c:v>
                      </c:pt>
                      <c:pt idx="25">
                        <c:v>351421.22564241703</c:v>
                      </c:pt>
                      <c:pt idx="26">
                        <c:v>538547.59454564808</c:v>
                      </c:pt>
                      <c:pt idx="27">
                        <c:v>613105.75663244457</c:v>
                      </c:pt>
                      <c:pt idx="28">
                        <c:v>502447.69475160819</c:v>
                      </c:pt>
                      <c:pt idx="29">
                        <c:v>548839.49876443413</c:v>
                      </c:pt>
                      <c:pt idx="30">
                        <c:v>579094.52624758496</c:v>
                      </c:pt>
                      <c:pt idx="31">
                        <c:v>463704.01031967398</c:v>
                      </c:pt>
                    </c:numCache>
                  </c:numRef>
                </c:yVal>
                <c:smooth val="0"/>
                <c:extLst>
                  <c:ext xmlns:c16="http://schemas.microsoft.com/office/drawing/2014/chart" uri="{C3380CC4-5D6E-409C-BE32-E72D297353CC}">
                    <c16:uniqueId val="{00000001-5765-4D3A-8FDC-6899404C7A00}"/>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Complex'!$AG$3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Complex'!$AG$4:$AG$35</c15:sqref>
                        </c15:formulaRef>
                      </c:ext>
                    </c:extLst>
                    <c:numCache>
                      <c:formatCode>#,##0</c:formatCode>
                      <c:ptCount val="32"/>
                      <c:pt idx="0">
                        <c:v>453706.58939290012</c:v>
                      </c:pt>
                      <c:pt idx="1">
                        <c:v>574740.81109314587</c:v>
                      </c:pt>
                      <c:pt idx="2">
                        <c:v>469496.26080615108</c:v>
                      </c:pt>
                      <c:pt idx="3">
                        <c:v>525465.04906831845</c:v>
                      </c:pt>
                      <c:pt idx="4">
                        <c:v>1501068.1665226792</c:v>
                      </c:pt>
                      <c:pt idx="5">
                        <c:v>1039260.1356100017</c:v>
                      </c:pt>
                      <c:pt idx="6">
                        <c:v>1317071.5874956707</c:v>
                      </c:pt>
                      <c:pt idx="7">
                        <c:v>924264.53183650959</c:v>
                      </c:pt>
                      <c:pt idx="8">
                        <c:v>994961.00257091795</c:v>
                      </c:pt>
                      <c:pt idx="9">
                        <c:v>488729.00871931185</c:v>
                      </c:pt>
                      <c:pt idx="10">
                        <c:v>654519.13724647823</c:v>
                      </c:pt>
                      <c:pt idx="11">
                        <c:v>407276.374243445</c:v>
                      </c:pt>
                      <c:pt idx="12">
                        <c:v>812414.03110795992</c:v>
                      </c:pt>
                      <c:pt idx="13">
                        <c:v>420269.69920340035</c:v>
                      </c:pt>
                      <c:pt idx="14">
                        <c:v>467714.67655487108</c:v>
                      </c:pt>
                      <c:pt idx="15">
                        <c:v>616635.93659533688</c:v>
                      </c:pt>
                      <c:pt idx="16">
                        <c:v>838922.68738184706</c:v>
                      </c:pt>
                      <c:pt idx="17">
                        <c:v>675284.48984417983</c:v>
                      </c:pt>
                      <c:pt idx="18">
                        <c:v>639985.46615152515</c:v>
                      </c:pt>
                      <c:pt idx="19">
                        <c:v>610938.14301624813</c:v>
                      </c:pt>
                      <c:pt idx="20">
                        <c:v>545750.78895002487</c:v>
                      </c:pt>
                      <c:pt idx="21">
                        <c:v>664673.48688591376</c:v>
                      </c:pt>
                      <c:pt idx="22">
                        <c:v>721078.26299628883</c:v>
                      </c:pt>
                      <c:pt idx="23">
                        <c:v>528866.30301926518</c:v>
                      </c:pt>
                      <c:pt idx="24">
                        <c:v>269018.25209109049</c:v>
                      </c:pt>
                      <c:pt idx="25">
                        <c:v>331833.16297870973</c:v>
                      </c:pt>
                      <c:pt idx="26">
                        <c:v>535356.92458551691</c:v>
                      </c:pt>
                      <c:pt idx="27">
                        <c:v>614703.87163842458</c:v>
                      </c:pt>
                      <c:pt idx="28">
                        <c:v>499470.53666540771</c:v>
                      </c:pt>
                      <c:pt idx="29">
                        <c:v>561483.66549771279</c:v>
                      </c:pt>
                      <c:pt idx="30">
                        <c:v>582058.84892894491</c:v>
                      </c:pt>
                      <c:pt idx="31">
                        <c:v>392088.36109656288</c:v>
                      </c:pt>
                    </c:numCache>
                  </c:numRef>
                </c:yVal>
                <c:smooth val="0"/>
                <c:extLst xmlns:c15="http://schemas.microsoft.com/office/drawing/2012/chart">
                  <c:ext xmlns:c16="http://schemas.microsoft.com/office/drawing/2014/chart" uri="{C3380CC4-5D6E-409C-BE32-E72D297353CC}">
                    <c16:uniqueId val="{00000003-5765-4D3A-8FDC-6899404C7A00}"/>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20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0"/>
          <c:order val="0"/>
          <c:tx>
            <c:strRef>
              <c:f>'Grunts Complex'!$E$3</c:f>
              <c:strCache>
                <c:ptCount val="1"/>
                <c:pt idx="0">
                  <c:v>Total New Wgt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14760.929453409999</c:v>
                </c:pt>
                <c:pt idx="1">
                  <c:v>12118.053479800001</c:v>
                </c:pt>
                <c:pt idx="2">
                  <c:v>360842.33988430002</c:v>
                </c:pt>
                <c:pt idx="3">
                  <c:v>15130.572430999997</c:v>
                </c:pt>
                <c:pt idx="4">
                  <c:v>51775.557473000001</c:v>
                </c:pt>
                <c:pt idx="5">
                  <c:v>1029.6363839999999</c:v>
                </c:pt>
                <c:pt idx="6">
                  <c:v>36763.632783000001</c:v>
                </c:pt>
                <c:pt idx="7">
                  <c:v>68569.476811</c:v>
                </c:pt>
                <c:pt idx="8">
                  <c:v>102185.66791189002</c:v>
                </c:pt>
                <c:pt idx="9">
                  <c:v>51775.491047214004</c:v>
                </c:pt>
                <c:pt idx="10">
                  <c:v>124442.83245289</c:v>
                </c:pt>
                <c:pt idx="11">
                  <c:v>15929.721593999997</c:v>
                </c:pt>
                <c:pt idx="12">
                  <c:v>122469.89311782489</c:v>
                </c:pt>
                <c:pt idx="13">
                  <c:v>212820.83349909997</c:v>
                </c:pt>
                <c:pt idx="14">
                  <c:v>136105.82489329998</c:v>
                </c:pt>
                <c:pt idx="15">
                  <c:v>109423.604436842</c:v>
                </c:pt>
                <c:pt idx="16">
                  <c:v>24238.773943234002</c:v>
                </c:pt>
                <c:pt idx="17">
                  <c:v>82124.128645399003</c:v>
                </c:pt>
                <c:pt idx="18">
                  <c:v>43124.182094418007</c:v>
                </c:pt>
                <c:pt idx="19">
                  <c:v>86343.344138681001</c:v>
                </c:pt>
                <c:pt idx="20">
                  <c:v>39004.306898761999</c:v>
                </c:pt>
                <c:pt idx="21">
                  <c:v>47626.075747769995</c:v>
                </c:pt>
                <c:pt idx="22">
                  <c:v>9633.3024290280009</c:v>
                </c:pt>
                <c:pt idx="23">
                  <c:v>18124.342733819998</c:v>
                </c:pt>
                <c:pt idx="24">
                  <c:v>5690.8425224299999</c:v>
                </c:pt>
                <c:pt idx="25">
                  <c:v>14410.035806099999</c:v>
                </c:pt>
                <c:pt idx="26">
                  <c:v>13439.907720302001</c:v>
                </c:pt>
                <c:pt idx="27">
                  <c:v>18464.44903005</c:v>
                </c:pt>
                <c:pt idx="28">
                  <c:v>11503.394589200003</c:v>
                </c:pt>
                <c:pt idx="29">
                  <c:v>5904.72237563</c:v>
                </c:pt>
                <c:pt idx="30">
                  <c:v>143517.65901065001</c:v>
                </c:pt>
                <c:pt idx="31">
                  <c:v>11302.361522000001</c:v>
                </c:pt>
              </c:numCache>
            </c:numRef>
          </c:yVal>
          <c:smooth val="0"/>
          <c:extLst>
            <c:ext xmlns:c16="http://schemas.microsoft.com/office/drawing/2014/chart" uri="{C3380CC4-5D6E-409C-BE32-E72D297353CC}">
              <c16:uniqueId val="{00000000-C531-493E-A6AC-76936884CCB0}"/>
            </c:ext>
          </c:extLst>
        </c:ser>
        <c:ser>
          <c:idx val="2"/>
          <c:order val="2"/>
          <c:tx>
            <c:strRef>
              <c:f>'Grunts Complex'!$M$3</c:f>
              <c:strCache>
                <c:ptCount val="1"/>
                <c:pt idx="0">
                  <c:v>Total Orig FES</c:v>
                </c:pt>
              </c:strCache>
            </c:strRef>
          </c:tx>
          <c:spPr>
            <a:ln>
              <a:solidFill>
                <a:schemeClr val="accent2"/>
              </a:solidFill>
            </a:ln>
          </c:spPr>
          <c:marker>
            <c:symbol val="x"/>
            <c:size val="7"/>
            <c:spPr>
              <a:noFill/>
              <a:ln>
                <a:solidFill>
                  <a:schemeClr val="accent2"/>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Complex'!$M$4:$M$35</c:f>
              <c:numCache>
                <c:formatCode>#,##0</c:formatCode>
                <c:ptCount val="32"/>
                <c:pt idx="0">
                  <c:v>14760.929453409997</c:v>
                </c:pt>
                <c:pt idx="1">
                  <c:v>12118.053479800001</c:v>
                </c:pt>
                <c:pt idx="2">
                  <c:v>360842.33988430002</c:v>
                </c:pt>
                <c:pt idx="3">
                  <c:v>15130.572430999997</c:v>
                </c:pt>
                <c:pt idx="4">
                  <c:v>51775.557473000008</c:v>
                </c:pt>
                <c:pt idx="5">
                  <c:v>1029.6363839999999</c:v>
                </c:pt>
                <c:pt idx="6">
                  <c:v>36763.632783000001</c:v>
                </c:pt>
                <c:pt idx="7">
                  <c:v>68569.476810999986</c:v>
                </c:pt>
                <c:pt idx="8">
                  <c:v>101743.99352264999</c:v>
                </c:pt>
                <c:pt idx="9">
                  <c:v>53264.18776565</c:v>
                </c:pt>
                <c:pt idx="10">
                  <c:v>215563.93775748994</c:v>
                </c:pt>
                <c:pt idx="11">
                  <c:v>15929.721593999997</c:v>
                </c:pt>
                <c:pt idx="12">
                  <c:v>162134.98564849503</c:v>
                </c:pt>
                <c:pt idx="13">
                  <c:v>193439.12731599994</c:v>
                </c:pt>
                <c:pt idx="14">
                  <c:v>69755.000106699983</c:v>
                </c:pt>
                <c:pt idx="15">
                  <c:v>79593.095842032024</c:v>
                </c:pt>
                <c:pt idx="16">
                  <c:v>21661.278613873998</c:v>
                </c:pt>
                <c:pt idx="17">
                  <c:v>74693.042119259975</c:v>
                </c:pt>
                <c:pt idx="18">
                  <c:v>73884.717652510022</c:v>
                </c:pt>
                <c:pt idx="19">
                  <c:v>140145.22820749108</c:v>
                </c:pt>
                <c:pt idx="20">
                  <c:v>41333.275295342013</c:v>
                </c:pt>
                <c:pt idx="21">
                  <c:v>47943.539055539979</c:v>
                </c:pt>
                <c:pt idx="22">
                  <c:v>9633.3024290280009</c:v>
                </c:pt>
                <c:pt idx="23">
                  <c:v>25468.015923119987</c:v>
                </c:pt>
                <c:pt idx="24">
                  <c:v>5690.842522429999</c:v>
                </c:pt>
                <c:pt idx="25">
                  <c:v>14410.035806099999</c:v>
                </c:pt>
                <c:pt idx="26">
                  <c:v>13439.907720302001</c:v>
                </c:pt>
                <c:pt idx="27">
                  <c:v>18464.44903005</c:v>
                </c:pt>
                <c:pt idx="28">
                  <c:v>11503.394589200005</c:v>
                </c:pt>
                <c:pt idx="29">
                  <c:v>5904.7223756300009</c:v>
                </c:pt>
                <c:pt idx="30">
                  <c:v>143517.65901065007</c:v>
                </c:pt>
                <c:pt idx="31">
                  <c:v>11302.361522000003</c:v>
                </c:pt>
              </c:numCache>
            </c:numRef>
          </c:yVal>
          <c:smooth val="0"/>
          <c:extLst>
            <c:ext xmlns:c16="http://schemas.microsoft.com/office/drawing/2014/chart" uri="{C3380CC4-5D6E-409C-BE32-E72D297353CC}">
              <c16:uniqueId val="{00000002-C531-493E-A6AC-76936884CCB0}"/>
            </c:ext>
          </c:extLst>
        </c:ser>
        <c:ser>
          <c:idx val="1"/>
          <c:order val="5"/>
          <c:tx>
            <c:strRef>
              <c:f>'Grunts Complex'!$E$41</c:f>
              <c:strCache>
                <c:ptCount val="1"/>
                <c:pt idx="0">
                  <c:v>New Wgt ABC/ACL</c:v>
                </c:pt>
              </c:strCache>
            </c:strRef>
          </c:tx>
          <c:spPr>
            <a:ln w="38100">
              <a:solidFill>
                <a:schemeClr val="tx1"/>
              </a:solidFill>
            </a:ln>
          </c:spPr>
          <c:marker>
            <c:symbol val="none"/>
          </c:marker>
          <c:xVal>
            <c:numRef>
              <c:f>'Grunts Complex'!$A$42:$A$47</c:f>
              <c:numCache>
                <c:formatCode>General</c:formatCode>
                <c:ptCount val="6"/>
                <c:pt idx="0">
                  <c:v>2012</c:v>
                </c:pt>
                <c:pt idx="1">
                  <c:v>2013</c:v>
                </c:pt>
                <c:pt idx="2">
                  <c:v>2014</c:v>
                </c:pt>
                <c:pt idx="3">
                  <c:v>2015</c:v>
                </c:pt>
                <c:pt idx="4">
                  <c:v>2016</c:v>
                </c:pt>
                <c:pt idx="5">
                  <c:v>2017</c:v>
                </c:pt>
              </c:numCache>
            </c:numRef>
          </c:xVal>
          <c:yVal>
            <c:numRef>
              <c:f>'Grunts Complex'!$E$42:$E$47</c:f>
              <c:numCache>
                <c:formatCode>#,##0</c:formatCode>
                <c:ptCount val="6"/>
                <c:pt idx="0">
                  <c:v>109423.604436842</c:v>
                </c:pt>
                <c:pt idx="1">
                  <c:v>109423.604436842</c:v>
                </c:pt>
                <c:pt idx="2">
                  <c:v>109423.604436842</c:v>
                </c:pt>
                <c:pt idx="3">
                  <c:v>255385.00019892</c:v>
                </c:pt>
                <c:pt idx="4">
                  <c:v>255385.00019892</c:v>
                </c:pt>
                <c:pt idx="5">
                  <c:v>255385.00019892</c:v>
                </c:pt>
              </c:numCache>
            </c:numRef>
          </c:yVal>
          <c:smooth val="0"/>
          <c:extLst>
            <c:ext xmlns:c16="http://schemas.microsoft.com/office/drawing/2014/chart" uri="{C3380CC4-5D6E-409C-BE32-E72D297353CC}">
              <c16:uniqueId val="{00000005-C531-493E-A6AC-76936884CCB0}"/>
            </c:ext>
          </c:extLst>
        </c:ser>
        <c:ser>
          <c:idx val="5"/>
          <c:order val="6"/>
          <c:tx>
            <c:strRef>
              <c:f>'Grunts Complex'!$M$41</c:f>
              <c:strCache>
                <c:ptCount val="1"/>
                <c:pt idx="0">
                  <c:v>Orig FES ABC/ACL</c:v>
                </c:pt>
              </c:strCache>
            </c:strRef>
          </c:tx>
          <c:spPr>
            <a:ln>
              <a:solidFill>
                <a:srgbClr val="7030A0"/>
              </a:solidFill>
            </a:ln>
          </c:spPr>
          <c:marker>
            <c:symbol val="none"/>
          </c:marker>
          <c:xVal>
            <c:numRef>
              <c:f>'Grunts Complex'!$I$42:$I$47</c:f>
              <c:numCache>
                <c:formatCode>General</c:formatCode>
                <c:ptCount val="6"/>
                <c:pt idx="0">
                  <c:v>2012</c:v>
                </c:pt>
                <c:pt idx="1">
                  <c:v>2013</c:v>
                </c:pt>
                <c:pt idx="2">
                  <c:v>2014</c:v>
                </c:pt>
                <c:pt idx="3">
                  <c:v>2015</c:v>
                </c:pt>
                <c:pt idx="4">
                  <c:v>2016</c:v>
                </c:pt>
                <c:pt idx="5">
                  <c:v>2017</c:v>
                </c:pt>
              </c:numCache>
            </c:numRef>
          </c:xVal>
          <c:yVal>
            <c:numRef>
              <c:f>'Grunts Complex'!$M$42:$M$47</c:f>
              <c:numCache>
                <c:formatCode>#,##0</c:formatCode>
                <c:ptCount val="6"/>
                <c:pt idx="0">
                  <c:v>79593.095842032024</c:v>
                </c:pt>
                <c:pt idx="1">
                  <c:v>79593.095842032024</c:v>
                </c:pt>
                <c:pt idx="2">
                  <c:v>79593.095842032024</c:v>
                </c:pt>
                <c:pt idx="3">
                  <c:v>232126.95277919993</c:v>
                </c:pt>
                <c:pt idx="4">
                  <c:v>232126.95277919993</c:v>
                </c:pt>
                <c:pt idx="5">
                  <c:v>232126.95277919993</c:v>
                </c:pt>
              </c:numCache>
            </c:numRef>
          </c:yVal>
          <c:smooth val="0"/>
          <c:extLst>
            <c:ext xmlns:c16="http://schemas.microsoft.com/office/drawing/2014/chart" uri="{C3380CC4-5D6E-409C-BE32-E72D297353CC}">
              <c16:uniqueId val="{00000006-C531-493E-A6AC-76936884CCB0}"/>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Complex'!$AC$3</c15:sqref>
                        </c15:formulaRef>
                      </c:ext>
                    </c:extLst>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Complex'!$AC$4:$AC$35</c15:sqref>
                        </c15:formulaRef>
                      </c:ext>
                    </c:extLst>
                    <c:numCache>
                      <c:formatCode>#,##0</c:formatCode>
                      <c:ptCount val="32"/>
                      <c:pt idx="0">
                        <c:v>14760.929453409999</c:v>
                      </c:pt>
                      <c:pt idx="1">
                        <c:v>12118.053479800001</c:v>
                      </c:pt>
                      <c:pt idx="2">
                        <c:v>360842.33988430002</c:v>
                      </c:pt>
                      <c:pt idx="3">
                        <c:v>15130.572430999997</c:v>
                      </c:pt>
                      <c:pt idx="4">
                        <c:v>51775.557473000001</c:v>
                      </c:pt>
                      <c:pt idx="5">
                        <c:v>1029.6363839999999</c:v>
                      </c:pt>
                      <c:pt idx="6">
                        <c:v>33845.632783000001</c:v>
                      </c:pt>
                      <c:pt idx="7">
                        <c:v>63227.476811</c:v>
                      </c:pt>
                      <c:pt idx="8">
                        <c:v>80927.667911890021</c:v>
                      </c:pt>
                      <c:pt idx="9">
                        <c:v>24625.491047214</c:v>
                      </c:pt>
                      <c:pt idx="10">
                        <c:v>105647.83245289</c:v>
                      </c:pt>
                      <c:pt idx="11">
                        <c:v>6356.7215939999969</c:v>
                      </c:pt>
                      <c:pt idx="12">
                        <c:v>118127.89311782489</c:v>
                      </c:pt>
                      <c:pt idx="13">
                        <c:v>209725.83349909997</c:v>
                      </c:pt>
                      <c:pt idx="14">
                        <c:v>132901.82489329998</c:v>
                      </c:pt>
                      <c:pt idx="15">
                        <c:v>105408.604436842</c:v>
                      </c:pt>
                      <c:pt idx="16">
                        <c:v>21519.773943234002</c:v>
                      </c:pt>
                      <c:pt idx="17">
                        <c:v>79023.128645399003</c:v>
                      </c:pt>
                      <c:pt idx="18">
                        <c:v>40060.182094418007</c:v>
                      </c:pt>
                      <c:pt idx="19">
                        <c:v>83820.344138681001</c:v>
                      </c:pt>
                      <c:pt idx="20">
                        <c:v>35002.306898761999</c:v>
                      </c:pt>
                      <c:pt idx="21">
                        <c:v>43972.075747769995</c:v>
                      </c:pt>
                      <c:pt idx="22">
                        <c:v>6659.302429028</c:v>
                      </c:pt>
                      <c:pt idx="23">
                        <c:v>14312.34273382</c:v>
                      </c:pt>
                      <c:pt idx="24">
                        <c:v>2334.8425224299999</c:v>
                      </c:pt>
                      <c:pt idx="25">
                        <c:v>10705.035806099999</c:v>
                      </c:pt>
                      <c:pt idx="26">
                        <c:v>8559.9077203020006</c:v>
                      </c:pt>
                      <c:pt idx="27">
                        <c:v>14639.44903005</c:v>
                      </c:pt>
                      <c:pt idx="28">
                        <c:v>11464.394589200003</c:v>
                      </c:pt>
                      <c:pt idx="29">
                        <c:v>5865.72237563</c:v>
                      </c:pt>
                      <c:pt idx="30">
                        <c:v>143463.65901065001</c:v>
                      </c:pt>
                      <c:pt idx="31">
                        <c:v>11144.361522000001</c:v>
                      </c:pt>
                    </c:numCache>
                  </c:numRef>
                </c:yVal>
                <c:smooth val="0"/>
                <c:extLst>
                  <c:ext xmlns:c16="http://schemas.microsoft.com/office/drawing/2014/chart" uri="{C3380CC4-5D6E-409C-BE32-E72D297353CC}">
                    <c16:uniqueId val="{00000001-C531-493E-A6AC-76936884CCB0}"/>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Complex'!$AJ$3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Complex'!$AJ$4:$AJ$35</c15:sqref>
                        </c15:formulaRef>
                      </c:ext>
                    </c:extLst>
                    <c:numCache>
                      <c:formatCode>#,##0</c:formatCode>
                      <c:ptCount val="32"/>
                      <c:pt idx="0">
                        <c:v>14760.929453409997</c:v>
                      </c:pt>
                      <c:pt idx="1">
                        <c:v>12118.053479800001</c:v>
                      </c:pt>
                      <c:pt idx="2">
                        <c:v>360842.33988430002</c:v>
                      </c:pt>
                      <c:pt idx="3">
                        <c:v>15130.572430999997</c:v>
                      </c:pt>
                      <c:pt idx="4">
                        <c:v>51775.557473000008</c:v>
                      </c:pt>
                      <c:pt idx="5">
                        <c:v>1029.6363839999999</c:v>
                      </c:pt>
                      <c:pt idx="6">
                        <c:v>33845.632783000001</c:v>
                      </c:pt>
                      <c:pt idx="7">
                        <c:v>63227.476810999986</c:v>
                      </c:pt>
                      <c:pt idx="8">
                        <c:v>80485.993522649995</c:v>
                      </c:pt>
                      <c:pt idx="9">
                        <c:v>26114.187765650004</c:v>
                      </c:pt>
                      <c:pt idx="10">
                        <c:v>196768.93775748994</c:v>
                      </c:pt>
                      <c:pt idx="11">
                        <c:v>6356.7215939999969</c:v>
                      </c:pt>
                      <c:pt idx="12">
                        <c:v>157792.98564849503</c:v>
                      </c:pt>
                      <c:pt idx="13">
                        <c:v>190344.12731599994</c:v>
                      </c:pt>
                      <c:pt idx="14">
                        <c:v>66551.000106699983</c:v>
                      </c:pt>
                      <c:pt idx="15">
                        <c:v>75578.095842032024</c:v>
                      </c:pt>
                      <c:pt idx="16">
                        <c:v>18942.278613873998</c:v>
                      </c:pt>
                      <c:pt idx="17">
                        <c:v>71592.042119259975</c:v>
                      </c:pt>
                      <c:pt idx="18">
                        <c:v>70820.717652510022</c:v>
                      </c:pt>
                      <c:pt idx="19">
                        <c:v>137622.22820749108</c:v>
                      </c:pt>
                      <c:pt idx="20">
                        <c:v>37331.275295342013</c:v>
                      </c:pt>
                      <c:pt idx="21">
                        <c:v>44289.539055539979</c:v>
                      </c:pt>
                      <c:pt idx="22">
                        <c:v>6659.302429028</c:v>
                      </c:pt>
                      <c:pt idx="23">
                        <c:v>21656.015923119987</c:v>
                      </c:pt>
                      <c:pt idx="24">
                        <c:v>2334.8425224299995</c:v>
                      </c:pt>
                      <c:pt idx="25">
                        <c:v>10705.035806099999</c:v>
                      </c:pt>
                      <c:pt idx="26">
                        <c:v>8559.9077203020006</c:v>
                      </c:pt>
                      <c:pt idx="27">
                        <c:v>14639.44903005</c:v>
                      </c:pt>
                      <c:pt idx="28">
                        <c:v>11464.394589200005</c:v>
                      </c:pt>
                      <c:pt idx="29">
                        <c:v>5865.7223756300009</c:v>
                      </c:pt>
                      <c:pt idx="30">
                        <c:v>143463.65901065007</c:v>
                      </c:pt>
                      <c:pt idx="31">
                        <c:v>11144.361522000003</c:v>
                      </c:pt>
                    </c:numCache>
                  </c:numRef>
                </c:yVal>
                <c:smooth val="0"/>
                <c:extLst xmlns:c15="http://schemas.microsoft.com/office/drawing/2012/chart">
                  <c:ext xmlns:c16="http://schemas.microsoft.com/office/drawing/2014/chart" uri="{C3380CC4-5D6E-409C-BE32-E72D297353CC}">
                    <c16:uniqueId val="{00000003-C531-493E-A6AC-76936884CCB0}"/>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'Grunts Complex'!$AM$96</c15:sqref>
                        </c15:formulaRef>
                      </c:ext>
                    </c:extLst>
                    <c:strCache>
                      <c:ptCount val="1"/>
                      <c:pt idx="0">
                        <c:v>MRIP+HB</c:v>
                      </c:pt>
                    </c:strCache>
                  </c:strRef>
                </c:tx>
                <c:spPr>
                  <a:ln>
                    <a:noFill/>
                  </a:ln>
                </c:spPr>
                <c:marker>
                  <c:symbol val="star"/>
                  <c:size val="8"/>
                  <c:spPr>
                    <a:noFill/>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('Grunts Complex'!$AG$107,'Grunts Complex'!$AG$109,'Grunts Complex'!$AG$114:$AG$116,'Grunts Complex'!$AG$127)</c15:sqref>
                        </c15:formulaRef>
                      </c:ext>
                    </c:extLst>
                    <c:numCache>
                      <c:formatCode>General</c:formatCode>
                      <c:ptCount val="6"/>
                      <c:pt idx="0">
                        <c:v>1996</c:v>
                      </c:pt>
                      <c:pt idx="1">
                        <c:v>1998</c:v>
                      </c:pt>
                      <c:pt idx="2">
                        <c:v>2003</c:v>
                      </c:pt>
                      <c:pt idx="3">
                        <c:v>2004</c:v>
                      </c:pt>
                      <c:pt idx="4">
                        <c:v>2005</c:v>
                      </c:pt>
                      <c:pt idx="5">
                        <c:v>2016</c:v>
                      </c:pt>
                    </c:numCache>
                  </c:numRef>
                </c:xVal>
                <c:yVal>
                  <c:numRef>
                    <c:extLst xmlns:c15="http://schemas.microsoft.com/office/drawing/2012/chart">
                      <c:ext xmlns:c15="http://schemas.microsoft.com/office/drawing/2012/chart" uri="{02D57815-91ED-43cb-92C2-25804820EDAC}">
                        <c15:formulaRef>
                          <c15:sqref>('Grunts Complex'!$AM$107,'Grunts Complex'!$AM$109,'Grunts Complex'!$AM$114:$AM$116,'Grunts Complex'!$AM$127)</c15:sqref>
                        </c15:formulaRef>
                      </c:ext>
                    </c:extLst>
                    <c:numCache>
                      <c:formatCode>#,##0</c:formatCode>
                      <c:ptCount val="6"/>
                      <c:pt idx="0">
                        <c:v>110444.66615532582</c:v>
                      </c:pt>
                      <c:pt idx="1">
                        <c:v>111459.57918075414</c:v>
                      </c:pt>
                      <c:pt idx="2">
                        <c:v>41188.493632454905</c:v>
                      </c:pt>
                      <c:pt idx="3">
                        <c:v>43978.578901949688</c:v>
                      </c:pt>
                      <c:pt idx="4">
                        <c:v>93104.385136498575</c:v>
                      </c:pt>
                      <c:pt idx="5">
                        <c:v>255602.57406295923</c:v>
                      </c:pt>
                    </c:numCache>
                  </c:numRef>
                </c:yVal>
                <c:smooth val="0"/>
                <c:extLst xmlns:c15="http://schemas.microsoft.com/office/drawing/2012/chart">
                  <c:ext xmlns:c16="http://schemas.microsoft.com/office/drawing/2014/chart" uri="{C3380CC4-5D6E-409C-BE32-E72D297353CC}">
                    <c16:uniqueId val="{00000004-C531-493E-A6AC-76936884CCB0}"/>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Shallow-Water Complex Landings</a:t>
            </a:r>
          </a:p>
        </c:rich>
      </c:tx>
      <c:overlay val="0"/>
    </c:title>
    <c:autoTitleDeleted val="0"/>
    <c:plotArea>
      <c:layout/>
      <c:scatterChart>
        <c:scatterStyle val="lineMarker"/>
        <c:varyColors val="0"/>
        <c:ser>
          <c:idx val="0"/>
          <c:order val="0"/>
          <c:tx>
            <c:strRef>
              <c:f>'Shallow-Water Complex'!$L$2</c:f>
              <c:strCache>
                <c:ptCount val="1"/>
                <c:pt idx="0">
                  <c:v>Red Hind</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Complex'!$L$4:$L$35</c:f>
              <c:numCache>
                <c:formatCode>#,##0</c:formatCode>
                <c:ptCount val="32"/>
                <c:pt idx="0">
                  <c:v>4547.1672150899994</c:v>
                </c:pt>
                <c:pt idx="1">
                  <c:v>17088.581091399999</c:v>
                </c:pt>
                <c:pt idx="2">
                  <c:v>10082.068054029998</c:v>
                </c:pt>
                <c:pt idx="3">
                  <c:v>13090.414730549999</c:v>
                </c:pt>
                <c:pt idx="4">
                  <c:v>35202.381345000002</c:v>
                </c:pt>
                <c:pt idx="5">
                  <c:v>20485.184037910003</c:v>
                </c:pt>
                <c:pt idx="6">
                  <c:v>25912.151955893998</c:v>
                </c:pt>
                <c:pt idx="7">
                  <c:v>74436.609952299987</c:v>
                </c:pt>
                <c:pt idx="8">
                  <c:v>38096.11857359</c:v>
                </c:pt>
                <c:pt idx="9">
                  <c:v>54478.613003400009</c:v>
                </c:pt>
                <c:pt idx="10">
                  <c:v>42386.081966060003</c:v>
                </c:pt>
                <c:pt idx="11">
                  <c:v>29380.27893353</c:v>
                </c:pt>
                <c:pt idx="12">
                  <c:v>43100.271814700005</c:v>
                </c:pt>
                <c:pt idx="13">
                  <c:v>29847.466547192991</c:v>
                </c:pt>
                <c:pt idx="14">
                  <c:v>26593.387246030998</c:v>
                </c:pt>
                <c:pt idx="15">
                  <c:v>27066.487265029995</c:v>
                </c:pt>
                <c:pt idx="16">
                  <c:v>37689.232279600983</c:v>
                </c:pt>
                <c:pt idx="17">
                  <c:v>21463.587686851002</c:v>
                </c:pt>
                <c:pt idx="18">
                  <c:v>26376.354705195001</c:v>
                </c:pt>
                <c:pt idx="19">
                  <c:v>18216.463220218997</c:v>
                </c:pt>
                <c:pt idx="20">
                  <c:v>18998.567084375398</c:v>
                </c:pt>
                <c:pt idx="21">
                  <c:v>34234.485927494999</c:v>
                </c:pt>
                <c:pt idx="22">
                  <c:v>29315.973307541299</c:v>
                </c:pt>
                <c:pt idx="23">
                  <c:v>15827.770235215001</c:v>
                </c:pt>
                <c:pt idx="24">
                  <c:v>8881.383295399999</c:v>
                </c:pt>
                <c:pt idx="25">
                  <c:v>5513.1520134000002</c:v>
                </c:pt>
                <c:pt idx="26">
                  <c:v>6636.5939179119996</c:v>
                </c:pt>
                <c:pt idx="27">
                  <c:v>14408.562387199996</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4AC7-4F6B-B227-11A41CA2AAFC}"/>
            </c:ext>
          </c:extLst>
        </c:ser>
        <c:ser>
          <c:idx val="1"/>
          <c:order val="1"/>
          <c:tx>
            <c:strRef>
              <c:f>'Shallow-Water Complex'!$M$2</c:f>
              <c:strCache>
                <c:ptCount val="1"/>
                <c:pt idx="0">
                  <c:v>Rock Hind</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Complex'!$M$4:$M$35</c:f>
              <c:numCache>
                <c:formatCode>#,##0</c:formatCode>
                <c:ptCount val="32"/>
                <c:pt idx="0">
                  <c:v>4986.2366442000039</c:v>
                </c:pt>
                <c:pt idx="1">
                  <c:v>7187.4926993999989</c:v>
                </c:pt>
                <c:pt idx="2">
                  <c:v>6366.7463228700017</c:v>
                </c:pt>
                <c:pt idx="3">
                  <c:v>4360.3450315000009</c:v>
                </c:pt>
                <c:pt idx="4">
                  <c:v>15218.496607630002</c:v>
                </c:pt>
                <c:pt idx="5">
                  <c:v>5358.2960041799988</c:v>
                </c:pt>
                <c:pt idx="6">
                  <c:v>16458.398041589997</c:v>
                </c:pt>
                <c:pt idx="7">
                  <c:v>44404.596765999988</c:v>
                </c:pt>
                <c:pt idx="8">
                  <c:v>25009.676269449999</c:v>
                </c:pt>
                <c:pt idx="9">
                  <c:v>23000.497974740007</c:v>
                </c:pt>
                <c:pt idx="10">
                  <c:v>32831.087157999995</c:v>
                </c:pt>
                <c:pt idx="11">
                  <c:v>41606.654734519994</c:v>
                </c:pt>
                <c:pt idx="12">
                  <c:v>46622.208093059999</c:v>
                </c:pt>
                <c:pt idx="13">
                  <c:v>35406.569206699998</c:v>
                </c:pt>
                <c:pt idx="14">
                  <c:v>33731.973282300001</c:v>
                </c:pt>
                <c:pt idx="15">
                  <c:v>21564.016130850003</c:v>
                </c:pt>
                <c:pt idx="16">
                  <c:v>29178.105920837203</c:v>
                </c:pt>
                <c:pt idx="17">
                  <c:v>25142.489665589997</c:v>
                </c:pt>
                <c:pt idx="18">
                  <c:v>58757.709147649992</c:v>
                </c:pt>
                <c:pt idx="19">
                  <c:v>36761.488939660005</c:v>
                </c:pt>
                <c:pt idx="20">
                  <c:v>39145.926430617998</c:v>
                </c:pt>
                <c:pt idx="21">
                  <c:v>52185.737476664013</c:v>
                </c:pt>
                <c:pt idx="22">
                  <c:v>32625.67590319</c:v>
                </c:pt>
                <c:pt idx="23">
                  <c:v>35606.359341999996</c:v>
                </c:pt>
                <c:pt idx="24">
                  <c:v>19794.4916373329</c:v>
                </c:pt>
                <c:pt idx="25">
                  <c:v>14521.615748491</c:v>
                </c:pt>
                <c:pt idx="26">
                  <c:v>11078.84370299</c:v>
                </c:pt>
                <c:pt idx="27">
                  <c:v>13880.4813134337</c:v>
                </c:pt>
                <c:pt idx="28">
                  <c:v>13496.368760130001</c:v>
                </c:pt>
                <c:pt idx="29">
                  <c:v>34453.5631804</c:v>
                </c:pt>
                <c:pt idx="30">
                  <c:v>33930.276756334002</c:v>
                </c:pt>
                <c:pt idx="31">
                  <c:v>4262.1661103999995</c:v>
                </c:pt>
              </c:numCache>
            </c:numRef>
          </c:yVal>
          <c:smooth val="0"/>
          <c:extLst>
            <c:ext xmlns:c16="http://schemas.microsoft.com/office/drawing/2014/chart" uri="{C3380CC4-5D6E-409C-BE32-E72D297353CC}">
              <c16:uniqueId val="{00000001-4AC7-4F6B-B227-11A41CA2AAFC}"/>
            </c:ext>
          </c:extLst>
        </c:ser>
        <c:ser>
          <c:idx val="2"/>
          <c:order val="2"/>
          <c:tx>
            <c:strRef>
              <c:f>'Shallow-Water Complex'!$N$2</c:f>
              <c:strCache>
                <c:ptCount val="1"/>
                <c:pt idx="0">
                  <c:v>Yellowmouth Grouper</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0">
                  <c:v>213.66542279999999</c:v>
                </c:pt>
                <c:pt idx="1">
                  <c:v>262.40692420000005</c:v>
                </c:pt>
                <c:pt idx="2">
                  <c:v>956.41537245000029</c:v>
                </c:pt>
                <c:pt idx="3">
                  <c:v>2498.5847723000006</c:v>
                </c:pt>
                <c:pt idx="4">
                  <c:v>1021.2368579999999</c:v>
                </c:pt>
                <c:pt idx="5">
                  <c:v>2371.7813498</c:v>
                </c:pt>
                <c:pt idx="6">
                  <c:v>3280.4377290500011</c:v>
                </c:pt>
                <c:pt idx="7">
                  <c:v>377.14092199999993</c:v>
                </c:pt>
                <c:pt idx="8">
                  <c:v>867.18638599999997</c:v>
                </c:pt>
                <c:pt idx="9">
                  <c:v>666.725596</c:v>
                </c:pt>
                <c:pt idx="10">
                  <c:v>409.30508200000003</c:v>
                </c:pt>
                <c:pt idx="11">
                  <c:v>489.34887599999996</c:v>
                </c:pt>
                <c:pt idx="12">
                  <c:v>1153.6838000000002</c:v>
                </c:pt>
                <c:pt idx="13">
                  <c:v>2101.7615854699998</c:v>
                </c:pt>
                <c:pt idx="14">
                  <c:v>7888.9850333999984</c:v>
                </c:pt>
                <c:pt idx="15">
                  <c:v>312.20308</c:v>
                </c:pt>
                <c:pt idx="16">
                  <c:v>265.389748</c:v>
                </c:pt>
                <c:pt idx="17">
                  <c:v>2657.0738755000002</c:v>
                </c:pt>
                <c:pt idx="18">
                  <c:v>5437.5706806800017</c:v>
                </c:pt>
                <c:pt idx="19">
                  <c:v>5302.5303370000011</c:v>
                </c:pt>
                <c:pt idx="20">
                  <c:v>1104.7897519999999</c:v>
                </c:pt>
                <c:pt idx="21">
                  <c:v>33501.638706299993</c:v>
                </c:pt>
                <c:pt idx="22">
                  <c:v>341.183896</c:v>
                </c:pt>
                <c:pt idx="23">
                  <c:v>95.236515400000002</c:v>
                </c:pt>
                <c:pt idx="24">
                  <c:v>370.02882502099999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2-4AC7-4F6B-B227-11A41CA2AAFC}"/>
            </c:ext>
          </c:extLst>
        </c:ser>
        <c:ser>
          <c:idx val="3"/>
          <c:order val="3"/>
          <c:tx>
            <c:strRef>
              <c:f>'Shallow-Water Complex'!$O$2</c:f>
              <c:strCache>
                <c:ptCount val="1"/>
                <c:pt idx="0">
                  <c:v>Yellowfin Grouper</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Complex'!$O$4:$O$35</c:f>
              <c:numCache>
                <c:formatCode>#,##0</c:formatCode>
                <c:ptCount val="32"/>
                <c:pt idx="0">
                  <c:v>27322.966739</c:v>
                </c:pt>
                <c:pt idx="1">
                  <c:v>4467.4536500000004</c:v>
                </c:pt>
                <c:pt idx="2">
                  <c:v>32552.453113400003</c:v>
                </c:pt>
                <c:pt idx="3">
                  <c:v>20473.874170000006</c:v>
                </c:pt>
                <c:pt idx="4">
                  <c:v>4434.4715679999999</c:v>
                </c:pt>
                <c:pt idx="5">
                  <c:v>3264.2401359999999</c:v>
                </c:pt>
                <c:pt idx="6">
                  <c:v>11286.487502</c:v>
                </c:pt>
                <c:pt idx="7">
                  <c:v>12319.8914883</c:v>
                </c:pt>
                <c:pt idx="8">
                  <c:v>4446.8626420000001</c:v>
                </c:pt>
                <c:pt idx="9">
                  <c:v>5358.5467980000003</c:v>
                </c:pt>
                <c:pt idx="10">
                  <c:v>14058.5554029</c:v>
                </c:pt>
                <c:pt idx="11">
                  <c:v>4125.873106</c:v>
                </c:pt>
                <c:pt idx="12">
                  <c:v>1627.2305219999998</c:v>
                </c:pt>
                <c:pt idx="13">
                  <c:v>3832.0972320000001</c:v>
                </c:pt>
                <c:pt idx="14">
                  <c:v>2906.0016700000001</c:v>
                </c:pt>
                <c:pt idx="15">
                  <c:v>4541.8114423900006</c:v>
                </c:pt>
                <c:pt idx="16">
                  <c:v>6801.153048600002</c:v>
                </c:pt>
                <c:pt idx="17">
                  <c:v>2223.42193</c:v>
                </c:pt>
                <c:pt idx="18">
                  <c:v>9259.4716719999997</c:v>
                </c:pt>
                <c:pt idx="19">
                  <c:v>3777.0417080000002</c:v>
                </c:pt>
                <c:pt idx="20">
                  <c:v>37218.5858782</c:v>
                </c:pt>
                <c:pt idx="21">
                  <c:v>10625.0090814</c:v>
                </c:pt>
                <c:pt idx="22">
                  <c:v>4205.7486058000004</c:v>
                </c:pt>
                <c:pt idx="23">
                  <c:v>3284.1457632000001</c:v>
                </c:pt>
                <c:pt idx="24">
                  <c:v>3774.353556</c:v>
                </c:pt>
                <c:pt idx="25">
                  <c:v>5241.7739116000002</c:v>
                </c:pt>
                <c:pt idx="26">
                  <c:v>8149.3718272000006</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3-4AC7-4F6B-B227-11A41CA2AAFC}"/>
            </c:ext>
          </c:extLst>
        </c:ser>
        <c:ser>
          <c:idx val="4"/>
          <c:order val="4"/>
          <c:tx>
            <c:strRef>
              <c:f>'Shallow-Water Complex'!$P$2</c:f>
              <c:strCache>
                <c:ptCount val="1"/>
                <c:pt idx="0">
                  <c:v>Coney</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Complex'!$P$4:$P$35</c:f>
              <c:numCache>
                <c:formatCode>#,##0</c:formatCode>
                <c:ptCount val="32"/>
                <c:pt idx="0">
                  <c:v>113.15991339999998</c:v>
                </c:pt>
                <c:pt idx="1">
                  <c:v>287.32811760000004</c:v>
                </c:pt>
                <c:pt idx="2">
                  <c:v>308.2008754000002</c:v>
                </c:pt>
                <c:pt idx="3">
                  <c:v>1657.7203102000003</c:v>
                </c:pt>
                <c:pt idx="4">
                  <c:v>2756.6716760999993</c:v>
                </c:pt>
                <c:pt idx="5">
                  <c:v>411.2681300000001</c:v>
                </c:pt>
                <c:pt idx="6">
                  <c:v>886.22883800000011</c:v>
                </c:pt>
                <c:pt idx="7">
                  <c:v>8344.9302663100007</c:v>
                </c:pt>
                <c:pt idx="8">
                  <c:v>725.598487707</c:v>
                </c:pt>
                <c:pt idx="9">
                  <c:v>101.27932399999999</c:v>
                </c:pt>
                <c:pt idx="10">
                  <c:v>30677.865244799999</c:v>
                </c:pt>
                <c:pt idx="11">
                  <c:v>308.53867400000001</c:v>
                </c:pt>
                <c:pt idx="12">
                  <c:v>660.45265437</c:v>
                </c:pt>
                <c:pt idx="13">
                  <c:v>747.11873173219999</c:v>
                </c:pt>
                <c:pt idx="14">
                  <c:v>2908.8264222100011</c:v>
                </c:pt>
                <c:pt idx="15">
                  <c:v>59.752097592399998</c:v>
                </c:pt>
                <c:pt idx="16">
                  <c:v>22.931328000000001</c:v>
                </c:pt>
                <c:pt idx="17">
                  <c:v>2969.9227074790001</c:v>
                </c:pt>
                <c:pt idx="18">
                  <c:v>4196.9052978699992</c:v>
                </c:pt>
                <c:pt idx="19">
                  <c:v>3931.4777806940001</c:v>
                </c:pt>
                <c:pt idx="20">
                  <c:v>4170.3292135870006</c:v>
                </c:pt>
                <c:pt idx="21">
                  <c:v>2613.1527339720005</c:v>
                </c:pt>
                <c:pt idx="22">
                  <c:v>2826.2233180000003</c:v>
                </c:pt>
                <c:pt idx="23">
                  <c:v>5450.1429379300007</c:v>
                </c:pt>
                <c:pt idx="24">
                  <c:v>901.31759863599996</c:v>
                </c:pt>
                <c:pt idx="25">
                  <c:v>164.61564240000001</c:v>
                </c:pt>
                <c:pt idx="26">
                  <c:v>23.788489599999998</c:v>
                </c:pt>
                <c:pt idx="27">
                  <c:v>631.04311363999989</c:v>
                </c:pt>
                <c:pt idx="28">
                  <c:v>316.40338513900002</c:v>
                </c:pt>
                <c:pt idx="29">
                  <c:v>510.25789979999996</c:v>
                </c:pt>
                <c:pt idx="30">
                  <c:v>434.65240534100008</c:v>
                </c:pt>
                <c:pt idx="31">
                  <c:v>1763.2019935999992</c:v>
                </c:pt>
              </c:numCache>
            </c:numRef>
          </c:yVal>
          <c:smooth val="0"/>
          <c:extLst>
            <c:ext xmlns:c16="http://schemas.microsoft.com/office/drawing/2014/chart" uri="{C3380CC4-5D6E-409C-BE32-E72D297353CC}">
              <c16:uniqueId val="{00000004-4AC7-4F6B-B227-11A41CA2AAFC}"/>
            </c:ext>
          </c:extLst>
        </c:ser>
        <c:ser>
          <c:idx val="5"/>
          <c:order val="5"/>
          <c:tx>
            <c:strRef>
              <c:f>'Shallow-Water Complex'!$Q$2</c:f>
              <c:strCache>
                <c:ptCount val="1"/>
                <c:pt idx="0">
                  <c:v>Graysby</c:v>
                </c:pt>
              </c:strCache>
            </c:strRef>
          </c:tx>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Complex'!$Q$4:$Q$35</c:f>
              <c:numCache>
                <c:formatCode>#,##0</c:formatCode>
                <c:ptCount val="32"/>
                <c:pt idx="0">
                  <c:v>676.11113720000003</c:v>
                </c:pt>
                <c:pt idx="1">
                  <c:v>361.97633420000005</c:v>
                </c:pt>
                <c:pt idx="2">
                  <c:v>1992.4012594999997</c:v>
                </c:pt>
                <c:pt idx="3">
                  <c:v>524.18774199999996</c:v>
                </c:pt>
                <c:pt idx="4">
                  <c:v>912.285526</c:v>
                </c:pt>
                <c:pt idx="5">
                  <c:v>7494.3645420000003</c:v>
                </c:pt>
                <c:pt idx="6">
                  <c:v>13594.689939329</c:v>
                </c:pt>
                <c:pt idx="7">
                  <c:v>22331.249127199997</c:v>
                </c:pt>
                <c:pt idx="8">
                  <c:v>12551.371579977</c:v>
                </c:pt>
                <c:pt idx="9">
                  <c:v>4601.6044720000009</c:v>
                </c:pt>
                <c:pt idx="10">
                  <c:v>11877.728359099998</c:v>
                </c:pt>
                <c:pt idx="11">
                  <c:v>9053.2143310499996</c:v>
                </c:pt>
                <c:pt idx="12">
                  <c:v>9873.7534503999996</c:v>
                </c:pt>
                <c:pt idx="13">
                  <c:v>11534.5494717314</c:v>
                </c:pt>
                <c:pt idx="14">
                  <c:v>4705.8883740000019</c:v>
                </c:pt>
                <c:pt idx="15">
                  <c:v>11343.971571291999</c:v>
                </c:pt>
                <c:pt idx="16">
                  <c:v>34184.777259904993</c:v>
                </c:pt>
                <c:pt idx="17">
                  <c:v>37318.278022386985</c:v>
                </c:pt>
                <c:pt idx="18">
                  <c:v>26085.601428939972</c:v>
                </c:pt>
                <c:pt idx="19">
                  <c:v>19049.185890453995</c:v>
                </c:pt>
                <c:pt idx="20">
                  <c:v>15545.540607195</c:v>
                </c:pt>
                <c:pt idx="21">
                  <c:v>16210.915525602002</c:v>
                </c:pt>
                <c:pt idx="22">
                  <c:v>14755.655576732297</c:v>
                </c:pt>
                <c:pt idx="23">
                  <c:v>8669.3835724919973</c:v>
                </c:pt>
                <c:pt idx="24">
                  <c:v>2451.4917469160005</c:v>
                </c:pt>
                <c:pt idx="25">
                  <c:v>8898.524244299997</c:v>
                </c:pt>
                <c:pt idx="26">
                  <c:v>6374.3096819129969</c:v>
                </c:pt>
                <c:pt idx="27">
                  <c:v>56157.903620960009</c:v>
                </c:pt>
                <c:pt idx="28">
                  <c:v>17603.903066704992</c:v>
                </c:pt>
                <c:pt idx="29">
                  <c:v>30303.177527165008</c:v>
                </c:pt>
                <c:pt idx="30">
                  <c:v>43344.148211869979</c:v>
                </c:pt>
                <c:pt idx="31">
                  <c:v>5706.5437583899984</c:v>
                </c:pt>
              </c:numCache>
            </c:numRef>
          </c:yVal>
          <c:smooth val="0"/>
          <c:extLst>
            <c:ext xmlns:c16="http://schemas.microsoft.com/office/drawing/2014/chart" uri="{C3380CC4-5D6E-409C-BE32-E72D297353CC}">
              <c16:uniqueId val="{00000005-4AC7-4F6B-B227-11A41CA2AAFC}"/>
            </c:ext>
          </c:extLst>
        </c:ser>
        <c:ser>
          <c:idx val="6"/>
          <c:order val="6"/>
          <c:tx>
            <c:strRef>
              <c:f>'Shallow-Water Complex'!$H$3</c:f>
              <c:strCache>
                <c:ptCount val="1"/>
                <c:pt idx="0">
                  <c:v>Total</c:v>
                </c:pt>
              </c:strCache>
            </c:strRef>
          </c:tx>
          <c:spPr>
            <a:ln>
              <a:solidFill>
                <a:schemeClr val="tx2"/>
              </a:solidFill>
            </a:ln>
          </c:spPr>
          <c:marker>
            <c:symbol val="star"/>
            <c:size val="7"/>
            <c:spPr>
              <a:ln>
                <a:solidFill>
                  <a:srgbClr val="FF0000"/>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Complex'!$H$4:$H$35</c:f>
              <c:numCache>
                <c:formatCode>#,##0</c:formatCode>
                <c:ptCount val="32"/>
                <c:pt idx="0">
                  <c:v>37859.307071690004</c:v>
                </c:pt>
                <c:pt idx="1">
                  <c:v>29655.238816799996</c:v>
                </c:pt>
                <c:pt idx="2">
                  <c:v>56228.943149459999</c:v>
                </c:pt>
                <c:pt idx="3">
                  <c:v>45227.204847550005</c:v>
                </c:pt>
                <c:pt idx="4">
                  <c:v>59598.153897789998</c:v>
                </c:pt>
                <c:pt idx="5">
                  <c:v>39485.243523810001</c:v>
                </c:pt>
                <c:pt idx="6">
                  <c:v>70715.883365161993</c:v>
                </c:pt>
                <c:pt idx="7">
                  <c:v>161826.14868407001</c:v>
                </c:pt>
                <c:pt idx="8">
                  <c:v>78269.775964596993</c:v>
                </c:pt>
                <c:pt idx="9">
                  <c:v>81432.59094282001</c:v>
                </c:pt>
                <c:pt idx="10">
                  <c:v>133090.87624144999</c:v>
                </c:pt>
                <c:pt idx="11">
                  <c:v>85014.565962380002</c:v>
                </c:pt>
                <c:pt idx="12">
                  <c:v>103146.60921777401</c:v>
                </c:pt>
                <c:pt idx="13">
                  <c:v>83515.180737522111</c:v>
                </c:pt>
                <c:pt idx="14">
                  <c:v>79327.494034124</c:v>
                </c:pt>
                <c:pt idx="15">
                  <c:v>64948.037610020401</c:v>
                </c:pt>
                <c:pt idx="16">
                  <c:v>109960.6060744281</c:v>
                </c:pt>
                <c:pt idx="17">
                  <c:v>96660.175745112996</c:v>
                </c:pt>
                <c:pt idx="18">
                  <c:v>134224.804395154</c:v>
                </c:pt>
                <c:pt idx="19">
                  <c:v>87806.902104116991</c:v>
                </c:pt>
                <c:pt idx="20">
                  <c:v>119703.2300171704</c:v>
                </c:pt>
                <c:pt idx="21">
                  <c:v>150807.93596335102</c:v>
                </c:pt>
                <c:pt idx="22">
                  <c:v>85479.682639404622</c:v>
                </c:pt>
                <c:pt idx="23">
                  <c:v>68794.719316472998</c:v>
                </c:pt>
                <c:pt idx="24">
                  <c:v>36175.2943052638</c:v>
                </c:pt>
                <c:pt idx="25">
                  <c:v>34689.444851884</c:v>
                </c:pt>
                <c:pt idx="26">
                  <c:v>32954.228847394996</c:v>
                </c:pt>
                <c:pt idx="27">
                  <c:v>67763.6382420421</c:v>
                </c:pt>
                <c:pt idx="28">
                  <c:v>35637.736004184</c:v>
                </c:pt>
                <c:pt idx="29">
                  <c:v>71843.865253406009</c:v>
                </c:pt>
                <c:pt idx="30">
                  <c:v>86832.777184421982</c:v>
                </c:pt>
                <c:pt idx="31">
                  <c:v>16763.381963059997</c:v>
                </c:pt>
              </c:numCache>
            </c:numRef>
          </c:yVal>
          <c:smooth val="0"/>
          <c:extLst>
            <c:ext xmlns:c16="http://schemas.microsoft.com/office/drawing/2014/chart" uri="{C3380CC4-5D6E-409C-BE32-E72D297353CC}">
              <c16:uniqueId val="{00000006-4AC7-4F6B-B227-11A41CA2AAFC}"/>
            </c:ext>
          </c:extLst>
        </c:ser>
        <c:ser>
          <c:idx val="7"/>
          <c:order val="7"/>
          <c:tx>
            <c:strRef>
              <c:f>'Shallow-Water Complex'!$I$3</c:f>
              <c:strCache>
                <c:ptCount val="1"/>
                <c:pt idx="0">
                  <c:v>New Wgt ABC/ACL</c:v>
                </c:pt>
              </c:strCache>
            </c:strRef>
          </c:tx>
          <c:spPr>
            <a:ln w="38100">
              <a:solidFill>
                <a:schemeClr val="tx1"/>
              </a:solidFill>
            </a:ln>
          </c:spPr>
          <c:marker>
            <c:symbol val="none"/>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Complex'!$I$4:$I$35</c:f>
              <c:numCache>
                <c:formatCode>#,##0</c:formatCode>
                <c:ptCount val="32"/>
                <c:pt idx="26">
                  <c:v>113894.05579775</c:v>
                </c:pt>
                <c:pt idx="27">
                  <c:v>113894.05579775</c:v>
                </c:pt>
                <c:pt idx="28">
                  <c:v>113894.05579775</c:v>
                </c:pt>
                <c:pt idx="29">
                  <c:v>143702.96983418232</c:v>
                </c:pt>
                <c:pt idx="30">
                  <c:v>143702.96983418232</c:v>
                </c:pt>
                <c:pt idx="31">
                  <c:v>143702.96983418232</c:v>
                </c:pt>
              </c:numCache>
            </c:numRef>
          </c:yVal>
          <c:smooth val="0"/>
          <c:extLst>
            <c:ext xmlns:c16="http://schemas.microsoft.com/office/drawing/2014/chart" uri="{C3380CC4-5D6E-409C-BE32-E72D297353CC}">
              <c16:uniqueId val="{00000007-4AC7-4F6B-B227-11A41CA2AAFC}"/>
            </c:ext>
          </c:extLst>
        </c:ser>
        <c:dLbls>
          <c:showLegendKey val="0"/>
          <c:showVal val="0"/>
          <c:showCatName val="0"/>
          <c:showSerName val="0"/>
          <c:showPercent val="0"/>
          <c:showBubbleSize val="0"/>
        </c:dLbls>
        <c:axId val="343535552"/>
        <c:axId val="343536128"/>
      </c:scatterChart>
      <c:valAx>
        <c:axId val="343535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6128"/>
        <c:crosses val="autoZero"/>
        <c:crossBetween val="midCat"/>
      </c:valAx>
      <c:valAx>
        <c:axId val="343536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5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3"/>
          <c:order val="1"/>
          <c:tx>
            <c:strRef>
              <c:f>'Shallow-Water Complex'!$AF$3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Complex'!$AF$4:$AF$35</c:f>
              <c:numCache>
                <c:formatCode>#,##0</c:formatCode>
                <c:ptCount val="32"/>
                <c:pt idx="0">
                  <c:v>1226.1672150899999</c:v>
                </c:pt>
                <c:pt idx="1">
                  <c:v>6105.5810914000003</c:v>
                </c:pt>
                <c:pt idx="2">
                  <c:v>5504.06805403</c:v>
                </c:pt>
                <c:pt idx="3">
                  <c:v>1215.4147305500001</c:v>
                </c:pt>
                <c:pt idx="4">
                  <c:v>5659.3813449999998</c:v>
                </c:pt>
                <c:pt idx="5">
                  <c:v>4836.1840379100004</c:v>
                </c:pt>
                <c:pt idx="6">
                  <c:v>7342.1519558939999</c:v>
                </c:pt>
                <c:pt idx="7">
                  <c:v>42243.969967459998</c:v>
                </c:pt>
                <c:pt idx="8">
                  <c:v>7633.7022536099994</c:v>
                </c:pt>
                <c:pt idx="9">
                  <c:v>14133.845387829999</c:v>
                </c:pt>
                <c:pt idx="10">
                  <c:v>11901.081966059999</c:v>
                </c:pt>
                <c:pt idx="11">
                  <c:v>2931.2789335299999</c:v>
                </c:pt>
                <c:pt idx="12">
                  <c:v>13261.2718147</c:v>
                </c:pt>
                <c:pt idx="13">
                  <c:v>9306.4665471930002</c:v>
                </c:pt>
                <c:pt idx="14">
                  <c:v>8149.2260850139992</c:v>
                </c:pt>
                <c:pt idx="15">
                  <c:v>12764.48726503</c:v>
                </c:pt>
                <c:pt idx="16">
                  <c:v>20133.232279600998</c:v>
                </c:pt>
                <c:pt idx="17">
                  <c:v>2999.5876868509999</c:v>
                </c:pt>
                <c:pt idx="18">
                  <c:v>11080.425172043002</c:v>
                </c:pt>
                <c:pt idx="19">
                  <c:v>3939.4632202189996</c:v>
                </c:pt>
                <c:pt idx="20">
                  <c:v>2152.5670843754001</c:v>
                </c:pt>
                <c:pt idx="21">
                  <c:v>18272.485927494999</c:v>
                </c:pt>
                <c:pt idx="22">
                  <c:v>13387.973307541301</c:v>
                </c:pt>
                <c:pt idx="23">
                  <c:v>2011.770235215</c:v>
                </c:pt>
                <c:pt idx="24">
                  <c:v>424.38329539999995</c:v>
                </c:pt>
                <c:pt idx="25">
                  <c:v>253.15201340000002</c:v>
                </c:pt>
                <c:pt idx="26">
                  <c:v>743.59391791199994</c:v>
                </c:pt>
                <c:pt idx="27">
                  <c:v>8910.5623872000015</c:v>
                </c:pt>
                <c:pt idx="28">
                  <c:v>1540.2977444160001</c:v>
                </c:pt>
                <c:pt idx="29">
                  <c:v>2108.36848861</c:v>
                </c:pt>
                <c:pt idx="30">
                  <c:v>2064.3960101000002</c:v>
                </c:pt>
                <c:pt idx="31">
                  <c:v>161.63686279999999</c:v>
                </c:pt>
              </c:numCache>
            </c:numRef>
          </c:yVal>
          <c:smooth val="0"/>
          <c:extLst>
            <c:ext xmlns:c16="http://schemas.microsoft.com/office/drawing/2014/chart" uri="{C3380CC4-5D6E-409C-BE32-E72D297353CC}">
              <c16:uniqueId val="{00000001-7014-43F8-BA45-D1B6CEC96B31}"/>
            </c:ext>
          </c:extLst>
        </c:ser>
        <c:ser>
          <c:idx val="5"/>
          <c:order val="3"/>
          <c:tx>
            <c:strRef>
              <c:f>'Shallow-Water Complex'!$AO$3</c:f>
              <c:strCache>
                <c:ptCount val="1"/>
                <c:pt idx="0">
                  <c:v>Orig FES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Complex'!$AO$4:$AO$35</c:f>
              <c:numCache>
                <c:formatCode>#,##0</c:formatCode>
                <c:ptCount val="32"/>
                <c:pt idx="0">
                  <c:v>1226.1672150899999</c:v>
                </c:pt>
                <c:pt idx="1">
                  <c:v>6105.5810914000003</c:v>
                </c:pt>
                <c:pt idx="2">
                  <c:v>5504.0680540299973</c:v>
                </c:pt>
                <c:pt idx="3">
                  <c:v>1215.4147305499996</c:v>
                </c:pt>
                <c:pt idx="4">
                  <c:v>5659.3813449999989</c:v>
                </c:pt>
                <c:pt idx="5">
                  <c:v>4836.1840379100013</c:v>
                </c:pt>
                <c:pt idx="6">
                  <c:v>7342.1519558939999</c:v>
                </c:pt>
                <c:pt idx="7">
                  <c:v>43744.609952299987</c:v>
                </c:pt>
                <c:pt idx="8">
                  <c:v>11407.118573589998</c:v>
                </c:pt>
                <c:pt idx="9">
                  <c:v>20948.613003400005</c:v>
                </c:pt>
                <c:pt idx="10">
                  <c:v>11901.081966060003</c:v>
                </c:pt>
                <c:pt idx="11">
                  <c:v>2931.2789335300004</c:v>
                </c:pt>
                <c:pt idx="12">
                  <c:v>13261.271814700005</c:v>
                </c:pt>
                <c:pt idx="13">
                  <c:v>9306.4665471929929</c:v>
                </c:pt>
                <c:pt idx="14">
                  <c:v>7884.3872460309976</c:v>
                </c:pt>
                <c:pt idx="15">
                  <c:v>12764.487265029995</c:v>
                </c:pt>
                <c:pt idx="16">
                  <c:v>20133.232279600987</c:v>
                </c:pt>
                <c:pt idx="17">
                  <c:v>2999.5876868510004</c:v>
                </c:pt>
                <c:pt idx="18">
                  <c:v>9629.3547051950009</c:v>
                </c:pt>
                <c:pt idx="19">
                  <c:v>3939.4632202189987</c:v>
                </c:pt>
                <c:pt idx="20">
                  <c:v>2152.5670843753996</c:v>
                </c:pt>
                <c:pt idx="21">
                  <c:v>18272.485927495003</c:v>
                </c:pt>
                <c:pt idx="22">
                  <c:v>13387.973307541299</c:v>
                </c:pt>
                <c:pt idx="23">
                  <c:v>2011.7702352150002</c:v>
                </c:pt>
                <c:pt idx="24">
                  <c:v>424.38329539999995</c:v>
                </c:pt>
                <c:pt idx="25">
                  <c:v>253.15201340000002</c:v>
                </c:pt>
                <c:pt idx="26">
                  <c:v>743.59391791199994</c:v>
                </c:pt>
                <c:pt idx="27">
                  <c:v>8910.562387199996</c:v>
                </c:pt>
                <c:pt idx="28">
                  <c:v>1540.2977444160001</c:v>
                </c:pt>
                <c:pt idx="29">
                  <c:v>2108.36848861</c:v>
                </c:pt>
                <c:pt idx="30">
                  <c:v>2064.3960101000002</c:v>
                </c:pt>
                <c:pt idx="31">
                  <c:v>161.63686279999999</c:v>
                </c:pt>
              </c:numCache>
            </c:numRef>
          </c:yVal>
          <c:smooth val="0"/>
          <c:extLst>
            <c:ext xmlns:c16="http://schemas.microsoft.com/office/drawing/2014/chart" uri="{C3380CC4-5D6E-409C-BE32-E72D297353CC}">
              <c16:uniqueId val="{00000003-7014-43F8-BA45-D1B6CEC96B31}"/>
            </c:ext>
          </c:extLst>
        </c:ser>
        <c:ser>
          <c:idx val="6"/>
          <c:order val="4"/>
          <c:tx>
            <c:strRef>
              <c:f>'Shallow-Water Complex'!$U$102</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Complex'!$O$103:$O$134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Complex'!$U$103:$U$134</c:f>
              <c:numCache>
                <c:formatCode>#,##0</c:formatCode>
                <c:ptCount val="32"/>
                <c:pt idx="0">
                  <c:v>2463.5518693411568</c:v>
                </c:pt>
                <c:pt idx="1">
                  <c:v>3943.487037134274</c:v>
                </c:pt>
                <c:pt idx="3">
                  <c:v>1054.8276879501302</c:v>
                </c:pt>
                <c:pt idx="4">
                  <c:v>15172.215109985382</c:v>
                </c:pt>
                <c:pt idx="5">
                  <c:v>3532.6739232065456</c:v>
                </c:pt>
                <c:pt idx="6">
                  <c:v>7772.3169145446564</c:v>
                </c:pt>
                <c:pt idx="7">
                  <c:v>30376.351593070161</c:v>
                </c:pt>
                <c:pt idx="8">
                  <c:v>4974.704546498343</c:v>
                </c:pt>
                <c:pt idx="9">
                  <c:v>14233.487975806533</c:v>
                </c:pt>
                <c:pt idx="10">
                  <c:v>13213.230006051233</c:v>
                </c:pt>
                <c:pt idx="11">
                  <c:v>2757.4532515456613</c:v>
                </c:pt>
                <c:pt idx="12">
                  <c:v>6743.9687571340164</c:v>
                </c:pt>
                <c:pt idx="13">
                  <c:v>7083.4482737572343</c:v>
                </c:pt>
                <c:pt idx="14">
                  <c:v>11469.342484952911</c:v>
                </c:pt>
                <c:pt idx="15">
                  <c:v>9468.4697830116656</c:v>
                </c:pt>
                <c:pt idx="16">
                  <c:v>14377.449964112686</c:v>
                </c:pt>
                <c:pt idx="17">
                  <c:v>2491.7250295495282</c:v>
                </c:pt>
                <c:pt idx="18">
                  <c:v>10604.879187813236</c:v>
                </c:pt>
                <c:pt idx="19">
                  <c:v>3117.4469080516683</c:v>
                </c:pt>
                <c:pt idx="20">
                  <c:v>5017.0137827833942</c:v>
                </c:pt>
                <c:pt idx="21">
                  <c:v>23817.048240040367</c:v>
                </c:pt>
                <c:pt idx="22">
                  <c:v>17296.034559421736</c:v>
                </c:pt>
                <c:pt idx="23">
                  <c:v>2967.1755626224926</c:v>
                </c:pt>
                <c:pt idx="24">
                  <c:v>424.38329539999995</c:v>
                </c:pt>
                <c:pt idx="25">
                  <c:v>253.15201340000002</c:v>
                </c:pt>
                <c:pt idx="26">
                  <c:v>617.16648657239307</c:v>
                </c:pt>
                <c:pt idx="27">
                  <c:v>5962.6910247249771</c:v>
                </c:pt>
                <c:pt idx="28">
                  <c:v>1016.2451672423186</c:v>
                </c:pt>
                <c:pt idx="29">
                  <c:v>1957.0818192127367</c:v>
                </c:pt>
                <c:pt idx="30">
                  <c:v>2973.0602983585741</c:v>
                </c:pt>
                <c:pt idx="31">
                  <c:v>161.63686279999999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0D09-4CF3-8F34-2C4DF7C207E3}"/>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Complex'!$B$3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Complex'!$B$4:$B$35</c15:sqref>
                        </c15:formulaRef>
                      </c:ext>
                    </c:extLst>
                    <c:numCache>
                      <c:formatCode>#,##0</c:formatCode>
                      <c:ptCount val="32"/>
                      <c:pt idx="0">
                        <c:v>4547.1672150899994</c:v>
                      </c:pt>
                      <c:pt idx="1">
                        <c:v>17088.581091399999</c:v>
                      </c:pt>
                      <c:pt idx="2">
                        <c:v>10082.06805403</c:v>
                      </c:pt>
                      <c:pt idx="3">
                        <c:v>13090.414730550001</c:v>
                      </c:pt>
                      <c:pt idx="4">
                        <c:v>35202.381345000002</c:v>
                      </c:pt>
                      <c:pt idx="5">
                        <c:v>20485.184037909999</c:v>
                      </c:pt>
                      <c:pt idx="6">
                        <c:v>25912.151955893998</c:v>
                      </c:pt>
                      <c:pt idx="7">
                        <c:v>72935.969967459998</c:v>
                      </c:pt>
                      <c:pt idx="8">
                        <c:v>34322.702253609998</c:v>
                      </c:pt>
                      <c:pt idx="9">
                        <c:v>47663.845387829999</c:v>
                      </c:pt>
                      <c:pt idx="10">
                        <c:v>42386.081966059995</c:v>
                      </c:pt>
                      <c:pt idx="11">
                        <c:v>29380.27893353</c:v>
                      </c:pt>
                      <c:pt idx="12">
                        <c:v>43100.271814699998</c:v>
                      </c:pt>
                      <c:pt idx="13">
                        <c:v>29847.466547192998</c:v>
                      </c:pt>
                      <c:pt idx="14">
                        <c:v>26858.226085014001</c:v>
                      </c:pt>
                      <c:pt idx="15">
                        <c:v>27066.487265030002</c:v>
                      </c:pt>
                      <c:pt idx="16">
                        <c:v>37689.232279600998</c:v>
                      </c:pt>
                      <c:pt idx="17">
                        <c:v>21463.587686850999</c:v>
                      </c:pt>
                      <c:pt idx="18">
                        <c:v>27827.425172043004</c:v>
                      </c:pt>
                      <c:pt idx="19">
                        <c:v>18216.463220219001</c:v>
                      </c:pt>
                      <c:pt idx="20">
                        <c:v>18998.567084375401</c:v>
                      </c:pt>
                      <c:pt idx="21">
                        <c:v>34234.485927494999</c:v>
                      </c:pt>
                      <c:pt idx="22">
                        <c:v>29315.973307541302</c:v>
                      </c:pt>
                      <c:pt idx="23">
                        <c:v>15827.770235215001</c:v>
                      </c:pt>
                      <c:pt idx="24">
                        <c:v>8881.383295399999</c:v>
                      </c:pt>
                      <c:pt idx="25">
                        <c:v>5513.1520134000002</c:v>
                      </c:pt>
                      <c:pt idx="26">
                        <c:v>6636.5939179119996</c:v>
                      </c:pt>
                      <c:pt idx="27">
                        <c:v>14408.562387200001</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ABF7-4933-A57A-49D9AB57076E}"/>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Complex'!$L$3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Complex'!$L$4:$L$35</c15:sqref>
                        </c15:formulaRef>
                      </c:ext>
                    </c:extLst>
                    <c:numCache>
                      <c:formatCode>#,##0</c:formatCode>
                      <c:ptCount val="32"/>
                      <c:pt idx="0">
                        <c:v>4547.1672150899994</c:v>
                      </c:pt>
                      <c:pt idx="1">
                        <c:v>17088.581091399999</c:v>
                      </c:pt>
                      <c:pt idx="2">
                        <c:v>10082.068054029998</c:v>
                      </c:pt>
                      <c:pt idx="3">
                        <c:v>13090.414730549999</c:v>
                      </c:pt>
                      <c:pt idx="4">
                        <c:v>35202.381345000002</c:v>
                      </c:pt>
                      <c:pt idx="5">
                        <c:v>20485.184037910003</c:v>
                      </c:pt>
                      <c:pt idx="6">
                        <c:v>25912.151955893998</c:v>
                      </c:pt>
                      <c:pt idx="7">
                        <c:v>74436.609952299987</c:v>
                      </c:pt>
                      <c:pt idx="8">
                        <c:v>38096.11857359</c:v>
                      </c:pt>
                      <c:pt idx="9">
                        <c:v>54478.613003400009</c:v>
                      </c:pt>
                      <c:pt idx="10">
                        <c:v>42386.081966060003</c:v>
                      </c:pt>
                      <c:pt idx="11">
                        <c:v>29380.27893353</c:v>
                      </c:pt>
                      <c:pt idx="12">
                        <c:v>43100.271814700005</c:v>
                      </c:pt>
                      <c:pt idx="13">
                        <c:v>29847.466547192991</c:v>
                      </c:pt>
                      <c:pt idx="14">
                        <c:v>26593.387246030998</c:v>
                      </c:pt>
                      <c:pt idx="15">
                        <c:v>27066.487265029995</c:v>
                      </c:pt>
                      <c:pt idx="16">
                        <c:v>37689.232279600983</c:v>
                      </c:pt>
                      <c:pt idx="17">
                        <c:v>21463.587686851002</c:v>
                      </c:pt>
                      <c:pt idx="18">
                        <c:v>26376.354705195001</c:v>
                      </c:pt>
                      <c:pt idx="19">
                        <c:v>18216.463220218997</c:v>
                      </c:pt>
                      <c:pt idx="20">
                        <c:v>18998.567084375398</c:v>
                      </c:pt>
                      <c:pt idx="21">
                        <c:v>34234.485927494999</c:v>
                      </c:pt>
                      <c:pt idx="22">
                        <c:v>29315.973307541299</c:v>
                      </c:pt>
                      <c:pt idx="23">
                        <c:v>15827.770235215001</c:v>
                      </c:pt>
                      <c:pt idx="24">
                        <c:v>8881.383295399999</c:v>
                      </c:pt>
                      <c:pt idx="25">
                        <c:v>5513.1520134000002</c:v>
                      </c:pt>
                      <c:pt idx="26">
                        <c:v>6636.5939179119996</c:v>
                      </c:pt>
                      <c:pt idx="27">
                        <c:v>14408.562387199996</c:v>
                      </c:pt>
                      <c:pt idx="28">
                        <c:v>5578.2977444160006</c:v>
                      </c:pt>
                      <c:pt idx="29">
                        <c:v>6379.36848861</c:v>
                      </c:pt>
                      <c:pt idx="30">
                        <c:v>5862.3960101000002</c:v>
                      </c:pt>
                      <c:pt idx="31">
                        <c:v>3158.6368628</c:v>
                      </c:pt>
                    </c:numCache>
                  </c:numRef>
                </c:yVal>
                <c:smooth val="0"/>
                <c:extLst xmlns:c15="http://schemas.microsoft.com/office/drawing/2012/chart">
                  <c:ext xmlns:c16="http://schemas.microsoft.com/office/drawing/2014/chart" uri="{C3380CC4-5D6E-409C-BE32-E72D297353CC}">
                    <c16:uniqueId val="{00000000-7014-43F8-BA45-D1B6CEC96B31}"/>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Complex'!$B$41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Complex'!$B$42:$B$47</c15:sqref>
                        </c15:formulaRef>
                      </c:ext>
                    </c:extLst>
                    <c:numCache>
                      <c:formatCode>#,##0</c:formatCode>
                      <c:ptCount val="6"/>
                      <c:pt idx="0">
                        <c:v>29847.466547192998</c:v>
                      </c:pt>
                      <c:pt idx="1">
                        <c:v>29847.466547192998</c:v>
                      </c:pt>
                      <c:pt idx="2">
                        <c:v>29847.466547192998</c:v>
                      </c:pt>
                      <c:pt idx="3">
                        <c:v>45227.078735521201</c:v>
                      </c:pt>
                      <c:pt idx="4">
                        <c:v>45227.078735521201</c:v>
                      </c:pt>
                      <c:pt idx="5">
                        <c:v>45227.078735521201</c:v>
                      </c:pt>
                    </c:numCache>
                  </c:numRef>
                </c:yVal>
                <c:smooth val="0"/>
                <c:extLst xmlns:c15="http://schemas.microsoft.com/office/drawing/2012/chart">
                  <c:ext xmlns:c16="http://schemas.microsoft.com/office/drawing/2014/chart" uri="{C3380CC4-5D6E-409C-BE32-E72D297353CC}">
                    <c16:uniqueId val="{00000001-ABF7-4933-A57A-49D9AB57076E}"/>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Complex'!$L$41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Complex'!$L$42:$L$47</c15:sqref>
                        </c15:formulaRef>
                      </c:ext>
                    </c:extLst>
                    <c:numCache>
                      <c:formatCode>#,##0</c:formatCode>
                      <c:ptCount val="6"/>
                      <c:pt idx="0">
                        <c:v>29847.466547192991</c:v>
                      </c:pt>
                      <c:pt idx="1">
                        <c:v>29847.466547192991</c:v>
                      </c:pt>
                      <c:pt idx="2">
                        <c:v>29847.466547192991</c:v>
                      </c:pt>
                      <c:pt idx="3">
                        <c:v>45227.07873552118</c:v>
                      </c:pt>
                      <c:pt idx="4">
                        <c:v>45227.07873552118</c:v>
                      </c:pt>
                      <c:pt idx="5">
                        <c:v>45227.07873552118</c:v>
                      </c:pt>
                    </c:numCache>
                  </c:numRef>
                </c:yVal>
                <c:smooth val="0"/>
                <c:extLst xmlns:c15="http://schemas.microsoft.com/office/drawing/2012/chart">
                  <c:ext xmlns:c16="http://schemas.microsoft.com/office/drawing/2014/chart" uri="{C3380CC4-5D6E-409C-BE32-E72D297353CC}">
                    <c16:uniqueId val="{00000002-7014-43F8-BA45-D1B6CEC96B31}"/>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4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Shallow-Water Complex Landings</a:t>
            </a:r>
          </a:p>
        </c:rich>
      </c:tx>
      <c:overlay val="0"/>
    </c:title>
    <c:autoTitleDeleted val="0"/>
    <c:plotArea>
      <c:layout/>
      <c:scatterChart>
        <c:scatterStyle val="lineMarker"/>
        <c:varyColors val="0"/>
        <c:ser>
          <c:idx val="0"/>
          <c:order val="0"/>
          <c:tx>
            <c:strRef>
              <c:f>'Shallow-Water Complex'!$B$2</c:f>
              <c:strCache>
                <c:ptCount val="1"/>
                <c:pt idx="0">
                  <c:v>Red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4547.1672150899994</c:v>
                </c:pt>
                <c:pt idx="1">
                  <c:v>17088.581091399999</c:v>
                </c:pt>
                <c:pt idx="2">
                  <c:v>10082.06805403</c:v>
                </c:pt>
                <c:pt idx="3">
                  <c:v>13090.414730550001</c:v>
                </c:pt>
                <c:pt idx="4">
                  <c:v>35202.381345000002</c:v>
                </c:pt>
                <c:pt idx="5">
                  <c:v>20485.184037909999</c:v>
                </c:pt>
                <c:pt idx="6">
                  <c:v>25912.151955893998</c:v>
                </c:pt>
                <c:pt idx="7">
                  <c:v>72935.969967459998</c:v>
                </c:pt>
                <c:pt idx="8">
                  <c:v>34322.702253609998</c:v>
                </c:pt>
                <c:pt idx="9">
                  <c:v>47663.845387829999</c:v>
                </c:pt>
                <c:pt idx="10">
                  <c:v>42386.081966059995</c:v>
                </c:pt>
                <c:pt idx="11">
                  <c:v>29380.27893353</c:v>
                </c:pt>
                <c:pt idx="12">
                  <c:v>43100.271814699998</c:v>
                </c:pt>
                <c:pt idx="13">
                  <c:v>29847.466547192998</c:v>
                </c:pt>
                <c:pt idx="14">
                  <c:v>26858.226085014001</c:v>
                </c:pt>
                <c:pt idx="15">
                  <c:v>27066.487265030002</c:v>
                </c:pt>
                <c:pt idx="16">
                  <c:v>37689.232279600998</c:v>
                </c:pt>
                <c:pt idx="17">
                  <c:v>21463.587686850999</c:v>
                </c:pt>
                <c:pt idx="18">
                  <c:v>27827.425172043004</c:v>
                </c:pt>
                <c:pt idx="19">
                  <c:v>18216.463220219001</c:v>
                </c:pt>
                <c:pt idx="20">
                  <c:v>18998.567084375401</c:v>
                </c:pt>
                <c:pt idx="21">
                  <c:v>34234.485927494999</c:v>
                </c:pt>
                <c:pt idx="22">
                  <c:v>29315.973307541302</c:v>
                </c:pt>
                <c:pt idx="23">
                  <c:v>15827.770235215001</c:v>
                </c:pt>
                <c:pt idx="24">
                  <c:v>8881.383295399999</c:v>
                </c:pt>
                <c:pt idx="25">
                  <c:v>5513.1520134000002</c:v>
                </c:pt>
                <c:pt idx="26">
                  <c:v>6636.5939179119996</c:v>
                </c:pt>
                <c:pt idx="27">
                  <c:v>14408.562387200001</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D58B-44B9-89B6-E6106144621D}"/>
            </c:ext>
          </c:extLst>
        </c:ser>
        <c:ser>
          <c:idx val="1"/>
          <c:order val="1"/>
          <c:tx>
            <c:strRef>
              <c:f>'Shallow-Water Complex'!$C$2</c:f>
              <c:strCache>
                <c:ptCount val="1"/>
                <c:pt idx="0">
                  <c:v>Rock Hind</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4986.2366442000039</c:v>
                </c:pt>
                <c:pt idx="1">
                  <c:v>7187.4926993999989</c:v>
                </c:pt>
                <c:pt idx="2">
                  <c:v>6367.3870145600013</c:v>
                </c:pt>
                <c:pt idx="3">
                  <c:v>4368.6049134000004</c:v>
                </c:pt>
                <c:pt idx="4">
                  <c:v>15271.106924689999</c:v>
                </c:pt>
                <c:pt idx="5">
                  <c:v>5366.4618487000007</c:v>
                </c:pt>
                <c:pt idx="6">
                  <c:v>15634.369321065004</c:v>
                </c:pt>
                <c:pt idx="7">
                  <c:v>45198.543220900006</c:v>
                </c:pt>
                <c:pt idx="8">
                  <c:v>25359.727649449997</c:v>
                </c:pt>
                <c:pt idx="9">
                  <c:v>23040.589364990003</c:v>
                </c:pt>
                <c:pt idx="10">
                  <c:v>32896.375820889996</c:v>
                </c:pt>
                <c:pt idx="11">
                  <c:v>41657.400747359992</c:v>
                </c:pt>
                <c:pt idx="12">
                  <c:v>46734.187033804003</c:v>
                </c:pt>
                <c:pt idx="13">
                  <c:v>35414.911989740001</c:v>
                </c:pt>
                <c:pt idx="14">
                  <c:v>33742.763998399998</c:v>
                </c:pt>
                <c:pt idx="15">
                  <c:v>21577.34174996</c:v>
                </c:pt>
                <c:pt idx="16">
                  <c:v>31103.618987396101</c:v>
                </c:pt>
                <c:pt idx="17">
                  <c:v>25169.037930120001</c:v>
                </c:pt>
                <c:pt idx="18">
                  <c:v>61248.484858190997</c:v>
                </c:pt>
                <c:pt idx="19">
                  <c:v>36823.24372767</c:v>
                </c:pt>
                <c:pt idx="20">
                  <c:v>39163.122402813002</c:v>
                </c:pt>
                <c:pt idx="21">
                  <c:v>52275.274512941003</c:v>
                </c:pt>
                <c:pt idx="22">
                  <c:v>32663.211482840001</c:v>
                </c:pt>
                <c:pt idx="23">
                  <c:v>35659.735612299999</c:v>
                </c:pt>
                <c:pt idx="24">
                  <c:v>19794.975547222799</c:v>
                </c:pt>
                <c:pt idx="25">
                  <c:v>14521.967291084</c:v>
                </c:pt>
                <c:pt idx="26">
                  <c:v>11080.178387529999</c:v>
                </c:pt>
                <c:pt idx="27">
                  <c:v>13896.363351386099</c:v>
                </c:pt>
                <c:pt idx="28">
                  <c:v>13498.608350120001</c:v>
                </c:pt>
                <c:pt idx="29">
                  <c:v>34589.832284400007</c:v>
                </c:pt>
                <c:pt idx="30">
                  <c:v>34029.964315610996</c:v>
                </c:pt>
                <c:pt idx="31">
                  <c:v>4262.1661103999995</c:v>
                </c:pt>
              </c:numCache>
            </c:numRef>
          </c:yVal>
          <c:smooth val="0"/>
          <c:extLst>
            <c:ext xmlns:c16="http://schemas.microsoft.com/office/drawing/2014/chart" uri="{C3380CC4-5D6E-409C-BE32-E72D297353CC}">
              <c16:uniqueId val="{00000001-D58B-44B9-89B6-E6106144621D}"/>
            </c:ext>
          </c:extLst>
        </c:ser>
        <c:ser>
          <c:idx val="2"/>
          <c:order val="2"/>
          <c:tx>
            <c:strRef>
              <c:f>'Shallow-Water Complex'!$D$2</c:f>
              <c:strCache>
                <c:ptCount val="1"/>
                <c:pt idx="0">
                  <c:v>Yellowmouth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2-D58B-44B9-89B6-E6106144621D}"/>
            </c:ext>
          </c:extLst>
        </c:ser>
        <c:ser>
          <c:idx val="3"/>
          <c:order val="3"/>
          <c:tx>
            <c:strRef>
              <c:f>'Shallow-Water Complex'!$E$2</c:f>
              <c:strCache>
                <c:ptCount val="1"/>
                <c:pt idx="0">
                  <c:v>Yellowfin Grouper</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0">
                  <c:v>27322.966739</c:v>
                </c:pt>
                <c:pt idx="1">
                  <c:v>4467.4536500000004</c:v>
                </c:pt>
                <c:pt idx="2">
                  <c:v>36496.9156754</c:v>
                </c:pt>
                <c:pt idx="3">
                  <c:v>22999.332126000001</c:v>
                </c:pt>
                <c:pt idx="4">
                  <c:v>4434.4715679999999</c:v>
                </c:pt>
                <c:pt idx="5">
                  <c:v>3264.2401359999999</c:v>
                </c:pt>
                <c:pt idx="6">
                  <c:v>11286.487502</c:v>
                </c:pt>
                <c:pt idx="7">
                  <c:v>13469.8777593</c:v>
                </c:pt>
                <c:pt idx="8">
                  <c:v>4446.8626420000001</c:v>
                </c:pt>
                <c:pt idx="9">
                  <c:v>5358.5467980000003</c:v>
                </c:pt>
                <c:pt idx="10">
                  <c:v>14845.251355100001</c:v>
                </c:pt>
                <c:pt idx="11">
                  <c:v>4125.873106</c:v>
                </c:pt>
                <c:pt idx="12">
                  <c:v>1627.2305219999998</c:v>
                </c:pt>
                <c:pt idx="13">
                  <c:v>3832.0972320000001</c:v>
                </c:pt>
                <c:pt idx="14">
                  <c:v>2906.0016700000001</c:v>
                </c:pt>
                <c:pt idx="15">
                  <c:v>4590.2788061000001</c:v>
                </c:pt>
                <c:pt idx="16">
                  <c:v>7338.9599729000001</c:v>
                </c:pt>
                <c:pt idx="17">
                  <c:v>2223.42193</c:v>
                </c:pt>
                <c:pt idx="18">
                  <c:v>9259.4716719999997</c:v>
                </c:pt>
                <c:pt idx="19">
                  <c:v>3777.0417080000002</c:v>
                </c:pt>
                <c:pt idx="20">
                  <c:v>40720.880957200003</c:v>
                </c:pt>
                <c:pt idx="21">
                  <c:v>10625.0090814</c:v>
                </c:pt>
                <c:pt idx="22">
                  <c:v>4205.7486058000004</c:v>
                </c:pt>
                <c:pt idx="23">
                  <c:v>3284.1457632000001</c:v>
                </c:pt>
                <c:pt idx="24">
                  <c:v>3774.353556</c:v>
                </c:pt>
                <c:pt idx="25">
                  <c:v>5241.7739116000002</c:v>
                </c:pt>
                <c:pt idx="26">
                  <c:v>8795.035455199999</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3-D58B-44B9-89B6-E6106144621D}"/>
            </c:ext>
          </c:extLst>
        </c:ser>
        <c:ser>
          <c:idx val="4"/>
          <c:order val="4"/>
          <c:tx>
            <c:strRef>
              <c:f>'Shallow-Water Complex'!$F$2</c:f>
              <c:strCache>
                <c:ptCount val="1"/>
                <c:pt idx="0">
                  <c:v>Coney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0">
                  <c:v>113.15991339999998</c:v>
                </c:pt>
                <c:pt idx="1">
                  <c:v>287.32811760000004</c:v>
                </c:pt>
                <c:pt idx="2">
                  <c:v>308.2008754000002</c:v>
                </c:pt>
                <c:pt idx="3">
                  <c:v>1657.7203102000003</c:v>
                </c:pt>
                <c:pt idx="4">
                  <c:v>2756.6716761000002</c:v>
                </c:pt>
                <c:pt idx="5">
                  <c:v>411.2681300000001</c:v>
                </c:pt>
                <c:pt idx="6">
                  <c:v>886.22883800000011</c:v>
                </c:pt>
                <c:pt idx="7">
                  <c:v>8344.9302663099988</c:v>
                </c:pt>
                <c:pt idx="8">
                  <c:v>725.598487707</c:v>
                </c:pt>
                <c:pt idx="9">
                  <c:v>101.27932399999999</c:v>
                </c:pt>
                <c:pt idx="10">
                  <c:v>30677.865244799999</c:v>
                </c:pt>
                <c:pt idx="11">
                  <c:v>308.53867400000001</c:v>
                </c:pt>
                <c:pt idx="12">
                  <c:v>660.45265436999989</c:v>
                </c:pt>
                <c:pt idx="13">
                  <c:v>747.11873173219999</c:v>
                </c:pt>
                <c:pt idx="14">
                  <c:v>2908.8264222100001</c:v>
                </c:pt>
                <c:pt idx="15">
                  <c:v>59.752097592400006</c:v>
                </c:pt>
                <c:pt idx="16">
                  <c:v>22.931328000000001</c:v>
                </c:pt>
                <c:pt idx="17">
                  <c:v>2969.9227074789997</c:v>
                </c:pt>
                <c:pt idx="18">
                  <c:v>4196.9052978700001</c:v>
                </c:pt>
                <c:pt idx="19">
                  <c:v>3931.4777806940001</c:v>
                </c:pt>
                <c:pt idx="20">
                  <c:v>4170.3292135869997</c:v>
                </c:pt>
                <c:pt idx="21">
                  <c:v>2613.1527339719996</c:v>
                </c:pt>
                <c:pt idx="22">
                  <c:v>2826.2233179999998</c:v>
                </c:pt>
                <c:pt idx="23">
                  <c:v>5450.1429379299998</c:v>
                </c:pt>
                <c:pt idx="24">
                  <c:v>901.31759863600007</c:v>
                </c:pt>
                <c:pt idx="25">
                  <c:v>164.61564240000001</c:v>
                </c:pt>
                <c:pt idx="26">
                  <c:v>23.788489599999998</c:v>
                </c:pt>
                <c:pt idx="27">
                  <c:v>631.04311364</c:v>
                </c:pt>
                <c:pt idx="28">
                  <c:v>316.40338513899997</c:v>
                </c:pt>
                <c:pt idx="29">
                  <c:v>510.25789979999996</c:v>
                </c:pt>
                <c:pt idx="30">
                  <c:v>434.65240534099996</c:v>
                </c:pt>
                <c:pt idx="31">
                  <c:v>1763.2019935999999</c:v>
                </c:pt>
              </c:numCache>
            </c:numRef>
          </c:yVal>
          <c:smooth val="0"/>
          <c:extLst>
            <c:ext xmlns:c16="http://schemas.microsoft.com/office/drawing/2014/chart" uri="{C3380CC4-5D6E-409C-BE32-E72D297353CC}">
              <c16:uniqueId val="{00000004-D58B-44B9-89B6-E6106144621D}"/>
            </c:ext>
          </c:extLst>
        </c:ser>
        <c:ser>
          <c:idx val="5"/>
          <c:order val="5"/>
          <c:tx>
            <c:strRef>
              <c:f>'Shallow-Water Complex'!$G$2</c:f>
              <c:strCache>
                <c:ptCount val="1"/>
                <c:pt idx="0">
                  <c:v>Graysby</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0">
                  <c:v>676.11113720000003</c:v>
                </c:pt>
                <c:pt idx="1">
                  <c:v>361.97633420000005</c:v>
                </c:pt>
                <c:pt idx="2">
                  <c:v>1991.0681488</c:v>
                </c:pt>
                <c:pt idx="3">
                  <c:v>524.18774199999996</c:v>
                </c:pt>
                <c:pt idx="4">
                  <c:v>912.285526</c:v>
                </c:pt>
                <c:pt idx="5">
                  <c:v>7494.3645420000003</c:v>
                </c:pt>
                <c:pt idx="6">
                  <c:v>13592.363151022999</c:v>
                </c:pt>
                <c:pt idx="7">
                  <c:v>21499.686548099999</c:v>
                </c:pt>
                <c:pt idx="8">
                  <c:v>12547.698545830001</c:v>
                </c:pt>
                <c:pt idx="9">
                  <c:v>4601.6044720000009</c:v>
                </c:pt>
                <c:pt idx="10">
                  <c:v>11875.9967726</c:v>
                </c:pt>
                <c:pt idx="11">
                  <c:v>9053.1256254899999</c:v>
                </c:pt>
                <c:pt idx="12">
                  <c:v>9870.7833929000008</c:v>
                </c:pt>
                <c:pt idx="13">
                  <c:v>11530.033445056901</c:v>
                </c:pt>
                <c:pt idx="14">
                  <c:v>4705.8883740000019</c:v>
                </c:pt>
                <c:pt idx="15">
                  <c:v>11341.974611337999</c:v>
                </c:pt>
                <c:pt idx="16">
                  <c:v>33540.473758530999</c:v>
                </c:pt>
                <c:pt idx="17">
                  <c:v>42108.285571262997</c:v>
                </c:pt>
                <c:pt idx="18">
                  <c:v>26085.601428940001</c:v>
                </c:pt>
                <c:pt idx="19">
                  <c:v>19616.609300833999</c:v>
                </c:pt>
                <c:pt idx="20">
                  <c:v>15545.540607194998</c:v>
                </c:pt>
                <c:pt idx="21">
                  <c:v>16208.260158342999</c:v>
                </c:pt>
                <c:pt idx="22">
                  <c:v>16127.3420292233</c:v>
                </c:pt>
                <c:pt idx="23">
                  <c:v>8477.6882524280009</c:v>
                </c:pt>
                <c:pt idx="24">
                  <c:v>2451.258477547</c:v>
                </c:pt>
                <c:pt idx="25">
                  <c:v>8891.8687374000001</c:v>
                </c:pt>
                <c:pt idx="26">
                  <c:v>6011.7560889529996</c:v>
                </c:pt>
                <c:pt idx="27">
                  <c:v>36976.674001416002</c:v>
                </c:pt>
                <c:pt idx="28">
                  <c:v>12993.809247708999</c:v>
                </c:pt>
                <c:pt idx="29">
                  <c:v>28495.378682196002</c:v>
                </c:pt>
                <c:pt idx="30">
                  <c:v>45716.671303969997</c:v>
                </c:pt>
                <c:pt idx="31">
                  <c:v>5703.6451702599988</c:v>
                </c:pt>
              </c:numCache>
            </c:numRef>
          </c:yVal>
          <c:smooth val="0"/>
          <c:extLst>
            <c:ext xmlns:c16="http://schemas.microsoft.com/office/drawing/2014/chart" uri="{C3380CC4-5D6E-409C-BE32-E72D297353CC}">
              <c16:uniqueId val="{00000005-D58B-44B9-89B6-E6106144621D}"/>
            </c:ext>
          </c:extLst>
        </c:ser>
        <c:ser>
          <c:idx val="6"/>
          <c:order val="6"/>
          <c:tx>
            <c:strRef>
              <c:f>'Shallow-Water Complex'!$R$3</c:f>
              <c:strCache>
                <c:ptCount val="1"/>
                <c:pt idx="0">
                  <c:v>Total</c:v>
                </c:pt>
              </c:strCache>
            </c:strRef>
          </c:tx>
          <c:spPr>
            <a:ln>
              <a:solidFill>
                <a:schemeClr val="tx2"/>
              </a:solidFill>
            </a:ln>
          </c:spPr>
          <c:marker>
            <c:symbol val="star"/>
            <c:size val="7"/>
            <c:spPr>
              <a:ln>
                <a:solidFill>
                  <a:srgbClr val="FF0000"/>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Complex'!$R$4:$R$35</c:f>
              <c:numCache>
                <c:formatCode>#,##0</c:formatCode>
                <c:ptCount val="32"/>
                <c:pt idx="0">
                  <c:v>37859.307071690004</c:v>
                </c:pt>
                <c:pt idx="1">
                  <c:v>29655.238816799996</c:v>
                </c:pt>
                <c:pt idx="2">
                  <c:v>52258.284997650007</c:v>
                </c:pt>
                <c:pt idx="3">
                  <c:v>42605.126756550009</c:v>
                </c:pt>
                <c:pt idx="4">
                  <c:v>59545.543580730002</c:v>
                </c:pt>
                <c:pt idx="5">
                  <c:v>39385.134199890002</c:v>
                </c:pt>
                <c:pt idx="6">
                  <c:v>71418.394005862996</c:v>
                </c:pt>
                <c:pt idx="7">
                  <c:v>162214.41852210998</c:v>
                </c:pt>
                <c:pt idx="8">
                  <c:v>81696.813938724008</c:v>
                </c:pt>
                <c:pt idx="9">
                  <c:v>88207.267168140024</c:v>
                </c:pt>
                <c:pt idx="10">
                  <c:v>132240.62321285999</c:v>
                </c:pt>
                <c:pt idx="11">
                  <c:v>84963.908655099993</c:v>
                </c:pt>
                <c:pt idx="12">
                  <c:v>103037.60033453</c:v>
                </c:pt>
                <c:pt idx="13">
                  <c:v>83469.562774826598</c:v>
                </c:pt>
                <c:pt idx="14">
                  <c:v>78735.062027940992</c:v>
                </c:pt>
                <c:pt idx="15">
                  <c:v>64888.241587154393</c:v>
                </c:pt>
                <c:pt idx="16">
                  <c:v>108141.58958494318</c:v>
                </c:pt>
                <c:pt idx="17">
                  <c:v>91774.773887806979</c:v>
                </c:pt>
                <c:pt idx="18">
                  <c:v>130113.61293233497</c:v>
                </c:pt>
                <c:pt idx="19">
                  <c:v>87038.187876027005</c:v>
                </c:pt>
                <c:pt idx="20">
                  <c:v>116183.7389659754</c:v>
                </c:pt>
                <c:pt idx="21">
                  <c:v>149370.93945143302</c:v>
                </c:pt>
                <c:pt idx="22">
                  <c:v>84070.460607263609</c:v>
                </c:pt>
                <c:pt idx="23">
                  <c:v>68933.038366237</c:v>
                </c:pt>
                <c:pt idx="24">
                  <c:v>36173.0666593059</c:v>
                </c:pt>
                <c:pt idx="25">
                  <c:v>34695.748816191001</c:v>
                </c:pt>
                <c:pt idx="26">
                  <c:v>32669.784127814994</c:v>
                </c:pt>
                <c:pt idx="27">
                  <c:v>86928.985823633702</c:v>
                </c:pt>
                <c:pt idx="28">
                  <c:v>40245.59023319</c:v>
                </c:pt>
                <c:pt idx="29">
                  <c:v>73515.394994375005</c:v>
                </c:pt>
                <c:pt idx="30">
                  <c:v>84360.56653304497</c:v>
                </c:pt>
                <c:pt idx="31">
                  <c:v>16766.280551189997</c:v>
                </c:pt>
              </c:numCache>
            </c:numRef>
          </c:yVal>
          <c:smooth val="0"/>
          <c:extLst>
            <c:ext xmlns:c16="http://schemas.microsoft.com/office/drawing/2014/chart" uri="{C3380CC4-5D6E-409C-BE32-E72D297353CC}">
              <c16:uniqueId val="{00000006-D58B-44B9-89B6-E6106144621D}"/>
            </c:ext>
          </c:extLst>
        </c:ser>
        <c:ser>
          <c:idx val="7"/>
          <c:order val="7"/>
          <c:tx>
            <c:strRef>
              <c:f>'Shallow-Water Complex'!$S$3</c:f>
              <c:strCache>
                <c:ptCount val="1"/>
                <c:pt idx="0">
                  <c:v>Orig FES ABC/ACL</c:v>
                </c:pt>
              </c:strCache>
            </c:strRef>
          </c:tx>
          <c:spPr>
            <a:ln w="38100">
              <a:solidFill>
                <a:schemeClr val="tx1"/>
              </a:solidFill>
            </a:ln>
          </c:spPr>
          <c:marker>
            <c:symbol val="none"/>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Complex'!$S$4:$S$35</c:f>
              <c:numCache>
                <c:formatCode>#,##0</c:formatCode>
                <c:ptCount val="32"/>
                <c:pt idx="26">
                  <c:v>113707.51454012496</c:v>
                </c:pt>
                <c:pt idx="27">
                  <c:v>113707.51454012496</c:v>
                </c:pt>
                <c:pt idx="28">
                  <c:v>113707.51454012496</c:v>
                </c:pt>
                <c:pt idx="29">
                  <c:v>141354.19580202887</c:v>
                </c:pt>
                <c:pt idx="30">
                  <c:v>141354.19580202887</c:v>
                </c:pt>
                <c:pt idx="31">
                  <c:v>141354.19580202887</c:v>
                </c:pt>
              </c:numCache>
            </c:numRef>
          </c:yVal>
          <c:smooth val="0"/>
          <c:extLst>
            <c:ext xmlns:c16="http://schemas.microsoft.com/office/drawing/2014/chart" uri="{C3380CC4-5D6E-409C-BE32-E72D297353CC}">
              <c16:uniqueId val="{00000007-D58B-44B9-89B6-E6106144621D}"/>
            </c:ext>
          </c:extLst>
        </c:ser>
        <c:dLbls>
          <c:showLegendKey val="0"/>
          <c:showVal val="0"/>
          <c:showCatName val="0"/>
          <c:showSerName val="0"/>
          <c:showPercent val="0"/>
          <c:showBubbleSize val="0"/>
        </c:dLbls>
        <c:axId val="343535552"/>
        <c:axId val="343536128"/>
      </c:scatterChart>
      <c:valAx>
        <c:axId val="34353555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6128"/>
        <c:crosses val="autoZero"/>
        <c:crossBetween val="midCat"/>
      </c:valAx>
      <c:valAx>
        <c:axId val="34353612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55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3"/>
          <c:order val="1"/>
          <c:tx>
            <c:strRef>
              <c:f>'Shallow-Water Complex'!$AG$3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Complex'!$AG$4:$AG$35</c:f>
              <c:numCache>
                <c:formatCode>#,##0</c:formatCode>
                <c:ptCount val="32"/>
                <c:pt idx="0">
                  <c:v>4954.2366442000039</c:v>
                </c:pt>
                <c:pt idx="1">
                  <c:v>6885.4926993999989</c:v>
                </c:pt>
                <c:pt idx="2">
                  <c:v>5710.3870145600013</c:v>
                </c:pt>
                <c:pt idx="3">
                  <c:v>4348.6049134000004</c:v>
                </c:pt>
                <c:pt idx="4">
                  <c:v>14836.106924689999</c:v>
                </c:pt>
                <c:pt idx="5">
                  <c:v>4637.4618487000007</c:v>
                </c:pt>
                <c:pt idx="6">
                  <c:v>11499.369321065004</c:v>
                </c:pt>
                <c:pt idx="7">
                  <c:v>34414.543220900006</c:v>
                </c:pt>
                <c:pt idx="8">
                  <c:v>14839.727649449998</c:v>
                </c:pt>
                <c:pt idx="9">
                  <c:v>14724.589364990001</c:v>
                </c:pt>
                <c:pt idx="10">
                  <c:v>18496.375820889996</c:v>
                </c:pt>
                <c:pt idx="11">
                  <c:v>20560.400747359996</c:v>
                </c:pt>
                <c:pt idx="12">
                  <c:v>29504.187033803999</c:v>
                </c:pt>
                <c:pt idx="13">
                  <c:v>9065.9119897399996</c:v>
                </c:pt>
                <c:pt idx="14">
                  <c:v>7563.7639983999998</c:v>
                </c:pt>
                <c:pt idx="15">
                  <c:v>8373.34174996</c:v>
                </c:pt>
                <c:pt idx="16">
                  <c:v>17816.618987396101</c:v>
                </c:pt>
                <c:pt idx="17">
                  <c:v>9253.037930120001</c:v>
                </c:pt>
                <c:pt idx="18">
                  <c:v>40381.484858190997</c:v>
                </c:pt>
                <c:pt idx="19">
                  <c:v>18971.24372767</c:v>
                </c:pt>
                <c:pt idx="20">
                  <c:v>7674.122402813</c:v>
                </c:pt>
                <c:pt idx="21">
                  <c:v>28540.274512941003</c:v>
                </c:pt>
                <c:pt idx="22">
                  <c:v>10616.211482840003</c:v>
                </c:pt>
                <c:pt idx="23">
                  <c:v>14365.735612299999</c:v>
                </c:pt>
                <c:pt idx="24">
                  <c:v>3196.9755472227998</c:v>
                </c:pt>
                <c:pt idx="25">
                  <c:v>3827.967291084</c:v>
                </c:pt>
                <c:pt idx="26">
                  <c:v>2385.1783875299993</c:v>
                </c:pt>
                <c:pt idx="27">
                  <c:v>4709.3633513860996</c:v>
                </c:pt>
                <c:pt idx="28">
                  <c:v>3627.6083501200001</c:v>
                </c:pt>
                <c:pt idx="29">
                  <c:v>28371.832284400003</c:v>
                </c:pt>
                <c:pt idx="30">
                  <c:v>28335.964315610996</c:v>
                </c:pt>
                <c:pt idx="31">
                  <c:v>2738.1661103999991</c:v>
                </c:pt>
              </c:numCache>
            </c:numRef>
          </c:yVal>
          <c:smooth val="0"/>
          <c:extLst>
            <c:ext xmlns:c16="http://schemas.microsoft.com/office/drawing/2014/chart" uri="{C3380CC4-5D6E-409C-BE32-E72D297353CC}">
              <c16:uniqueId val="{00000001-FC33-4181-9519-67BB53CA09CC}"/>
            </c:ext>
          </c:extLst>
        </c:ser>
        <c:ser>
          <c:idx val="5"/>
          <c:order val="3"/>
          <c:tx>
            <c:strRef>
              <c:f>'Shallow-Water Complex'!$AP$3</c:f>
              <c:strCache>
                <c:ptCount val="1"/>
                <c:pt idx="0">
                  <c:v>Orig FES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Complex'!$AP$4:$AP$35</c:f>
              <c:numCache>
                <c:formatCode>#,##0</c:formatCode>
                <c:ptCount val="32"/>
                <c:pt idx="0">
                  <c:v>4954.2366442000039</c:v>
                </c:pt>
                <c:pt idx="1">
                  <c:v>6885.4926993999989</c:v>
                </c:pt>
                <c:pt idx="2">
                  <c:v>5709.7463228700017</c:v>
                </c:pt>
                <c:pt idx="3">
                  <c:v>4340.3450315000009</c:v>
                </c:pt>
                <c:pt idx="4">
                  <c:v>14783.496607630002</c:v>
                </c:pt>
                <c:pt idx="5">
                  <c:v>4629.2960041799988</c:v>
                </c:pt>
                <c:pt idx="6">
                  <c:v>12323.398041589997</c:v>
                </c:pt>
                <c:pt idx="7">
                  <c:v>33620.596765999988</c:v>
                </c:pt>
                <c:pt idx="8">
                  <c:v>14489.676269449998</c:v>
                </c:pt>
                <c:pt idx="9">
                  <c:v>14684.497974740005</c:v>
                </c:pt>
                <c:pt idx="10">
                  <c:v>18431.087157999995</c:v>
                </c:pt>
                <c:pt idx="11">
                  <c:v>20509.654734519994</c:v>
                </c:pt>
                <c:pt idx="12">
                  <c:v>29392.208093059999</c:v>
                </c:pt>
                <c:pt idx="13">
                  <c:v>9057.5692067</c:v>
                </c:pt>
                <c:pt idx="14">
                  <c:v>7552.9732823000004</c:v>
                </c:pt>
                <c:pt idx="15">
                  <c:v>8360.0161308500028</c:v>
                </c:pt>
                <c:pt idx="16">
                  <c:v>15891.105920837201</c:v>
                </c:pt>
                <c:pt idx="17">
                  <c:v>9226.4896655899975</c:v>
                </c:pt>
                <c:pt idx="18">
                  <c:v>37890.709147649992</c:v>
                </c:pt>
                <c:pt idx="19">
                  <c:v>18909.488939660001</c:v>
                </c:pt>
                <c:pt idx="20">
                  <c:v>7656.9264306179975</c:v>
                </c:pt>
                <c:pt idx="21">
                  <c:v>28450.73747666401</c:v>
                </c:pt>
                <c:pt idx="22">
                  <c:v>10578.67590319</c:v>
                </c:pt>
                <c:pt idx="23">
                  <c:v>14312.359341999998</c:v>
                </c:pt>
                <c:pt idx="24">
                  <c:v>3196.4916373329002</c:v>
                </c:pt>
                <c:pt idx="25">
                  <c:v>3827.615748491</c:v>
                </c:pt>
                <c:pt idx="26">
                  <c:v>2383.8437029900001</c:v>
                </c:pt>
                <c:pt idx="27">
                  <c:v>4693.4813134337001</c:v>
                </c:pt>
                <c:pt idx="28">
                  <c:v>3625.3687601300003</c:v>
                </c:pt>
                <c:pt idx="29">
                  <c:v>28235.5631804</c:v>
                </c:pt>
                <c:pt idx="30">
                  <c:v>28236.276756334002</c:v>
                </c:pt>
                <c:pt idx="31">
                  <c:v>2738.1661103999991</c:v>
                </c:pt>
              </c:numCache>
            </c:numRef>
          </c:yVal>
          <c:smooth val="0"/>
          <c:extLst>
            <c:ext xmlns:c16="http://schemas.microsoft.com/office/drawing/2014/chart" uri="{C3380CC4-5D6E-409C-BE32-E72D297353CC}">
              <c16:uniqueId val="{00000003-FC33-4181-9519-67BB53CA09CC}"/>
            </c:ext>
          </c:extLst>
        </c:ser>
        <c:ser>
          <c:idx val="6"/>
          <c:order val="4"/>
          <c:tx>
            <c:strRef>
              <c:f>'Shallow-Water Complex'!$AF$102</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Complex'!$Z$103:$Z$134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Complex'!$AF$103:$AF$134</c:f>
              <c:numCache>
                <c:formatCode>#,##0</c:formatCode>
                <c:ptCount val="32"/>
                <c:pt idx="0">
                  <c:v>4954.2366442000039</c:v>
                </c:pt>
                <c:pt idx="1">
                  <c:v>6885.4926993999989</c:v>
                </c:pt>
                <c:pt idx="3">
                  <c:v>3615.1339697479643</c:v>
                </c:pt>
                <c:pt idx="4">
                  <c:v>14226.851343029743</c:v>
                </c:pt>
                <c:pt idx="5">
                  <c:v>4222.9286709450244</c:v>
                </c:pt>
                <c:pt idx="7">
                  <c:v>29972.259494601079</c:v>
                </c:pt>
                <c:pt idx="8">
                  <c:v>10853.214330182449</c:v>
                </c:pt>
                <c:pt idx="9">
                  <c:v>10922.347647509276</c:v>
                </c:pt>
                <c:pt idx="10">
                  <c:v>12292.837954180073</c:v>
                </c:pt>
                <c:pt idx="11">
                  <c:v>26880.14323892806</c:v>
                </c:pt>
                <c:pt idx="12">
                  <c:v>26819.523487616985</c:v>
                </c:pt>
                <c:pt idx="13">
                  <c:v>8647.9603772667906</c:v>
                </c:pt>
                <c:pt idx="14">
                  <c:v>7167.134994189717</c:v>
                </c:pt>
                <c:pt idx="15">
                  <c:v>9414.4909262847723</c:v>
                </c:pt>
                <c:pt idx="16">
                  <c:v>19294.305433394577</c:v>
                </c:pt>
                <c:pt idx="17">
                  <c:v>8672.452050315831</c:v>
                </c:pt>
                <c:pt idx="18">
                  <c:v>42189.419030960402</c:v>
                </c:pt>
                <c:pt idx="19">
                  <c:v>23317.522829368674</c:v>
                </c:pt>
                <c:pt idx="20">
                  <c:v>7690.8279351182427</c:v>
                </c:pt>
                <c:pt idx="21">
                  <c:v>32780.808913652538</c:v>
                </c:pt>
                <c:pt idx="22">
                  <c:v>8867.2534701526183</c:v>
                </c:pt>
                <c:pt idx="23">
                  <c:v>11175.242490047582</c:v>
                </c:pt>
                <c:pt idx="24">
                  <c:v>3176.8182425129708</c:v>
                </c:pt>
                <c:pt idx="25">
                  <c:v>3856.5191858964959</c:v>
                </c:pt>
                <c:pt idx="26">
                  <c:v>2363.6976392510951</c:v>
                </c:pt>
                <c:pt idx="27">
                  <c:v>8927.2075420974779</c:v>
                </c:pt>
                <c:pt idx="28">
                  <c:v>3675.8499387028105</c:v>
                </c:pt>
                <c:pt idx="29">
                  <c:v>12680.946999198184</c:v>
                </c:pt>
                <c:pt idx="30">
                  <c:v>43493.674037397956</c:v>
                </c:pt>
                <c:pt idx="31">
                  <c:v>2738.1661103999991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F834-49FF-8A58-E879F61BCFC6}"/>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Complex'!$C$3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Complex'!$C$4:$C$35</c15:sqref>
                        </c15:formulaRef>
                      </c:ext>
                    </c:extLst>
                    <c:numCache>
                      <c:formatCode>#,##0</c:formatCode>
                      <c:ptCount val="32"/>
                      <c:pt idx="0">
                        <c:v>4986.2366442000039</c:v>
                      </c:pt>
                      <c:pt idx="1">
                        <c:v>7187.4926993999989</c:v>
                      </c:pt>
                      <c:pt idx="2">
                        <c:v>6367.3870145600013</c:v>
                      </c:pt>
                      <c:pt idx="3">
                        <c:v>4368.6049134000004</c:v>
                      </c:pt>
                      <c:pt idx="4">
                        <c:v>15271.106924689999</c:v>
                      </c:pt>
                      <c:pt idx="5">
                        <c:v>5366.4618487000007</c:v>
                      </c:pt>
                      <c:pt idx="6">
                        <c:v>15634.369321065004</c:v>
                      </c:pt>
                      <c:pt idx="7">
                        <c:v>45198.543220900006</c:v>
                      </c:pt>
                      <c:pt idx="8">
                        <c:v>25359.727649449997</c:v>
                      </c:pt>
                      <c:pt idx="9">
                        <c:v>23040.589364990003</c:v>
                      </c:pt>
                      <c:pt idx="10">
                        <c:v>32896.375820889996</c:v>
                      </c:pt>
                      <c:pt idx="11">
                        <c:v>41657.400747359992</c:v>
                      </c:pt>
                      <c:pt idx="12">
                        <c:v>46734.187033804003</c:v>
                      </c:pt>
                      <c:pt idx="13">
                        <c:v>35414.911989740001</c:v>
                      </c:pt>
                      <c:pt idx="14">
                        <c:v>33742.763998399998</c:v>
                      </c:pt>
                      <c:pt idx="15">
                        <c:v>21577.34174996</c:v>
                      </c:pt>
                      <c:pt idx="16">
                        <c:v>31103.618987396101</c:v>
                      </c:pt>
                      <c:pt idx="17">
                        <c:v>25169.037930120001</c:v>
                      </c:pt>
                      <c:pt idx="18">
                        <c:v>61248.484858190997</c:v>
                      </c:pt>
                      <c:pt idx="19">
                        <c:v>36823.24372767</c:v>
                      </c:pt>
                      <c:pt idx="20">
                        <c:v>39163.122402813002</c:v>
                      </c:pt>
                      <c:pt idx="21">
                        <c:v>52275.274512941003</c:v>
                      </c:pt>
                      <c:pt idx="22">
                        <c:v>32663.211482840001</c:v>
                      </c:pt>
                      <c:pt idx="23">
                        <c:v>35659.735612299999</c:v>
                      </c:pt>
                      <c:pt idx="24">
                        <c:v>19794.975547222799</c:v>
                      </c:pt>
                      <c:pt idx="25">
                        <c:v>14521.967291084</c:v>
                      </c:pt>
                      <c:pt idx="26">
                        <c:v>11080.178387529999</c:v>
                      </c:pt>
                      <c:pt idx="27">
                        <c:v>13896.363351386099</c:v>
                      </c:pt>
                      <c:pt idx="28">
                        <c:v>13498.608350120001</c:v>
                      </c:pt>
                      <c:pt idx="29">
                        <c:v>34589.832284400007</c:v>
                      </c:pt>
                      <c:pt idx="30">
                        <c:v>34029.964315610996</c:v>
                      </c:pt>
                      <c:pt idx="31">
                        <c:v>4262.1661103999995</c:v>
                      </c:pt>
                    </c:numCache>
                  </c:numRef>
                </c:yVal>
                <c:smooth val="0"/>
                <c:extLst>
                  <c:ext xmlns:c16="http://schemas.microsoft.com/office/drawing/2014/chart" uri="{C3380CC4-5D6E-409C-BE32-E72D297353CC}">
                    <c16:uniqueId val="{00000000-FC33-4181-9519-67BB53CA09CC}"/>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Complex'!$M$3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Complex'!$M$4:$M$35</c15:sqref>
                        </c15:formulaRef>
                      </c:ext>
                    </c:extLst>
                    <c:numCache>
                      <c:formatCode>#,##0</c:formatCode>
                      <c:ptCount val="32"/>
                      <c:pt idx="0">
                        <c:v>4986.2366442000039</c:v>
                      </c:pt>
                      <c:pt idx="1">
                        <c:v>7187.4926993999989</c:v>
                      </c:pt>
                      <c:pt idx="2">
                        <c:v>6366.7463228700017</c:v>
                      </c:pt>
                      <c:pt idx="3">
                        <c:v>4360.3450315000009</c:v>
                      </c:pt>
                      <c:pt idx="4">
                        <c:v>15218.496607630002</c:v>
                      </c:pt>
                      <c:pt idx="5">
                        <c:v>5358.2960041799988</c:v>
                      </c:pt>
                      <c:pt idx="6">
                        <c:v>16458.398041589997</c:v>
                      </c:pt>
                      <c:pt idx="7">
                        <c:v>44404.596765999988</c:v>
                      </c:pt>
                      <c:pt idx="8">
                        <c:v>25009.676269449999</c:v>
                      </c:pt>
                      <c:pt idx="9">
                        <c:v>23000.497974740007</c:v>
                      </c:pt>
                      <c:pt idx="10">
                        <c:v>32831.087157999995</c:v>
                      </c:pt>
                      <c:pt idx="11">
                        <c:v>41606.654734519994</c:v>
                      </c:pt>
                      <c:pt idx="12">
                        <c:v>46622.208093059999</c:v>
                      </c:pt>
                      <c:pt idx="13">
                        <c:v>35406.569206699998</c:v>
                      </c:pt>
                      <c:pt idx="14">
                        <c:v>33731.973282300001</c:v>
                      </c:pt>
                      <c:pt idx="15">
                        <c:v>21564.016130850003</c:v>
                      </c:pt>
                      <c:pt idx="16">
                        <c:v>29178.105920837203</c:v>
                      </c:pt>
                      <c:pt idx="17">
                        <c:v>25142.489665589997</c:v>
                      </c:pt>
                      <c:pt idx="18">
                        <c:v>58757.709147649992</c:v>
                      </c:pt>
                      <c:pt idx="19">
                        <c:v>36761.488939660005</c:v>
                      </c:pt>
                      <c:pt idx="20">
                        <c:v>39145.926430617998</c:v>
                      </c:pt>
                      <c:pt idx="21">
                        <c:v>52185.737476664013</c:v>
                      </c:pt>
                      <c:pt idx="22">
                        <c:v>32625.67590319</c:v>
                      </c:pt>
                      <c:pt idx="23">
                        <c:v>35606.359341999996</c:v>
                      </c:pt>
                      <c:pt idx="24">
                        <c:v>19794.4916373329</c:v>
                      </c:pt>
                      <c:pt idx="25">
                        <c:v>14521.615748491</c:v>
                      </c:pt>
                      <c:pt idx="26">
                        <c:v>11078.84370299</c:v>
                      </c:pt>
                      <c:pt idx="27">
                        <c:v>13880.4813134337</c:v>
                      </c:pt>
                      <c:pt idx="28">
                        <c:v>13496.368760130001</c:v>
                      </c:pt>
                      <c:pt idx="29">
                        <c:v>34453.5631804</c:v>
                      </c:pt>
                      <c:pt idx="30">
                        <c:v>33930.276756334002</c:v>
                      </c:pt>
                      <c:pt idx="31">
                        <c:v>4262.1661103999995</c:v>
                      </c:pt>
                    </c:numCache>
                  </c:numRef>
                </c:yVal>
                <c:smooth val="0"/>
                <c:extLst xmlns:c15="http://schemas.microsoft.com/office/drawing/2012/chart">
                  <c:ext xmlns:c16="http://schemas.microsoft.com/office/drawing/2014/chart" uri="{C3380CC4-5D6E-409C-BE32-E72D297353CC}">
                    <c16:uniqueId val="{00000002-FC33-4181-9519-67BB53CA09CC}"/>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Complex'!$C$41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Complex'!$C$42:$C$47</c15:sqref>
                        </c15:formulaRef>
                      </c:ext>
                    </c:extLst>
                    <c:numCache>
                      <c:formatCode>#,##0</c:formatCode>
                      <c:ptCount val="6"/>
                      <c:pt idx="0">
                        <c:v>39163.122402813002</c:v>
                      </c:pt>
                      <c:pt idx="1">
                        <c:v>39163.122402813002</c:v>
                      </c:pt>
                      <c:pt idx="2">
                        <c:v>39163.122402813002</c:v>
                      </c:pt>
                      <c:pt idx="3">
                        <c:v>53592.424250917124</c:v>
                      </c:pt>
                      <c:pt idx="4">
                        <c:v>53592.424250917124</c:v>
                      </c:pt>
                      <c:pt idx="5">
                        <c:v>53592.424250917124</c:v>
                      </c:pt>
                    </c:numCache>
                  </c:numRef>
                </c:yVal>
                <c:smooth val="0"/>
                <c:extLst xmlns:c15="http://schemas.microsoft.com/office/drawing/2012/chart">
                  <c:ext xmlns:c16="http://schemas.microsoft.com/office/drawing/2014/chart" uri="{C3380CC4-5D6E-409C-BE32-E72D297353CC}">
                    <c16:uniqueId val="{00000004-FC33-4181-9519-67BB53CA09CC}"/>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Complex'!$M$41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Complex'!$M$42:$M$47</c15:sqref>
                        </c15:formulaRef>
                      </c:ext>
                    </c:extLst>
                    <c:numCache>
                      <c:formatCode>#,##0</c:formatCode>
                      <c:ptCount val="6"/>
                      <c:pt idx="0">
                        <c:v>39145.926430617998</c:v>
                      </c:pt>
                      <c:pt idx="1">
                        <c:v>39145.926430617998</c:v>
                      </c:pt>
                      <c:pt idx="2">
                        <c:v>39145.926430617998</c:v>
                      </c:pt>
                      <c:pt idx="3">
                        <c:v>51412.995504193743</c:v>
                      </c:pt>
                      <c:pt idx="4">
                        <c:v>51412.995504193743</c:v>
                      </c:pt>
                      <c:pt idx="5">
                        <c:v>51412.995504193743</c:v>
                      </c:pt>
                    </c:numCache>
                  </c:numRef>
                </c:yVal>
                <c:smooth val="0"/>
                <c:extLst xmlns:c15="http://schemas.microsoft.com/office/drawing/2012/chart">
                  <c:ext xmlns:c16="http://schemas.microsoft.com/office/drawing/2014/chart" uri="{C3380CC4-5D6E-409C-BE32-E72D297353CC}">
                    <c16:uniqueId val="{00000005-FC33-4181-9519-67BB53CA09CC}"/>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4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3"/>
          <c:order val="1"/>
          <c:tx>
            <c:strRef>
              <c:f>'Shallow-Water Complex'!$AH$3</c:f>
              <c:strCache>
                <c:ptCount val="1"/>
                <c:pt idx="0">
                  <c:v>New Wgt Rec</c:v>
                </c:pt>
              </c:strCache>
              <c:extLst xmlns:c15="http://schemas.microsoft.com/office/drawing/2012/chart"/>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Complex'!$AH$4:$AH$35</c:f>
              <c:numCache>
                <c:formatCode>#,##0</c:formatCode>
                <c:ptCount val="32"/>
                <c:pt idx="0">
                  <c:v>213.66542279999999</c:v>
                </c:pt>
                <c:pt idx="1">
                  <c:v>262.40692420000005</c:v>
                </c:pt>
                <c:pt idx="2">
                  <c:v>983.30338127000005</c:v>
                </c:pt>
                <c:pt idx="3">
                  <c:v>2586.9450254000003</c:v>
                </c:pt>
                <c:pt idx="4">
                  <c:v>1021.2368579999999</c:v>
                </c:pt>
                <c:pt idx="5">
                  <c:v>2377.7248291999999</c:v>
                </c:pt>
                <c:pt idx="6">
                  <c:v>3404.2825971799998</c:v>
                </c:pt>
                <c:pt idx="7">
                  <c:v>377.14092199999993</c:v>
                </c:pt>
                <c:pt idx="8">
                  <c:v>855.18638599999997</c:v>
                </c:pt>
                <c:pt idx="9">
                  <c:v>648.725596</c:v>
                </c:pt>
                <c:pt idx="10">
                  <c:v>398.30508200000003</c:v>
                </c:pt>
                <c:pt idx="11">
                  <c:v>487.34887599999996</c:v>
                </c:pt>
                <c:pt idx="12">
                  <c:v>998.68380000000036</c:v>
                </c:pt>
                <c:pt idx="13">
                  <c:v>2125.5527917999998</c:v>
                </c:pt>
                <c:pt idx="14">
                  <c:v>8205.7874845000006</c:v>
                </c:pt>
                <c:pt idx="15">
                  <c:v>308.20308</c:v>
                </c:pt>
                <c:pt idx="16">
                  <c:v>265.389748</c:v>
                </c:pt>
                <c:pt idx="17">
                  <c:v>1981.9199194</c:v>
                </c:pt>
                <c:pt idx="18">
                  <c:v>5556.9159661100011</c:v>
                </c:pt>
                <c:pt idx="19">
                  <c:v>5442.0663666999999</c:v>
                </c:pt>
                <c:pt idx="20">
                  <c:v>1018.7897519999999</c:v>
                </c:pt>
                <c:pt idx="21">
                  <c:v>34851.753549200002</c:v>
                </c:pt>
                <c:pt idx="22">
                  <c:v>341.183896</c:v>
                </c:pt>
                <c:pt idx="23">
                  <c:v>95.236515400000002</c:v>
                </c:pt>
                <c:pt idx="24">
                  <c:v>149.00583045799999</c:v>
                </c:pt>
                <c:pt idx="25">
                  <c:v>36.067256</c:v>
                </c:pt>
                <c:pt idx="26">
                  <c:v>61.876508199999996</c:v>
                </c:pt>
                <c:pt idx="27">
                  <c:v>125.79447599999999</c:v>
                </c:pt>
                <c:pt idx="28">
                  <c:v>115.31160300000001</c:v>
                </c:pt>
                <c:pt idx="29">
                  <c:v>102.51389999999999</c:v>
                </c:pt>
                <c:pt idx="30">
                  <c:v>105.99275879999999</c:v>
                </c:pt>
                <c:pt idx="31">
                  <c:v>90.154912400000001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EA60-4A57-AB3F-9476EB630F3A}"/>
            </c:ext>
          </c:extLst>
        </c:ser>
        <c:ser>
          <c:idx val="5"/>
          <c:order val="3"/>
          <c:tx>
            <c:strRef>
              <c:f>'Shallow-Water Complex'!$AQ$3</c:f>
              <c:strCache>
                <c:ptCount val="1"/>
                <c:pt idx="0">
                  <c:v>Orig FES Rec</c:v>
                </c:pt>
              </c:strCache>
              <c:extLst xmlns:c15="http://schemas.microsoft.com/office/drawing/2012/chart"/>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Complex'!$AQ$4:$AQ$35</c:f>
              <c:numCache>
                <c:formatCode>#,##0</c:formatCode>
                <c:ptCount val="32"/>
                <c:pt idx="0">
                  <c:v>213.66542279999999</c:v>
                </c:pt>
                <c:pt idx="1">
                  <c:v>262.40692420000005</c:v>
                </c:pt>
                <c:pt idx="2">
                  <c:v>956.41537245000029</c:v>
                </c:pt>
                <c:pt idx="3">
                  <c:v>2498.5847723000006</c:v>
                </c:pt>
                <c:pt idx="4">
                  <c:v>1021.2368579999999</c:v>
                </c:pt>
                <c:pt idx="5">
                  <c:v>2285.7813498</c:v>
                </c:pt>
                <c:pt idx="6">
                  <c:v>3280.4377290500011</c:v>
                </c:pt>
                <c:pt idx="7">
                  <c:v>377.14092199999993</c:v>
                </c:pt>
                <c:pt idx="8">
                  <c:v>855.18638599999997</c:v>
                </c:pt>
                <c:pt idx="9">
                  <c:v>648.725596</c:v>
                </c:pt>
                <c:pt idx="10">
                  <c:v>398.30508200000003</c:v>
                </c:pt>
                <c:pt idx="11">
                  <c:v>487.34887599999996</c:v>
                </c:pt>
                <c:pt idx="12">
                  <c:v>998.68380000000036</c:v>
                </c:pt>
                <c:pt idx="13">
                  <c:v>2083.7615854699998</c:v>
                </c:pt>
                <c:pt idx="14">
                  <c:v>7888.9850333999984</c:v>
                </c:pt>
                <c:pt idx="15">
                  <c:v>308.20308</c:v>
                </c:pt>
                <c:pt idx="16">
                  <c:v>265.389748</c:v>
                </c:pt>
                <c:pt idx="17">
                  <c:v>1913.0738755000004</c:v>
                </c:pt>
                <c:pt idx="18">
                  <c:v>5387.5706806800017</c:v>
                </c:pt>
                <c:pt idx="19">
                  <c:v>5302.5303370000011</c:v>
                </c:pt>
                <c:pt idx="20">
                  <c:v>1018.7897519999999</c:v>
                </c:pt>
                <c:pt idx="21">
                  <c:v>33501.638706299993</c:v>
                </c:pt>
                <c:pt idx="22">
                  <c:v>341.183896</c:v>
                </c:pt>
                <c:pt idx="23">
                  <c:v>95.236515400000002</c:v>
                </c:pt>
                <c:pt idx="24">
                  <c:v>147.02882502099999</c:v>
                </c:pt>
                <c:pt idx="25">
                  <c:v>36.067256</c:v>
                </c:pt>
                <c:pt idx="26">
                  <c:v>61.876508199999996</c:v>
                </c:pt>
                <c:pt idx="27">
                  <c:v>125.79447599999999</c:v>
                </c:pt>
                <c:pt idx="28">
                  <c:v>115.31160300000001</c:v>
                </c:pt>
                <c:pt idx="29">
                  <c:v>102.51389999999999</c:v>
                </c:pt>
                <c:pt idx="30">
                  <c:v>105.99275879999999</c:v>
                </c:pt>
                <c:pt idx="31">
                  <c:v>90.154912400000001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EA60-4A57-AB3F-9476EB630F3A}"/>
            </c:ext>
          </c:extLst>
        </c:ser>
        <c:ser>
          <c:idx val="6"/>
          <c:order val="4"/>
          <c:tx>
            <c:strRef>
              <c:f>'Shallow-Water Complex'!$AQ$102</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Complex'!$AK$103:$AK$134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Complex'!$AQ$103:$AQ$134</c:f>
              <c:numCache>
                <c:formatCode>#,##0</c:formatCode>
                <c:ptCount val="32"/>
                <c:pt idx="0">
                  <c:v>213.66542279999999</c:v>
                </c:pt>
                <c:pt idx="1">
                  <c:v>262.40692420000005</c:v>
                </c:pt>
                <c:pt idx="3">
                  <c:v>886.81476141309463</c:v>
                </c:pt>
                <c:pt idx="4">
                  <c:v>1021.2368579999999</c:v>
                </c:pt>
                <c:pt idx="5">
                  <c:v>965.49278177600468</c:v>
                </c:pt>
                <c:pt idx="6">
                  <c:v>2805.0059095626957</c:v>
                </c:pt>
                <c:pt idx="7">
                  <c:v>377.14092199999993</c:v>
                </c:pt>
                <c:pt idx="8">
                  <c:v>855.18638599999997</c:v>
                </c:pt>
                <c:pt idx="9">
                  <c:v>648.725596</c:v>
                </c:pt>
                <c:pt idx="10">
                  <c:v>398.30508200000003</c:v>
                </c:pt>
                <c:pt idx="11">
                  <c:v>487.34887599999996</c:v>
                </c:pt>
                <c:pt idx="12">
                  <c:v>998.68380000000036</c:v>
                </c:pt>
                <c:pt idx="15">
                  <c:v>308.20308</c:v>
                </c:pt>
                <c:pt idx="16">
                  <c:v>265.389748</c:v>
                </c:pt>
                <c:pt idx="17">
                  <c:v>1130.9190470891861</c:v>
                </c:pt>
                <c:pt idx="18">
                  <c:v>5486.1321381293892</c:v>
                </c:pt>
                <c:pt idx="19">
                  <c:v>3980.4320393779203</c:v>
                </c:pt>
                <c:pt idx="20">
                  <c:v>1018.7897519999999</c:v>
                </c:pt>
                <c:pt idx="21">
                  <c:v>32203.878458981166</c:v>
                </c:pt>
                <c:pt idx="22">
                  <c:v>341.183896</c:v>
                </c:pt>
                <c:pt idx="23">
                  <c:v>95.236515400000002</c:v>
                </c:pt>
                <c:pt idx="24">
                  <c:v>155.33565440782945</c:v>
                </c:pt>
                <c:pt idx="25">
                  <c:v>36.067256</c:v>
                </c:pt>
                <c:pt idx="26">
                  <c:v>61.876508199999996</c:v>
                </c:pt>
                <c:pt idx="27">
                  <c:v>125.79447599999999</c:v>
                </c:pt>
                <c:pt idx="28">
                  <c:v>115.31160300000001</c:v>
                </c:pt>
                <c:pt idx="29">
                  <c:v>102.51389999999999</c:v>
                </c:pt>
                <c:pt idx="30">
                  <c:v>105.99275879999999</c:v>
                </c:pt>
                <c:pt idx="31">
                  <c:v>90.154912400000001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314E-4112-BF53-99B6B0E3B480}"/>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Complex'!$D$3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Complex'!$D$4:$D$35</c15:sqref>
                        </c15:formulaRef>
                      </c:ext>
                    </c:extLst>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0-EA60-4A57-AB3F-9476EB630F3A}"/>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Complex'!$N$3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Complex'!$N$4:$N$35</c15:sqref>
                        </c15:formulaRef>
                      </c:ext>
                    </c:extLst>
                    <c:numCache>
                      <c:formatCode>#,##0</c:formatCode>
                      <c:ptCount val="32"/>
                      <c:pt idx="0">
                        <c:v>213.66542279999999</c:v>
                      </c:pt>
                      <c:pt idx="1">
                        <c:v>262.40692420000005</c:v>
                      </c:pt>
                      <c:pt idx="2">
                        <c:v>956.41537245000029</c:v>
                      </c:pt>
                      <c:pt idx="3">
                        <c:v>2498.5847723000006</c:v>
                      </c:pt>
                      <c:pt idx="4">
                        <c:v>1021.2368579999999</c:v>
                      </c:pt>
                      <c:pt idx="5">
                        <c:v>2371.7813498</c:v>
                      </c:pt>
                      <c:pt idx="6">
                        <c:v>3280.4377290500011</c:v>
                      </c:pt>
                      <c:pt idx="7">
                        <c:v>377.14092199999993</c:v>
                      </c:pt>
                      <c:pt idx="8">
                        <c:v>867.18638599999997</c:v>
                      </c:pt>
                      <c:pt idx="9">
                        <c:v>666.725596</c:v>
                      </c:pt>
                      <c:pt idx="10">
                        <c:v>409.30508200000003</c:v>
                      </c:pt>
                      <c:pt idx="11">
                        <c:v>489.34887599999996</c:v>
                      </c:pt>
                      <c:pt idx="12">
                        <c:v>1153.6838000000002</c:v>
                      </c:pt>
                      <c:pt idx="13">
                        <c:v>2101.7615854699998</c:v>
                      </c:pt>
                      <c:pt idx="14">
                        <c:v>7888.9850333999984</c:v>
                      </c:pt>
                      <c:pt idx="15">
                        <c:v>312.20308</c:v>
                      </c:pt>
                      <c:pt idx="16">
                        <c:v>265.389748</c:v>
                      </c:pt>
                      <c:pt idx="17">
                        <c:v>2657.0738755000002</c:v>
                      </c:pt>
                      <c:pt idx="18">
                        <c:v>5437.5706806800017</c:v>
                      </c:pt>
                      <c:pt idx="19">
                        <c:v>5302.5303370000011</c:v>
                      </c:pt>
                      <c:pt idx="20">
                        <c:v>1104.7897519999999</c:v>
                      </c:pt>
                      <c:pt idx="21">
                        <c:v>33501.638706299993</c:v>
                      </c:pt>
                      <c:pt idx="22">
                        <c:v>341.183896</c:v>
                      </c:pt>
                      <c:pt idx="23">
                        <c:v>95.236515400000002</c:v>
                      </c:pt>
                      <c:pt idx="24">
                        <c:v>370.02882502099999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xmlns:c15="http://schemas.microsoft.com/office/drawing/2012/chart">
                  <c:ext xmlns:c16="http://schemas.microsoft.com/office/drawing/2014/chart" uri="{C3380CC4-5D6E-409C-BE32-E72D297353CC}">
                    <c16:uniqueId val="{00000002-EA60-4A57-AB3F-9476EB630F3A}"/>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Complex'!$D$41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Complex'!$D$42:$D$47</c15:sqref>
                        </c15:formulaRef>
                      </c:ext>
                    </c:extLst>
                    <c:numCache>
                      <c:formatCode>#,##0</c:formatCode>
                      <c:ptCount val="6"/>
                      <c:pt idx="0">
                        <c:v>5606.9159661100011</c:v>
                      </c:pt>
                      <c:pt idx="1">
                        <c:v>5606.9159661100011</c:v>
                      </c:pt>
                      <c:pt idx="2">
                        <c:v>5606.9159661100011</c:v>
                      </c:pt>
                      <c:pt idx="3">
                        <c:v>5606.9159661100011</c:v>
                      </c:pt>
                      <c:pt idx="4">
                        <c:v>5606.9159661100011</c:v>
                      </c:pt>
                      <c:pt idx="5">
                        <c:v>5606.9159661100011</c:v>
                      </c:pt>
                    </c:numCache>
                  </c:numRef>
                </c:yVal>
                <c:smooth val="0"/>
                <c:extLst xmlns:c15="http://schemas.microsoft.com/office/drawing/2012/chart">
                  <c:ext xmlns:c16="http://schemas.microsoft.com/office/drawing/2014/chart" uri="{C3380CC4-5D6E-409C-BE32-E72D297353CC}">
                    <c16:uniqueId val="{00000004-EA60-4A57-AB3F-9476EB630F3A}"/>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Complex'!$N$41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Complex'!$N$42:$N$47</c15:sqref>
                        </c15:formulaRef>
                      </c:ext>
                    </c:extLst>
                    <c:numCache>
                      <c:formatCode>#,##0</c:formatCode>
                      <c:ptCount val="6"/>
                      <c:pt idx="0">
                        <c:v>5437.5706806800017</c:v>
                      </c:pt>
                      <c:pt idx="1">
                        <c:v>5437.5706806800017</c:v>
                      </c:pt>
                      <c:pt idx="2">
                        <c:v>5437.5706806800017</c:v>
                      </c:pt>
                      <c:pt idx="3">
                        <c:v>5437.5706806800017</c:v>
                      </c:pt>
                      <c:pt idx="4">
                        <c:v>5437.5706806800017</c:v>
                      </c:pt>
                      <c:pt idx="5">
                        <c:v>5437.5706806800017</c:v>
                      </c:pt>
                    </c:numCache>
                  </c:numRef>
                </c:yVal>
                <c:smooth val="0"/>
                <c:extLst xmlns:c15="http://schemas.microsoft.com/office/drawing/2012/chart">
                  <c:ext xmlns:c16="http://schemas.microsoft.com/office/drawing/2014/chart" uri="{C3380CC4-5D6E-409C-BE32-E72D297353CC}">
                    <c16:uniqueId val="{00000005-EA60-4A57-AB3F-9476EB630F3A}"/>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'Black Grouper'!$F$2</c:f>
              <c:strCache>
                <c:ptCount val="1"/>
                <c:pt idx="0">
                  <c:v>Commercial</c:v>
                </c:pt>
              </c:strCache>
            </c:strRef>
          </c:tx>
          <c:spPr>
            <a:solidFill>
              <a:schemeClr val="accent3">
                <a:alpha val="75000"/>
              </a:schemeClr>
            </a:solidFill>
            <a:ln>
              <a:solidFill>
                <a:schemeClr val="accent3"/>
              </a:solidFill>
            </a:ln>
          </c:spPr>
          <c:cat>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'Black Grouper'!$F$3:$F$34</c:f>
              <c:numCache>
                <c:formatCode>#,##0</c:formatCode>
                <c:ptCount val="32"/>
                <c:pt idx="0">
                  <c:v>439898</c:v>
                </c:pt>
                <c:pt idx="1">
                  <c:v>510662</c:v>
                </c:pt>
                <c:pt idx="2">
                  <c:v>344360</c:v>
                </c:pt>
                <c:pt idx="3">
                  <c:v>346395</c:v>
                </c:pt>
                <c:pt idx="4">
                  <c:v>200844</c:v>
                </c:pt>
                <c:pt idx="5">
                  <c:v>120230</c:v>
                </c:pt>
                <c:pt idx="6">
                  <c:v>131788</c:v>
                </c:pt>
                <c:pt idx="7">
                  <c:v>146214</c:v>
                </c:pt>
                <c:pt idx="8">
                  <c:v>131164</c:v>
                </c:pt>
                <c:pt idx="9">
                  <c:v>201737</c:v>
                </c:pt>
                <c:pt idx="10">
                  <c:v>190494</c:v>
                </c:pt>
                <c:pt idx="11">
                  <c:v>169530</c:v>
                </c:pt>
                <c:pt idx="12">
                  <c:v>174739</c:v>
                </c:pt>
                <c:pt idx="13">
                  <c:v>128968</c:v>
                </c:pt>
                <c:pt idx="14">
                  <c:v>122650</c:v>
                </c:pt>
                <c:pt idx="15">
                  <c:v>136082</c:v>
                </c:pt>
                <c:pt idx="16">
                  <c:v>149681</c:v>
                </c:pt>
                <c:pt idx="17">
                  <c:v>151382</c:v>
                </c:pt>
                <c:pt idx="18">
                  <c:v>147167</c:v>
                </c:pt>
                <c:pt idx="19">
                  <c:v>115345</c:v>
                </c:pt>
                <c:pt idx="20">
                  <c:v>81753</c:v>
                </c:pt>
                <c:pt idx="21">
                  <c:v>95501</c:v>
                </c:pt>
                <c:pt idx="22">
                  <c:v>52722</c:v>
                </c:pt>
                <c:pt idx="23">
                  <c:v>46726</c:v>
                </c:pt>
                <c:pt idx="24">
                  <c:v>44057</c:v>
                </c:pt>
                <c:pt idx="25">
                  <c:v>62407</c:v>
                </c:pt>
                <c:pt idx="26">
                  <c:v>50813</c:v>
                </c:pt>
                <c:pt idx="27">
                  <c:v>60576</c:v>
                </c:pt>
                <c:pt idx="28">
                  <c:v>92038</c:v>
                </c:pt>
                <c:pt idx="29">
                  <c:v>88957</c:v>
                </c:pt>
                <c:pt idx="30">
                  <c:v>71166</c:v>
                </c:pt>
                <c:pt idx="31">
                  <c:v>83997</c:v>
                </c:pt>
              </c:numCache>
            </c:numRef>
          </c:val>
          <c:extLst>
            <c:ext xmlns:c16="http://schemas.microsoft.com/office/drawing/2014/chart" uri="{C3380CC4-5D6E-409C-BE32-E72D297353CC}">
              <c16:uniqueId val="{00000000-0659-44FD-B3B1-09995F48C4BB}"/>
            </c:ext>
          </c:extLst>
        </c:ser>
        <c:dLbls>
          <c:showLegendKey val="0"/>
          <c:showVal val="0"/>
          <c:showCatName val="0"/>
          <c:showSerName val="0"/>
          <c:showPercent val="0"/>
          <c:showBubbleSize val="0"/>
        </c:dLbls>
        <c:axId val="338520896"/>
        <c:axId val="338521472"/>
      </c:areaChart>
      <c:lineChart>
        <c:grouping val="standard"/>
        <c:varyColors val="0"/>
        <c:ser>
          <c:idx val="1"/>
          <c:order val="2"/>
          <c:tx>
            <c:strRef>
              <c:f>'Black Grouper'!$E$2</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'Black Grouper'!$E$3:$E$34</c:f>
              <c:numCache>
                <c:formatCode>#,##0</c:formatCode>
                <c:ptCount val="32"/>
                <c:pt idx="0">
                  <c:v>1482853.8870809998</c:v>
                </c:pt>
                <c:pt idx="1">
                  <c:v>1126650.4008839997</c:v>
                </c:pt>
                <c:pt idx="2">
                  <c:v>2358406.6130821994</c:v>
                </c:pt>
                <c:pt idx="3">
                  <c:v>606659.87236299959</c:v>
                </c:pt>
                <c:pt idx="4">
                  <c:v>1491752.196454</c:v>
                </c:pt>
                <c:pt idx="5">
                  <c:v>1029048.6110963001</c:v>
                </c:pt>
                <c:pt idx="6">
                  <c:v>448013.81203922001</c:v>
                </c:pt>
                <c:pt idx="7">
                  <c:v>372053.91147099022</c:v>
                </c:pt>
                <c:pt idx="8">
                  <c:v>392657.30471569998</c:v>
                </c:pt>
                <c:pt idx="9">
                  <c:v>539857.49310019996</c:v>
                </c:pt>
                <c:pt idx="10">
                  <c:v>1292170.9054413498</c:v>
                </c:pt>
                <c:pt idx="11">
                  <c:v>1963870.1157414974</c:v>
                </c:pt>
                <c:pt idx="12">
                  <c:v>598471.54508496972</c:v>
                </c:pt>
                <c:pt idx="13">
                  <c:v>247150.97307131227</c:v>
                </c:pt>
                <c:pt idx="14">
                  <c:v>421955.27665212005</c:v>
                </c:pt>
                <c:pt idx="15">
                  <c:v>309617.83576547977</c:v>
                </c:pt>
                <c:pt idx="16">
                  <c:v>695698.89065544982</c:v>
                </c:pt>
                <c:pt idx="17">
                  <c:v>632983.70092002989</c:v>
                </c:pt>
                <c:pt idx="18">
                  <c:v>1021264.1736695999</c:v>
                </c:pt>
                <c:pt idx="19">
                  <c:v>233160.57375575989</c:v>
                </c:pt>
                <c:pt idx="20">
                  <c:v>615012.64505541022</c:v>
                </c:pt>
                <c:pt idx="21">
                  <c:v>546141.25013318018</c:v>
                </c:pt>
                <c:pt idx="22">
                  <c:v>555389.89985535014</c:v>
                </c:pt>
                <c:pt idx="23">
                  <c:v>671912.97764779977</c:v>
                </c:pt>
                <c:pt idx="24">
                  <c:v>39323.907770539983</c:v>
                </c:pt>
                <c:pt idx="25">
                  <c:v>94888.986074250002</c:v>
                </c:pt>
                <c:pt idx="26">
                  <c:v>233175.56858856001</c:v>
                </c:pt>
                <c:pt idx="27">
                  <c:v>265084.51294442994</c:v>
                </c:pt>
                <c:pt idx="28">
                  <c:v>173403.91880704998</c:v>
                </c:pt>
                <c:pt idx="29">
                  <c:v>327318.0749395499</c:v>
                </c:pt>
                <c:pt idx="30">
                  <c:v>506959.42846867983</c:v>
                </c:pt>
                <c:pt idx="31">
                  <c:v>222475.00073880004</c:v>
                </c:pt>
              </c:numCache>
            </c:numRef>
          </c:val>
          <c:smooth val="0"/>
          <c:extLst>
            <c:ext xmlns:c16="http://schemas.microsoft.com/office/drawing/2014/chart" uri="{C3380CC4-5D6E-409C-BE32-E72D297353CC}">
              <c16:uniqueId val="{00000001-0659-44FD-B3B1-09995F48C4BB}"/>
            </c:ext>
          </c:extLst>
        </c:ser>
        <c:ser>
          <c:idx val="5"/>
          <c:order val="4"/>
          <c:tx>
            <c:strRef>
              <c:f>'Black Grouper'!$H$2</c:f>
              <c:strCache>
                <c:ptCount val="1"/>
                <c:pt idx="0">
                  <c:v>Orig FES Rec</c:v>
                </c:pt>
              </c:strCache>
            </c:strRef>
          </c:tx>
          <c:cat>
            <c:numRef>
              <c:f>'Black Grouper'!$C$3:$C$34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'Black Grouper'!$H$3:$H$34</c:f>
              <c:numCache>
                <c:formatCode>#,##0</c:formatCode>
                <c:ptCount val="32"/>
                <c:pt idx="0">
                  <c:v>1515242.1510045999</c:v>
                </c:pt>
                <c:pt idx="1">
                  <c:v>1244656.1381289994</c:v>
                </c:pt>
                <c:pt idx="2">
                  <c:v>2289145.9757021996</c:v>
                </c:pt>
                <c:pt idx="3">
                  <c:v>453267.58492000023</c:v>
                </c:pt>
                <c:pt idx="4">
                  <c:v>1614527.7775619999</c:v>
                </c:pt>
                <c:pt idx="5">
                  <c:v>935893.91008740012</c:v>
                </c:pt>
                <c:pt idx="6">
                  <c:v>545303.84572332015</c:v>
                </c:pt>
                <c:pt idx="7">
                  <c:v>394585.18411379016</c:v>
                </c:pt>
                <c:pt idx="8">
                  <c:v>375241.05486079998</c:v>
                </c:pt>
                <c:pt idx="9">
                  <c:v>476623.36355940008</c:v>
                </c:pt>
                <c:pt idx="10">
                  <c:v>1334706.1043777498</c:v>
                </c:pt>
                <c:pt idx="11">
                  <c:v>1973093.9377692977</c:v>
                </c:pt>
                <c:pt idx="12">
                  <c:v>614463.9302831497</c:v>
                </c:pt>
                <c:pt idx="13">
                  <c:v>239410.56690403138</c:v>
                </c:pt>
                <c:pt idx="14">
                  <c:v>375581.85797934199</c:v>
                </c:pt>
                <c:pt idx="15">
                  <c:v>247805.64651182995</c:v>
                </c:pt>
                <c:pt idx="16">
                  <c:v>699011.28417719982</c:v>
                </c:pt>
                <c:pt idx="17">
                  <c:v>622938.51988355001</c:v>
                </c:pt>
                <c:pt idx="18">
                  <c:v>1020366.5873702202</c:v>
                </c:pt>
                <c:pt idx="19">
                  <c:v>233253.16647894992</c:v>
                </c:pt>
                <c:pt idx="20">
                  <c:v>613571.48183806019</c:v>
                </c:pt>
                <c:pt idx="21">
                  <c:v>548535.86277487001</c:v>
                </c:pt>
                <c:pt idx="22">
                  <c:v>555335.33531571017</c:v>
                </c:pt>
                <c:pt idx="23">
                  <c:v>550353.47989139974</c:v>
                </c:pt>
                <c:pt idx="24">
                  <c:v>39186.53849223999</c:v>
                </c:pt>
                <c:pt idx="25">
                  <c:v>94584.607318790004</c:v>
                </c:pt>
                <c:pt idx="26">
                  <c:v>228500.92009800003</c:v>
                </c:pt>
                <c:pt idx="27">
                  <c:v>264237.19880130998</c:v>
                </c:pt>
                <c:pt idx="28">
                  <c:v>186540.47428478001</c:v>
                </c:pt>
                <c:pt idx="29">
                  <c:v>311245.55010198994</c:v>
                </c:pt>
                <c:pt idx="30">
                  <c:v>513688.92761661985</c:v>
                </c:pt>
                <c:pt idx="31">
                  <c:v>221560.68245740005</c:v>
                </c:pt>
              </c:numCache>
            </c:numRef>
          </c:val>
          <c:smooth val="0"/>
          <c:extLst>
            <c:ext xmlns:c16="http://schemas.microsoft.com/office/drawing/2014/chart" uri="{C3380CC4-5D6E-409C-BE32-E72D297353CC}">
              <c16:uniqueId val="{00000002-0659-44FD-B3B1-09995F48C4BB}"/>
            </c:ext>
          </c:extLst>
        </c:ser>
        <c:ser>
          <c:idx val="6"/>
          <c:order val="5"/>
          <c:tx>
            <c:strRef>
              <c:f>'Black Grouper'!$G$39</c:f>
              <c:strCache>
                <c:ptCount val="1"/>
                <c:pt idx="0">
                  <c:v>MRIP+HB</c:v>
                </c:pt>
              </c:strCache>
              <c:extLst xmlns:c15="http://schemas.microsoft.com/office/drawing/2012/chart"/>
            </c:strRef>
          </c:tx>
          <c:spPr>
            <a:ln>
              <a:solidFill>
                <a:schemeClr val="bg1">
                  <a:lumMod val="50000"/>
                </a:schemeClr>
              </a:solidFill>
            </a:ln>
          </c:spPr>
          <c:marker>
            <c:symbol val="star"/>
            <c:size val="7"/>
            <c:spPr>
              <a:ln w="12700">
                <a:solidFill>
                  <a:schemeClr val="bg1">
                    <a:lumMod val="50000"/>
                  </a:schemeClr>
                </a:solidFill>
              </a:ln>
            </c:spPr>
          </c:marker>
          <c:cat>
            <c:numRef>
              <c:f>'Black Grouper'!$A$40:$A$71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cat>
          <c:val>
            <c:numRef>
              <c:f>'Black Grouper'!$G$40:$G$71</c:f>
              <c:numCache>
                <c:formatCode>#,##0</c:formatCode>
                <c:ptCount val="32"/>
                <c:pt idx="0">
                  <c:v>1223404.1038011403</c:v>
                </c:pt>
                <c:pt idx="1">
                  <c:v>1300066.3373762292</c:v>
                </c:pt>
                <c:pt idx="3">
                  <c:v>960069.97647261177</c:v>
                </c:pt>
                <c:pt idx="4">
                  <c:v>923767.60419187252</c:v>
                </c:pt>
                <c:pt idx="5">
                  <c:v>1684885.9902260567</c:v>
                </c:pt>
                <c:pt idx="7">
                  <c:v>372982.21922654507</c:v>
                </c:pt>
                <c:pt idx="8">
                  <c:v>301781.85129647941</c:v>
                </c:pt>
                <c:pt idx="9">
                  <c:v>379877.85981476534</c:v>
                </c:pt>
                <c:pt idx="10">
                  <c:v>1151355.5687980058</c:v>
                </c:pt>
                <c:pt idx="11">
                  <c:v>1979436.1193702009</c:v>
                </c:pt>
                <c:pt idx="12">
                  <c:v>496050.81581998954</c:v>
                </c:pt>
                <c:pt idx="13">
                  <c:v>260997.86673358045</c:v>
                </c:pt>
                <c:pt idx="14">
                  <c:v>266300.06091915222</c:v>
                </c:pt>
                <c:pt idx="15">
                  <c:v>284043.0805010561</c:v>
                </c:pt>
                <c:pt idx="16">
                  <c:v>503225.53236431314</c:v>
                </c:pt>
                <c:pt idx="17">
                  <c:v>440968.76490288309</c:v>
                </c:pt>
                <c:pt idx="18">
                  <c:v>495219.57256470621</c:v>
                </c:pt>
                <c:pt idx="19">
                  <c:v>243973.75140893814</c:v>
                </c:pt>
                <c:pt idx="20">
                  <c:v>667571.71810759336</c:v>
                </c:pt>
                <c:pt idx="21">
                  <c:v>527788.95447958936</c:v>
                </c:pt>
                <c:pt idx="22">
                  <c:v>668962.86779651057</c:v>
                </c:pt>
                <c:pt idx="23">
                  <c:v>664435.1435444603</c:v>
                </c:pt>
                <c:pt idx="24">
                  <c:v>70647.087275994825</c:v>
                </c:pt>
                <c:pt idx="25">
                  <c:v>62840.226364882117</c:v>
                </c:pt>
                <c:pt idx="26">
                  <c:v>343614.65204118669</c:v>
                </c:pt>
                <c:pt idx="27">
                  <c:v>273198.99289868789</c:v>
                </c:pt>
                <c:pt idx="28">
                  <c:v>188357.60040702898</c:v>
                </c:pt>
                <c:pt idx="29">
                  <c:v>285024.76808934874</c:v>
                </c:pt>
                <c:pt idx="30">
                  <c:v>438057.38738593447</c:v>
                </c:pt>
                <c:pt idx="31">
                  <c:v>240061.91563403321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FC90-495A-83FA-4175B09AACD2}"/>
            </c:ext>
          </c:extLst>
        </c:ser>
        <c:dLbls>
          <c:showLegendKey val="0"/>
          <c:showVal val="0"/>
          <c:showCatName val="0"/>
          <c:showSerName val="0"/>
          <c:showPercent val="0"/>
          <c:showBubbleSize val="0"/>
        </c:dLbls>
        <c:marker val="1"/>
        <c:smooth val="0"/>
        <c:axId val="338520896"/>
        <c:axId val="338521472"/>
        <c:extLst>
          <c:ext xmlns:c15="http://schemas.microsoft.com/office/drawing/2012/chart" uri="{02D57815-91ED-43cb-92C2-25804820EDAC}">
            <c15:filteredLineSeries>
              <c15:ser>
                <c:idx val="0"/>
                <c:order val="0"/>
                <c:tx>
                  <c:strRef>
                    <c:extLst>
                      <c:ext uri="{02D57815-91ED-43cb-92C2-25804820EDAC}">
                        <c15:formulaRef>
                          <c15:sqref>'Black Grouper'!$D$2</c15:sqref>
                        </c15:formulaRef>
                      </c:ext>
                    </c:extLst>
                    <c:strCache>
                      <c:ptCount val="1"/>
                      <c:pt idx="0">
                        <c:v>Total New Est</c:v>
                      </c:pt>
                    </c:strCache>
                  </c:strRef>
                </c:tx>
                <c:val>
                  <c:numRef>
                    <c:extLst>
                      <c:ext uri="{02D57815-91ED-43cb-92C2-25804820EDAC}">
                        <c15:formulaRef>
                          <c15:sqref>'Black Grouper'!$D$3:$D$34</c15:sqref>
                        </c15:formulaRef>
                      </c:ext>
                    </c:extLst>
                    <c:numCache>
                      <c:formatCode>#,##0</c:formatCode>
                      <c:ptCount val="32"/>
                      <c:pt idx="0">
                        <c:v>1922751.8870809998</c:v>
                      </c:pt>
                      <c:pt idx="1">
                        <c:v>1637312.4008839997</c:v>
                      </c:pt>
                      <c:pt idx="2">
                        <c:v>2702766.6130821994</c:v>
                      </c:pt>
                      <c:pt idx="3">
                        <c:v>953054.87236299959</c:v>
                      </c:pt>
                      <c:pt idx="4">
                        <c:v>1692596.196454</c:v>
                      </c:pt>
                      <c:pt idx="5">
                        <c:v>1149278.6110963002</c:v>
                      </c:pt>
                      <c:pt idx="6">
                        <c:v>579801.81203922001</c:v>
                      </c:pt>
                      <c:pt idx="7">
                        <c:v>518267.91147099022</c:v>
                      </c:pt>
                      <c:pt idx="8">
                        <c:v>523821.30471569998</c:v>
                      </c:pt>
                      <c:pt idx="9">
                        <c:v>741594.49310019996</c:v>
                      </c:pt>
                      <c:pt idx="10">
                        <c:v>1482664.9054413498</c:v>
                      </c:pt>
                      <c:pt idx="11">
                        <c:v>2133400.1157414974</c:v>
                      </c:pt>
                      <c:pt idx="12">
                        <c:v>773210.54508496972</c:v>
                      </c:pt>
                      <c:pt idx="13">
                        <c:v>376118.9730713123</c:v>
                      </c:pt>
                      <c:pt idx="14">
                        <c:v>544605.27665212005</c:v>
                      </c:pt>
                      <c:pt idx="15">
                        <c:v>445699.83576547977</c:v>
                      </c:pt>
                      <c:pt idx="16">
                        <c:v>845379.89065544982</c:v>
                      </c:pt>
                      <c:pt idx="17">
                        <c:v>784365.70092002989</c:v>
                      </c:pt>
                      <c:pt idx="18">
                        <c:v>1168431.1736695999</c:v>
                      </c:pt>
                      <c:pt idx="19">
                        <c:v>348505.57375575986</c:v>
                      </c:pt>
                      <c:pt idx="20">
                        <c:v>696765.64505541022</c:v>
                      </c:pt>
                      <c:pt idx="21">
                        <c:v>641642.25013318018</c:v>
                      </c:pt>
                      <c:pt idx="22">
                        <c:v>608111.89985535014</c:v>
                      </c:pt>
                      <c:pt idx="23">
                        <c:v>718638.97764779977</c:v>
                      </c:pt>
                      <c:pt idx="24">
                        <c:v>83380.907770539983</c:v>
                      </c:pt>
                      <c:pt idx="25">
                        <c:v>157295.98607425002</c:v>
                      </c:pt>
                      <c:pt idx="26">
                        <c:v>283988.56858855998</c:v>
                      </c:pt>
                      <c:pt idx="27">
                        <c:v>325660.51294442994</c:v>
                      </c:pt>
                      <c:pt idx="28">
                        <c:v>265441.91880704998</c:v>
                      </c:pt>
                      <c:pt idx="29">
                        <c:v>416275.0749395499</c:v>
                      </c:pt>
                      <c:pt idx="30">
                        <c:v>578125.42846867978</c:v>
                      </c:pt>
                      <c:pt idx="31">
                        <c:v>306472.00073880004</c:v>
                      </c:pt>
                    </c:numCache>
                  </c:numRef>
                </c:val>
                <c:smooth val="0"/>
                <c:extLst>
                  <c:ext xmlns:c16="http://schemas.microsoft.com/office/drawing/2014/chart" uri="{C3380CC4-5D6E-409C-BE32-E72D297353CC}">
                    <c16:uniqueId val="{00000003-0659-44FD-B3B1-09995F48C4B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'Black Grouper'!$G$2</c15:sqref>
                        </c15:formulaRef>
                      </c:ext>
                    </c:extLst>
                    <c:strCache>
                      <c:ptCount val="1"/>
                      <c:pt idx="0">
                        <c:v>Total Orig FES</c:v>
                      </c:pt>
                    </c:strCache>
                  </c:strRef>
                </c:tx>
                <c:spPr>
                  <a:ln>
                    <a:solidFill>
                      <a:schemeClr val="accent5"/>
                    </a:solidFill>
                  </a:ln>
                </c:spPr>
                <c:marker>
                  <c:spPr>
                    <a:ln>
                      <a:solidFill>
                        <a:schemeClr val="accent5"/>
                      </a:solidFill>
                    </a:ln>
                  </c:spPr>
                </c:marker>
                <c:val>
                  <c:numRef>
                    <c:extLst xmlns:c15="http://schemas.microsoft.com/office/drawing/2012/chart">
                      <c:ext xmlns:c15="http://schemas.microsoft.com/office/drawing/2012/chart" uri="{02D57815-91ED-43cb-92C2-25804820EDAC}">
                        <c15:formulaRef>
                          <c15:sqref>'Black Grouper'!$G$3:$G$34</c15:sqref>
                        </c15:formulaRef>
                      </c:ext>
                    </c:extLst>
                    <c:numCache>
                      <c:formatCode>#,##0</c:formatCode>
                      <c:ptCount val="32"/>
                      <c:pt idx="0">
                        <c:v>1955140.1510045999</c:v>
                      </c:pt>
                      <c:pt idx="1">
                        <c:v>1755318.1381289994</c:v>
                      </c:pt>
                      <c:pt idx="2">
                        <c:v>2633505.9757021996</c:v>
                      </c:pt>
                      <c:pt idx="3">
                        <c:v>799662.58492000028</c:v>
                      </c:pt>
                      <c:pt idx="4">
                        <c:v>1815371.7775619999</c:v>
                      </c:pt>
                      <c:pt idx="5">
                        <c:v>1056123.9100874001</c:v>
                      </c:pt>
                      <c:pt idx="6">
                        <c:v>677091.84572332015</c:v>
                      </c:pt>
                      <c:pt idx="7">
                        <c:v>540799.18411379016</c:v>
                      </c:pt>
                      <c:pt idx="8">
                        <c:v>506405.05486079998</c:v>
                      </c:pt>
                      <c:pt idx="9">
                        <c:v>678360.36355940008</c:v>
                      </c:pt>
                      <c:pt idx="10">
                        <c:v>1525200.1043777498</c:v>
                      </c:pt>
                      <c:pt idx="11">
                        <c:v>2142623.9377692975</c:v>
                      </c:pt>
                      <c:pt idx="12">
                        <c:v>789202.9302831497</c:v>
                      </c:pt>
                      <c:pt idx="13">
                        <c:v>368378.56690403138</c:v>
                      </c:pt>
                      <c:pt idx="14">
                        <c:v>498231.85797934199</c:v>
                      </c:pt>
                      <c:pt idx="15">
                        <c:v>383887.64651182992</c:v>
                      </c:pt>
                      <c:pt idx="16">
                        <c:v>848692.28417719982</c:v>
                      </c:pt>
                      <c:pt idx="17">
                        <c:v>774320.51988355001</c:v>
                      </c:pt>
                      <c:pt idx="18">
                        <c:v>1167533.5873702201</c:v>
                      </c:pt>
                      <c:pt idx="19">
                        <c:v>348598.16647894995</c:v>
                      </c:pt>
                      <c:pt idx="20">
                        <c:v>695324.48183806019</c:v>
                      </c:pt>
                      <c:pt idx="21">
                        <c:v>644036.86277487001</c:v>
                      </c:pt>
                      <c:pt idx="22">
                        <c:v>608057.33531571017</c:v>
                      </c:pt>
                      <c:pt idx="23">
                        <c:v>597079.47989139974</c:v>
                      </c:pt>
                      <c:pt idx="24">
                        <c:v>83243.538492239983</c:v>
                      </c:pt>
                      <c:pt idx="25">
                        <c:v>156991.60731878999</c:v>
                      </c:pt>
                      <c:pt idx="26">
                        <c:v>279313.92009800003</c:v>
                      </c:pt>
                      <c:pt idx="27">
                        <c:v>324813.19880130998</c:v>
                      </c:pt>
                      <c:pt idx="28">
                        <c:v>278578.47428477998</c:v>
                      </c:pt>
                      <c:pt idx="29">
                        <c:v>400202.55010198994</c:v>
                      </c:pt>
                      <c:pt idx="30">
                        <c:v>584854.92761661985</c:v>
                      </c:pt>
                      <c:pt idx="31">
                        <c:v>305557.68245740002</c:v>
                      </c:pt>
                    </c:numCache>
                  </c:numRef>
                </c:val>
                <c:smooth val="0"/>
                <c:extLst xmlns:c15="http://schemas.microsoft.com/office/drawing/2012/chart">
                  <c:ext xmlns:c16="http://schemas.microsoft.com/office/drawing/2014/chart" uri="{C3380CC4-5D6E-409C-BE32-E72D297353CC}">
                    <c16:uniqueId val="{00000004-0659-44FD-B3B1-09995F48C4BB}"/>
                  </c:ext>
                </c:extLst>
              </c15:ser>
            </c15:filteredLineSeries>
          </c:ext>
        </c:extLst>
      </c:lineChart>
      <c:catAx>
        <c:axId val="33852089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txPr>
          <a:bodyPr rot="-2700000"/>
          <a:lstStyle/>
          <a:p>
            <a:pPr>
              <a:defRPr/>
            </a:pPr>
            <a:endParaRPr lang="en-US"/>
          </a:p>
        </c:txPr>
        <c:crossAx val="338521472"/>
        <c:crosses val="autoZero"/>
        <c:auto val="1"/>
        <c:lblAlgn val="ctr"/>
        <c:lblOffset val="100"/>
        <c:noMultiLvlLbl val="1"/>
      </c:catAx>
      <c:valAx>
        <c:axId val="33852147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8520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3"/>
          <c:order val="1"/>
          <c:tx>
            <c:strRef>
              <c:f>'Shallow-Water Complex'!$AI$3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Complex'!$AI$4:$AI$35</c:f>
              <c:numCache>
                <c:formatCode>#,##0</c:formatCode>
                <c:ptCount val="32"/>
                <c:pt idx="0">
                  <c:v>1314.966739</c:v>
                </c:pt>
                <c:pt idx="1">
                  <c:v>193.45364999999998</c:v>
                </c:pt>
                <c:pt idx="2">
                  <c:v>34760.9156754</c:v>
                </c:pt>
                <c:pt idx="3">
                  <c:v>22143.332126000001</c:v>
                </c:pt>
                <c:pt idx="4">
                  <c:v>908.47156800000016</c:v>
                </c:pt>
                <c:pt idx="5">
                  <c:v>42.240136</c:v>
                </c:pt>
                <c:pt idx="6">
                  <c:v>514.48750200000006</c:v>
                </c:pt>
                <c:pt idx="7">
                  <c:v>10730.8777593</c:v>
                </c:pt>
                <c:pt idx="8">
                  <c:v>703.86264200000005</c:v>
                </c:pt>
                <c:pt idx="9">
                  <c:v>412.54679800000002</c:v>
                </c:pt>
                <c:pt idx="10">
                  <c:v>7414.2513551000002</c:v>
                </c:pt>
                <c:pt idx="11">
                  <c:v>685.87310599999978</c:v>
                </c:pt>
                <c:pt idx="12">
                  <c:v>324.23052199999989</c:v>
                </c:pt>
                <c:pt idx="13">
                  <c:v>35.097231999999998</c:v>
                </c:pt>
                <c:pt idx="14">
                  <c:v>389.00166999999999</c:v>
                </c:pt>
                <c:pt idx="15">
                  <c:v>703.2788061</c:v>
                </c:pt>
                <c:pt idx="16">
                  <c:v>5168.9599729000001</c:v>
                </c:pt>
                <c:pt idx="17">
                  <c:v>197.42193</c:v>
                </c:pt>
                <c:pt idx="18">
                  <c:v>655.47167200000001</c:v>
                </c:pt>
                <c:pt idx="19">
                  <c:v>712.0417080000002</c:v>
                </c:pt>
                <c:pt idx="20">
                  <c:v>31319.880957199999</c:v>
                </c:pt>
                <c:pt idx="21">
                  <c:v>1586.0090814</c:v>
                </c:pt>
                <c:pt idx="22">
                  <c:v>190.74860580000004</c:v>
                </c:pt>
                <c:pt idx="23">
                  <c:v>174.1457632</c:v>
                </c:pt>
                <c:pt idx="24">
                  <c:v>125.353556</c:v>
                </c:pt>
                <c:pt idx="25">
                  <c:v>82.773911600000005</c:v>
                </c:pt>
                <c:pt idx="26">
                  <c:v>5721.0354551999999</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1-FF4E-4B22-B3EC-689DF8D80883}"/>
            </c:ext>
          </c:extLst>
        </c:ser>
        <c:ser>
          <c:idx val="5"/>
          <c:order val="3"/>
          <c:tx>
            <c:strRef>
              <c:f>'Shallow-Water Complex'!$AR$3</c:f>
              <c:strCache>
                <c:ptCount val="1"/>
                <c:pt idx="0">
                  <c:v>Orig FES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Complex'!$AR$4:$AR$35</c:f>
              <c:numCache>
                <c:formatCode>#,##0</c:formatCode>
                <c:ptCount val="32"/>
                <c:pt idx="0">
                  <c:v>1314.966739</c:v>
                </c:pt>
                <c:pt idx="1">
                  <c:v>193.45364999999998</c:v>
                </c:pt>
                <c:pt idx="2">
                  <c:v>30816.453113400003</c:v>
                </c:pt>
                <c:pt idx="3">
                  <c:v>19617.874170000006</c:v>
                </c:pt>
                <c:pt idx="4">
                  <c:v>908.47156800000016</c:v>
                </c:pt>
                <c:pt idx="5">
                  <c:v>42.240136</c:v>
                </c:pt>
                <c:pt idx="6">
                  <c:v>514.48750200000006</c:v>
                </c:pt>
                <c:pt idx="7">
                  <c:v>9580.8914882999998</c:v>
                </c:pt>
                <c:pt idx="8">
                  <c:v>703.86264200000005</c:v>
                </c:pt>
                <c:pt idx="9">
                  <c:v>412.54679800000002</c:v>
                </c:pt>
                <c:pt idx="10">
                  <c:v>6627.5554028999995</c:v>
                </c:pt>
                <c:pt idx="11">
                  <c:v>685.87310599999978</c:v>
                </c:pt>
                <c:pt idx="12">
                  <c:v>324.23052199999989</c:v>
                </c:pt>
                <c:pt idx="13">
                  <c:v>35.097231999999998</c:v>
                </c:pt>
                <c:pt idx="14">
                  <c:v>389.00166999999999</c:v>
                </c:pt>
                <c:pt idx="15">
                  <c:v>654.81144239000014</c:v>
                </c:pt>
                <c:pt idx="16">
                  <c:v>4631.153048600002</c:v>
                </c:pt>
                <c:pt idx="17">
                  <c:v>197.42193</c:v>
                </c:pt>
                <c:pt idx="18">
                  <c:v>655.47167200000001</c:v>
                </c:pt>
                <c:pt idx="19">
                  <c:v>712.0417080000002</c:v>
                </c:pt>
                <c:pt idx="20">
                  <c:v>27817.585878200003</c:v>
                </c:pt>
                <c:pt idx="21">
                  <c:v>1586.0090814</c:v>
                </c:pt>
                <c:pt idx="22">
                  <c:v>190.74860580000004</c:v>
                </c:pt>
                <c:pt idx="23">
                  <c:v>174.1457632</c:v>
                </c:pt>
                <c:pt idx="24">
                  <c:v>125.353556</c:v>
                </c:pt>
                <c:pt idx="25">
                  <c:v>82.773911600000005</c:v>
                </c:pt>
                <c:pt idx="26">
                  <c:v>5075.3718272000006</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3-FF4E-4B22-B3EC-689DF8D80883}"/>
            </c:ext>
          </c:extLst>
        </c:ser>
        <c:ser>
          <c:idx val="6"/>
          <c:order val="4"/>
          <c:tx>
            <c:strRef>
              <c:f>'Shallow-Water Complex'!$U$139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Complex'!$O$140:$O$171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Complex'!$U$140:$U$171</c:f>
              <c:numCache>
                <c:formatCode>#,##0</c:formatCode>
                <c:ptCount val="32"/>
                <c:pt idx="0">
                  <c:v>1314.966739</c:v>
                </c:pt>
                <c:pt idx="1">
                  <c:v>193.45364999999998</c:v>
                </c:pt>
                <c:pt idx="3">
                  <c:v>37130.310349979132</c:v>
                </c:pt>
                <c:pt idx="4">
                  <c:v>908.47156800000016</c:v>
                </c:pt>
                <c:pt idx="5">
                  <c:v>42.240136</c:v>
                </c:pt>
                <c:pt idx="6">
                  <c:v>514.48750200000006</c:v>
                </c:pt>
                <c:pt idx="7">
                  <c:v>50285.673279022092</c:v>
                </c:pt>
                <c:pt idx="8">
                  <c:v>703.86264200000005</c:v>
                </c:pt>
                <c:pt idx="9">
                  <c:v>412.54679800000002</c:v>
                </c:pt>
                <c:pt idx="10">
                  <c:v>6174.2146372701473</c:v>
                </c:pt>
                <c:pt idx="11">
                  <c:v>685.87310599999978</c:v>
                </c:pt>
                <c:pt idx="12">
                  <c:v>324.23052199999989</c:v>
                </c:pt>
                <c:pt idx="13">
                  <c:v>35.097231999999998</c:v>
                </c:pt>
                <c:pt idx="14">
                  <c:v>389.00166999999999</c:v>
                </c:pt>
                <c:pt idx="15">
                  <c:v>904.0488926653594</c:v>
                </c:pt>
                <c:pt idx="16">
                  <c:v>6479.7719473454808</c:v>
                </c:pt>
                <c:pt idx="17">
                  <c:v>197.42193</c:v>
                </c:pt>
                <c:pt idx="18">
                  <c:v>655.47167200000001</c:v>
                </c:pt>
                <c:pt idx="19">
                  <c:v>712.0417080000002</c:v>
                </c:pt>
                <c:pt idx="20">
                  <c:v>77353.973241378291</c:v>
                </c:pt>
                <c:pt idx="21">
                  <c:v>1586.0090814</c:v>
                </c:pt>
                <c:pt idx="22">
                  <c:v>190.74860580000004</c:v>
                </c:pt>
                <c:pt idx="23">
                  <c:v>174.1457632</c:v>
                </c:pt>
                <c:pt idx="24">
                  <c:v>125.353556</c:v>
                </c:pt>
                <c:pt idx="25">
                  <c:v>82.773911600000005</c:v>
                </c:pt>
                <c:pt idx="26">
                  <c:v>5626.1891126926866</c:v>
                </c:pt>
                <c:pt idx="27">
                  <c:v>112.20091240000001</c:v>
                </c:pt>
                <c:pt idx="28">
                  <c:v>421.30567379999997</c:v>
                </c:pt>
                <c:pt idx="29">
                  <c:v>117.51399839999999</c:v>
                </c:pt>
                <c:pt idx="30">
                  <c:v>46.100390599999997</c:v>
                </c:pt>
                <c:pt idx="31">
                  <c:v>29.576913600000001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73D3-47B8-B960-7B489C72FEC9}"/>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Complex'!$E$3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Complex'!$E$4:$E$35</c15:sqref>
                        </c15:formulaRef>
                      </c:ext>
                    </c:extLst>
                    <c:numCache>
                      <c:formatCode>#,##0</c:formatCode>
                      <c:ptCount val="32"/>
                      <c:pt idx="0">
                        <c:v>27322.966739</c:v>
                      </c:pt>
                      <c:pt idx="1">
                        <c:v>4467.4536500000004</c:v>
                      </c:pt>
                      <c:pt idx="2">
                        <c:v>36496.9156754</c:v>
                      </c:pt>
                      <c:pt idx="3">
                        <c:v>22999.332126000001</c:v>
                      </c:pt>
                      <c:pt idx="4">
                        <c:v>4434.4715679999999</c:v>
                      </c:pt>
                      <c:pt idx="5">
                        <c:v>3264.2401359999999</c:v>
                      </c:pt>
                      <c:pt idx="6">
                        <c:v>11286.487502</c:v>
                      </c:pt>
                      <c:pt idx="7">
                        <c:v>13469.8777593</c:v>
                      </c:pt>
                      <c:pt idx="8">
                        <c:v>4446.8626420000001</c:v>
                      </c:pt>
                      <c:pt idx="9">
                        <c:v>5358.5467980000003</c:v>
                      </c:pt>
                      <c:pt idx="10">
                        <c:v>14845.251355100001</c:v>
                      </c:pt>
                      <c:pt idx="11">
                        <c:v>4125.873106</c:v>
                      </c:pt>
                      <c:pt idx="12">
                        <c:v>1627.2305219999998</c:v>
                      </c:pt>
                      <c:pt idx="13">
                        <c:v>3832.0972320000001</c:v>
                      </c:pt>
                      <c:pt idx="14">
                        <c:v>2906.0016700000001</c:v>
                      </c:pt>
                      <c:pt idx="15">
                        <c:v>4590.2788061000001</c:v>
                      </c:pt>
                      <c:pt idx="16">
                        <c:v>7338.9599729000001</c:v>
                      </c:pt>
                      <c:pt idx="17">
                        <c:v>2223.42193</c:v>
                      </c:pt>
                      <c:pt idx="18">
                        <c:v>9259.4716719999997</c:v>
                      </c:pt>
                      <c:pt idx="19">
                        <c:v>3777.0417080000002</c:v>
                      </c:pt>
                      <c:pt idx="20">
                        <c:v>40720.880957200003</c:v>
                      </c:pt>
                      <c:pt idx="21">
                        <c:v>10625.0090814</c:v>
                      </c:pt>
                      <c:pt idx="22">
                        <c:v>4205.7486058000004</c:v>
                      </c:pt>
                      <c:pt idx="23">
                        <c:v>3284.1457632000001</c:v>
                      </c:pt>
                      <c:pt idx="24">
                        <c:v>3774.353556</c:v>
                      </c:pt>
                      <c:pt idx="25">
                        <c:v>5241.7739116000002</c:v>
                      </c:pt>
                      <c:pt idx="26">
                        <c:v>8795.035455199999</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0-FF4E-4B22-B3EC-689DF8D80883}"/>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Complex'!$O$3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Complex'!$O$4:$O$35</c15:sqref>
                        </c15:formulaRef>
                      </c:ext>
                    </c:extLst>
                    <c:numCache>
                      <c:formatCode>#,##0</c:formatCode>
                      <c:ptCount val="32"/>
                      <c:pt idx="0">
                        <c:v>27322.966739</c:v>
                      </c:pt>
                      <c:pt idx="1">
                        <c:v>4467.4536500000004</c:v>
                      </c:pt>
                      <c:pt idx="2">
                        <c:v>32552.453113400003</c:v>
                      </c:pt>
                      <c:pt idx="3">
                        <c:v>20473.874170000006</c:v>
                      </c:pt>
                      <c:pt idx="4">
                        <c:v>4434.4715679999999</c:v>
                      </c:pt>
                      <c:pt idx="5">
                        <c:v>3264.2401359999999</c:v>
                      </c:pt>
                      <c:pt idx="6">
                        <c:v>11286.487502</c:v>
                      </c:pt>
                      <c:pt idx="7">
                        <c:v>12319.8914883</c:v>
                      </c:pt>
                      <c:pt idx="8">
                        <c:v>4446.8626420000001</c:v>
                      </c:pt>
                      <c:pt idx="9">
                        <c:v>5358.5467980000003</c:v>
                      </c:pt>
                      <c:pt idx="10">
                        <c:v>14058.5554029</c:v>
                      </c:pt>
                      <c:pt idx="11">
                        <c:v>4125.873106</c:v>
                      </c:pt>
                      <c:pt idx="12">
                        <c:v>1627.2305219999998</c:v>
                      </c:pt>
                      <c:pt idx="13">
                        <c:v>3832.0972320000001</c:v>
                      </c:pt>
                      <c:pt idx="14">
                        <c:v>2906.0016700000001</c:v>
                      </c:pt>
                      <c:pt idx="15">
                        <c:v>4541.8114423900006</c:v>
                      </c:pt>
                      <c:pt idx="16">
                        <c:v>6801.153048600002</c:v>
                      </c:pt>
                      <c:pt idx="17">
                        <c:v>2223.42193</c:v>
                      </c:pt>
                      <c:pt idx="18">
                        <c:v>9259.4716719999997</c:v>
                      </c:pt>
                      <c:pt idx="19">
                        <c:v>3777.0417080000002</c:v>
                      </c:pt>
                      <c:pt idx="20">
                        <c:v>37218.5858782</c:v>
                      </c:pt>
                      <c:pt idx="21">
                        <c:v>10625.0090814</c:v>
                      </c:pt>
                      <c:pt idx="22">
                        <c:v>4205.7486058000004</c:v>
                      </c:pt>
                      <c:pt idx="23">
                        <c:v>3284.1457632000001</c:v>
                      </c:pt>
                      <c:pt idx="24">
                        <c:v>3774.353556</c:v>
                      </c:pt>
                      <c:pt idx="25">
                        <c:v>5241.7739116000002</c:v>
                      </c:pt>
                      <c:pt idx="26">
                        <c:v>8149.3718272000006</c:v>
                      </c:pt>
                      <c:pt idx="27">
                        <c:v>1592.2009124000001</c:v>
                      </c:pt>
                      <c:pt idx="28">
                        <c:v>2908.3056738</c:v>
                      </c:pt>
                      <c:pt idx="29">
                        <c:v>1453.5139984</c:v>
                      </c:pt>
                      <c:pt idx="30">
                        <c:v>678.10039059999997</c:v>
                      </c:pt>
                      <c:pt idx="31">
                        <c:v>893.57691360000001</c:v>
                      </c:pt>
                    </c:numCache>
                  </c:numRef>
                </c:yVal>
                <c:smooth val="0"/>
                <c:extLst xmlns:c15="http://schemas.microsoft.com/office/drawing/2012/chart">
                  <c:ext xmlns:c16="http://schemas.microsoft.com/office/drawing/2014/chart" uri="{C3380CC4-5D6E-409C-BE32-E72D297353CC}">
                    <c16:uniqueId val="{00000002-FF4E-4B22-B3EC-689DF8D80883}"/>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Complex'!$E$41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Complex'!$E$42:$E$47</c15:sqref>
                        </c15:formulaRef>
                      </c:ext>
                    </c:extLst>
                    <c:numCache>
                      <c:formatCode>#,##0</c:formatCode>
                      <c:ptCount val="6"/>
                      <c:pt idx="0">
                        <c:v>9259.4716719999997</c:v>
                      </c:pt>
                      <c:pt idx="1">
                        <c:v>9259.4716719999997</c:v>
                      </c:pt>
                      <c:pt idx="2">
                        <c:v>9259.4716719999997</c:v>
                      </c:pt>
                      <c:pt idx="3">
                        <c:v>9259.4716719999997</c:v>
                      </c:pt>
                      <c:pt idx="4">
                        <c:v>9259.4716719999997</c:v>
                      </c:pt>
                      <c:pt idx="5">
                        <c:v>9259.4716719999997</c:v>
                      </c:pt>
                    </c:numCache>
                  </c:numRef>
                </c:yVal>
                <c:smooth val="0"/>
                <c:extLst xmlns:c15="http://schemas.microsoft.com/office/drawing/2012/chart">
                  <c:ext xmlns:c16="http://schemas.microsoft.com/office/drawing/2014/chart" uri="{C3380CC4-5D6E-409C-BE32-E72D297353CC}">
                    <c16:uniqueId val="{00000004-FF4E-4B22-B3EC-689DF8D80883}"/>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Complex'!$O$41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Complex'!$O$42:$O$47</c15:sqref>
                        </c15:formulaRef>
                      </c:ext>
                    </c:extLst>
                    <c:numCache>
                      <c:formatCode>#,##0</c:formatCode>
                      <c:ptCount val="6"/>
                      <c:pt idx="0">
                        <c:v>9259.4716719999997</c:v>
                      </c:pt>
                      <c:pt idx="1">
                        <c:v>9259.4716719999997</c:v>
                      </c:pt>
                      <c:pt idx="2">
                        <c:v>9259.4716719999997</c:v>
                      </c:pt>
                      <c:pt idx="3">
                        <c:v>9259.4716719999997</c:v>
                      </c:pt>
                      <c:pt idx="4">
                        <c:v>9259.4716719999997</c:v>
                      </c:pt>
                      <c:pt idx="5">
                        <c:v>9259.4716719999997</c:v>
                      </c:pt>
                    </c:numCache>
                  </c:numRef>
                </c:yVal>
                <c:smooth val="0"/>
                <c:extLst xmlns:c15="http://schemas.microsoft.com/office/drawing/2012/chart">
                  <c:ext xmlns:c16="http://schemas.microsoft.com/office/drawing/2014/chart" uri="{C3380CC4-5D6E-409C-BE32-E72D297353CC}">
                    <c16:uniqueId val="{00000005-FF4E-4B22-B3EC-689DF8D80883}"/>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8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3"/>
          <c:order val="1"/>
          <c:tx>
            <c:strRef>
              <c:f>'Shallow-Water Complex'!$AJ$3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Complex'!$AJ$4:$AJ$35</c:f>
              <c:numCache>
                <c:formatCode>#,##0</c:formatCode>
                <c:ptCount val="32"/>
                <c:pt idx="0">
                  <c:v>113.15991339999998</c:v>
                </c:pt>
                <c:pt idx="1">
                  <c:v>280.32811760000004</c:v>
                </c:pt>
                <c:pt idx="2">
                  <c:v>308.2008754000002</c:v>
                </c:pt>
                <c:pt idx="3">
                  <c:v>1657.7203102000003</c:v>
                </c:pt>
                <c:pt idx="4">
                  <c:v>2756.6716761000002</c:v>
                </c:pt>
                <c:pt idx="5">
                  <c:v>411.2681300000001</c:v>
                </c:pt>
                <c:pt idx="6">
                  <c:v>605.22883800000011</c:v>
                </c:pt>
                <c:pt idx="7">
                  <c:v>8342.9302663099988</c:v>
                </c:pt>
                <c:pt idx="8">
                  <c:v>720.598487707</c:v>
                </c:pt>
                <c:pt idx="9">
                  <c:v>101.27932399999999</c:v>
                </c:pt>
                <c:pt idx="10">
                  <c:v>4033.8652448000003</c:v>
                </c:pt>
                <c:pt idx="11">
                  <c:v>249.53867400000001</c:v>
                </c:pt>
                <c:pt idx="12">
                  <c:v>660.45265436999989</c:v>
                </c:pt>
                <c:pt idx="13">
                  <c:v>605.11873173219999</c:v>
                </c:pt>
                <c:pt idx="14">
                  <c:v>2908.8264222100001</c:v>
                </c:pt>
                <c:pt idx="15">
                  <c:v>56.752097592400006</c:v>
                </c:pt>
                <c:pt idx="16">
                  <c:v>16.931328000000001</c:v>
                </c:pt>
                <c:pt idx="17">
                  <c:v>2967.9227074789997</c:v>
                </c:pt>
                <c:pt idx="18">
                  <c:v>4159.9052978700001</c:v>
                </c:pt>
                <c:pt idx="19">
                  <c:v>3922.4777806940001</c:v>
                </c:pt>
                <c:pt idx="20">
                  <c:v>4163.3292135869997</c:v>
                </c:pt>
                <c:pt idx="21">
                  <c:v>2602.1527339719996</c:v>
                </c:pt>
                <c:pt idx="22">
                  <c:v>2824.2233179999998</c:v>
                </c:pt>
                <c:pt idx="23">
                  <c:v>5440.1429379299998</c:v>
                </c:pt>
                <c:pt idx="24">
                  <c:v>894.31759863600007</c:v>
                </c:pt>
                <c:pt idx="25">
                  <c:v>18.615642399999999</c:v>
                </c:pt>
                <c:pt idx="26">
                  <c:v>19.788489599999998</c:v>
                </c:pt>
                <c:pt idx="27">
                  <c:v>518.04311364</c:v>
                </c:pt>
                <c:pt idx="28">
                  <c:v>198.40338513899999</c:v>
                </c:pt>
                <c:pt idx="29">
                  <c:v>263.25789979999996</c:v>
                </c:pt>
                <c:pt idx="30">
                  <c:v>421.65240534099996</c:v>
                </c:pt>
                <c:pt idx="31">
                  <c:v>1760.2019935999999</c:v>
                </c:pt>
              </c:numCache>
            </c:numRef>
          </c:yVal>
          <c:smooth val="0"/>
          <c:extLst>
            <c:ext xmlns:c16="http://schemas.microsoft.com/office/drawing/2014/chart" uri="{C3380CC4-5D6E-409C-BE32-E72D297353CC}">
              <c16:uniqueId val="{00000001-2D70-41E9-A9B8-AD92F6C3BDF6}"/>
            </c:ext>
          </c:extLst>
        </c:ser>
        <c:ser>
          <c:idx val="5"/>
          <c:order val="3"/>
          <c:tx>
            <c:strRef>
              <c:f>'Shallow-Water Complex'!$AS$3</c:f>
              <c:strCache>
                <c:ptCount val="1"/>
                <c:pt idx="0">
                  <c:v>Orig FES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Complex'!$AS$4:$AS$35</c:f>
              <c:numCache>
                <c:formatCode>#,##0</c:formatCode>
                <c:ptCount val="32"/>
                <c:pt idx="0">
                  <c:v>113.15991339999998</c:v>
                </c:pt>
                <c:pt idx="1">
                  <c:v>280.32811760000004</c:v>
                </c:pt>
                <c:pt idx="2">
                  <c:v>308.2008754000002</c:v>
                </c:pt>
                <c:pt idx="3">
                  <c:v>1657.7203102000003</c:v>
                </c:pt>
                <c:pt idx="4">
                  <c:v>2756.6716760999993</c:v>
                </c:pt>
                <c:pt idx="5">
                  <c:v>411.2681300000001</c:v>
                </c:pt>
                <c:pt idx="6">
                  <c:v>605.22883800000011</c:v>
                </c:pt>
                <c:pt idx="7">
                  <c:v>8342.9302663100007</c:v>
                </c:pt>
                <c:pt idx="8">
                  <c:v>720.598487707</c:v>
                </c:pt>
                <c:pt idx="9">
                  <c:v>101.27932399999999</c:v>
                </c:pt>
                <c:pt idx="10">
                  <c:v>4033.8652447999993</c:v>
                </c:pt>
                <c:pt idx="11">
                  <c:v>249.53867400000001</c:v>
                </c:pt>
                <c:pt idx="12">
                  <c:v>660.45265437</c:v>
                </c:pt>
                <c:pt idx="13">
                  <c:v>605.11873173219999</c:v>
                </c:pt>
                <c:pt idx="14">
                  <c:v>2908.8264222100011</c:v>
                </c:pt>
                <c:pt idx="15">
                  <c:v>56.752097592399998</c:v>
                </c:pt>
                <c:pt idx="16">
                  <c:v>16.931328000000001</c:v>
                </c:pt>
                <c:pt idx="17">
                  <c:v>2967.9227074790001</c:v>
                </c:pt>
                <c:pt idx="18">
                  <c:v>4159.9052978699992</c:v>
                </c:pt>
                <c:pt idx="19">
                  <c:v>3922.4777806940001</c:v>
                </c:pt>
                <c:pt idx="20">
                  <c:v>4163.3292135870006</c:v>
                </c:pt>
                <c:pt idx="21">
                  <c:v>2602.1527339720005</c:v>
                </c:pt>
                <c:pt idx="22">
                  <c:v>2824.2233180000003</c:v>
                </c:pt>
                <c:pt idx="23">
                  <c:v>5440.1429379300007</c:v>
                </c:pt>
                <c:pt idx="24">
                  <c:v>894.31759863599996</c:v>
                </c:pt>
                <c:pt idx="25">
                  <c:v>18.615642399999999</c:v>
                </c:pt>
                <c:pt idx="26">
                  <c:v>19.788489599999998</c:v>
                </c:pt>
                <c:pt idx="27">
                  <c:v>518.04311363999989</c:v>
                </c:pt>
                <c:pt idx="28">
                  <c:v>198.40338513900002</c:v>
                </c:pt>
                <c:pt idx="29">
                  <c:v>263.25789979999996</c:v>
                </c:pt>
                <c:pt idx="30">
                  <c:v>421.65240534100008</c:v>
                </c:pt>
                <c:pt idx="31">
                  <c:v>1760.2019935999992</c:v>
                </c:pt>
              </c:numCache>
            </c:numRef>
          </c:yVal>
          <c:smooth val="0"/>
          <c:extLst>
            <c:ext xmlns:c16="http://schemas.microsoft.com/office/drawing/2014/chart" uri="{C3380CC4-5D6E-409C-BE32-E72D297353CC}">
              <c16:uniqueId val="{00000003-2D70-41E9-A9B8-AD92F6C3BDF6}"/>
            </c:ext>
          </c:extLst>
        </c:ser>
        <c:ser>
          <c:idx val="6"/>
          <c:order val="4"/>
          <c:tx>
            <c:strRef>
              <c:f>'Shallow-Water Complex'!$AF$139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Complex'!$Z$140:$Z$171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Complex'!$AF$140:$AF$171</c:f>
              <c:numCache>
                <c:formatCode>#,##0</c:formatCode>
                <c:ptCount val="32"/>
                <c:pt idx="0">
                  <c:v>113.15991339999998</c:v>
                </c:pt>
                <c:pt idx="1">
                  <c:v>280.32811760000004</c:v>
                </c:pt>
                <c:pt idx="2">
                  <c:v>308.2008754000002</c:v>
                </c:pt>
                <c:pt idx="3">
                  <c:v>1657.7203102000003</c:v>
                </c:pt>
                <c:pt idx="4">
                  <c:v>3123.7981158800767</c:v>
                </c:pt>
                <c:pt idx="5">
                  <c:v>411.2681300000001</c:v>
                </c:pt>
                <c:pt idx="6">
                  <c:v>605.22883800000011</c:v>
                </c:pt>
                <c:pt idx="7">
                  <c:v>7352.7397379451777</c:v>
                </c:pt>
                <c:pt idx="8">
                  <c:v>713.28582810373473</c:v>
                </c:pt>
                <c:pt idx="9">
                  <c:v>101.27932399999999</c:v>
                </c:pt>
                <c:pt idx="10">
                  <c:v>4300.5125158000037</c:v>
                </c:pt>
                <c:pt idx="11">
                  <c:v>249.53867400000001</c:v>
                </c:pt>
                <c:pt idx="12">
                  <c:v>1728.3950817619384</c:v>
                </c:pt>
                <c:pt idx="13">
                  <c:v>837.14205247205825</c:v>
                </c:pt>
                <c:pt idx="14">
                  <c:v>3793.6050844698284</c:v>
                </c:pt>
                <c:pt idx="15">
                  <c:v>60.467058568563786</c:v>
                </c:pt>
                <c:pt idx="16">
                  <c:v>16.931328000000001</c:v>
                </c:pt>
                <c:pt idx="17">
                  <c:v>2270.3696564335969</c:v>
                </c:pt>
                <c:pt idx="18">
                  <c:v>3217.5759878456929</c:v>
                </c:pt>
                <c:pt idx="19">
                  <c:v>2876.6592774555479</c:v>
                </c:pt>
                <c:pt idx="20">
                  <c:v>2783.4319661267677</c:v>
                </c:pt>
                <c:pt idx="21">
                  <c:v>2241.2194415224385</c:v>
                </c:pt>
                <c:pt idx="22">
                  <c:v>3927.0132788155624</c:v>
                </c:pt>
                <c:pt idx="23">
                  <c:v>6136.3246866935397</c:v>
                </c:pt>
                <c:pt idx="24">
                  <c:v>634.15394670479816</c:v>
                </c:pt>
                <c:pt idx="25">
                  <c:v>18.615642399999999</c:v>
                </c:pt>
                <c:pt idx="26">
                  <c:v>19.788489599999998</c:v>
                </c:pt>
                <c:pt idx="27">
                  <c:v>513.35820760053241</c:v>
                </c:pt>
                <c:pt idx="28">
                  <c:v>167.45298568333624</c:v>
                </c:pt>
                <c:pt idx="29">
                  <c:v>263.25789979999996</c:v>
                </c:pt>
                <c:pt idx="30">
                  <c:v>411.04659933771501</c:v>
                </c:pt>
                <c:pt idx="31">
                  <c:v>1744.0004243837275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D1B9-456E-8DE6-583388558643}"/>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Complex'!$F$3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Complex'!$F$4:$F$35</c15:sqref>
                        </c15:formulaRef>
                      </c:ext>
                    </c:extLst>
                    <c:numCache>
                      <c:formatCode>#,##0</c:formatCode>
                      <c:ptCount val="32"/>
                      <c:pt idx="0">
                        <c:v>113.15991339999998</c:v>
                      </c:pt>
                      <c:pt idx="1">
                        <c:v>287.32811760000004</c:v>
                      </c:pt>
                      <c:pt idx="2">
                        <c:v>308.2008754000002</c:v>
                      </c:pt>
                      <c:pt idx="3">
                        <c:v>1657.7203102000003</c:v>
                      </c:pt>
                      <c:pt idx="4">
                        <c:v>2756.6716761000002</c:v>
                      </c:pt>
                      <c:pt idx="5">
                        <c:v>411.2681300000001</c:v>
                      </c:pt>
                      <c:pt idx="6">
                        <c:v>886.22883800000011</c:v>
                      </c:pt>
                      <c:pt idx="7">
                        <c:v>8344.9302663099988</c:v>
                      </c:pt>
                      <c:pt idx="8">
                        <c:v>725.598487707</c:v>
                      </c:pt>
                      <c:pt idx="9">
                        <c:v>101.27932399999999</c:v>
                      </c:pt>
                      <c:pt idx="10">
                        <c:v>30677.865244799999</c:v>
                      </c:pt>
                      <c:pt idx="11">
                        <c:v>308.53867400000001</c:v>
                      </c:pt>
                      <c:pt idx="12">
                        <c:v>660.45265436999989</c:v>
                      </c:pt>
                      <c:pt idx="13">
                        <c:v>747.11873173219999</c:v>
                      </c:pt>
                      <c:pt idx="14">
                        <c:v>2908.8264222100001</c:v>
                      </c:pt>
                      <c:pt idx="15">
                        <c:v>59.752097592400006</c:v>
                      </c:pt>
                      <c:pt idx="16">
                        <c:v>22.931328000000001</c:v>
                      </c:pt>
                      <c:pt idx="17">
                        <c:v>2969.9227074789997</c:v>
                      </c:pt>
                      <c:pt idx="18">
                        <c:v>4196.9052978700001</c:v>
                      </c:pt>
                      <c:pt idx="19">
                        <c:v>3931.4777806940001</c:v>
                      </c:pt>
                      <c:pt idx="20">
                        <c:v>4170.3292135869997</c:v>
                      </c:pt>
                      <c:pt idx="21">
                        <c:v>2613.1527339719996</c:v>
                      </c:pt>
                      <c:pt idx="22">
                        <c:v>2826.2233179999998</c:v>
                      </c:pt>
                      <c:pt idx="23">
                        <c:v>5450.1429379299998</c:v>
                      </c:pt>
                      <c:pt idx="24">
                        <c:v>901.31759863600007</c:v>
                      </c:pt>
                      <c:pt idx="25">
                        <c:v>164.61564240000001</c:v>
                      </c:pt>
                      <c:pt idx="26">
                        <c:v>23.788489599999998</c:v>
                      </c:pt>
                      <c:pt idx="27">
                        <c:v>631.04311364</c:v>
                      </c:pt>
                      <c:pt idx="28">
                        <c:v>316.40338513899997</c:v>
                      </c:pt>
                      <c:pt idx="29">
                        <c:v>510.25789979999996</c:v>
                      </c:pt>
                      <c:pt idx="30">
                        <c:v>434.65240534099996</c:v>
                      </c:pt>
                      <c:pt idx="31">
                        <c:v>1763.2019935999999</c:v>
                      </c:pt>
                    </c:numCache>
                  </c:numRef>
                </c:yVal>
                <c:smooth val="0"/>
                <c:extLst>
                  <c:ext xmlns:c16="http://schemas.microsoft.com/office/drawing/2014/chart" uri="{C3380CC4-5D6E-409C-BE32-E72D297353CC}">
                    <c16:uniqueId val="{00000000-2D70-41E9-A9B8-AD92F6C3BDF6}"/>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Complex'!$P$3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Complex'!$P$4:$P$35</c15:sqref>
                        </c15:formulaRef>
                      </c:ext>
                    </c:extLst>
                    <c:numCache>
                      <c:formatCode>#,##0</c:formatCode>
                      <c:ptCount val="32"/>
                      <c:pt idx="0">
                        <c:v>113.15991339999998</c:v>
                      </c:pt>
                      <c:pt idx="1">
                        <c:v>287.32811760000004</c:v>
                      </c:pt>
                      <c:pt idx="2">
                        <c:v>308.2008754000002</c:v>
                      </c:pt>
                      <c:pt idx="3">
                        <c:v>1657.7203102000003</c:v>
                      </c:pt>
                      <c:pt idx="4">
                        <c:v>2756.6716760999993</c:v>
                      </c:pt>
                      <c:pt idx="5">
                        <c:v>411.2681300000001</c:v>
                      </c:pt>
                      <c:pt idx="6">
                        <c:v>886.22883800000011</c:v>
                      </c:pt>
                      <c:pt idx="7">
                        <c:v>8344.9302663100007</c:v>
                      </c:pt>
                      <c:pt idx="8">
                        <c:v>725.598487707</c:v>
                      </c:pt>
                      <c:pt idx="9">
                        <c:v>101.27932399999999</c:v>
                      </c:pt>
                      <c:pt idx="10">
                        <c:v>30677.865244799999</c:v>
                      </c:pt>
                      <c:pt idx="11">
                        <c:v>308.53867400000001</c:v>
                      </c:pt>
                      <c:pt idx="12">
                        <c:v>660.45265437</c:v>
                      </c:pt>
                      <c:pt idx="13">
                        <c:v>747.11873173219999</c:v>
                      </c:pt>
                      <c:pt idx="14">
                        <c:v>2908.8264222100011</c:v>
                      </c:pt>
                      <c:pt idx="15">
                        <c:v>59.752097592399998</c:v>
                      </c:pt>
                      <c:pt idx="16">
                        <c:v>22.931328000000001</c:v>
                      </c:pt>
                      <c:pt idx="17">
                        <c:v>2969.9227074790001</c:v>
                      </c:pt>
                      <c:pt idx="18">
                        <c:v>4196.9052978699992</c:v>
                      </c:pt>
                      <c:pt idx="19">
                        <c:v>3931.4777806940001</c:v>
                      </c:pt>
                      <c:pt idx="20">
                        <c:v>4170.3292135870006</c:v>
                      </c:pt>
                      <c:pt idx="21">
                        <c:v>2613.1527339720005</c:v>
                      </c:pt>
                      <c:pt idx="22">
                        <c:v>2826.2233180000003</c:v>
                      </c:pt>
                      <c:pt idx="23">
                        <c:v>5450.1429379300007</c:v>
                      </c:pt>
                      <c:pt idx="24">
                        <c:v>901.31759863599996</c:v>
                      </c:pt>
                      <c:pt idx="25">
                        <c:v>164.61564240000001</c:v>
                      </c:pt>
                      <c:pt idx="26">
                        <c:v>23.788489599999998</c:v>
                      </c:pt>
                      <c:pt idx="27">
                        <c:v>631.04311363999989</c:v>
                      </c:pt>
                      <c:pt idx="28">
                        <c:v>316.40338513900002</c:v>
                      </c:pt>
                      <c:pt idx="29">
                        <c:v>510.25789979999996</c:v>
                      </c:pt>
                      <c:pt idx="30">
                        <c:v>434.65240534100008</c:v>
                      </c:pt>
                      <c:pt idx="31">
                        <c:v>1763.2019935999992</c:v>
                      </c:pt>
                    </c:numCache>
                  </c:numRef>
                </c:yVal>
                <c:smooth val="0"/>
                <c:extLst xmlns:c15="http://schemas.microsoft.com/office/drawing/2012/chart">
                  <c:ext xmlns:c16="http://schemas.microsoft.com/office/drawing/2014/chart" uri="{C3380CC4-5D6E-409C-BE32-E72D297353CC}">
                    <c16:uniqueId val="{00000002-2D70-41E9-A9B8-AD92F6C3BDF6}"/>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Complex'!$F$41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Complex'!$F$42:$F$47</c15:sqref>
                        </c15:formulaRef>
                      </c:ext>
                    </c:extLst>
                    <c:numCache>
                      <c:formatCode>#,##0</c:formatCode>
                      <c:ptCount val="6"/>
                      <c:pt idx="0">
                        <c:v>3931.4777806940001</c:v>
                      </c:pt>
                      <c:pt idx="1">
                        <c:v>3931.4777806940001</c:v>
                      </c:pt>
                      <c:pt idx="2">
                        <c:v>3931.4777806940001</c:v>
                      </c:pt>
                      <c:pt idx="3">
                        <c:v>3931.4777806940001</c:v>
                      </c:pt>
                      <c:pt idx="4">
                        <c:v>3931.4777806940001</c:v>
                      </c:pt>
                      <c:pt idx="5">
                        <c:v>3931.4777806940001</c:v>
                      </c:pt>
                    </c:numCache>
                  </c:numRef>
                </c:yVal>
                <c:smooth val="0"/>
                <c:extLst xmlns:c15="http://schemas.microsoft.com/office/drawing/2012/chart">
                  <c:ext xmlns:c16="http://schemas.microsoft.com/office/drawing/2014/chart" uri="{C3380CC4-5D6E-409C-BE32-E72D297353CC}">
                    <c16:uniqueId val="{00000004-2D70-41E9-A9B8-AD92F6C3BDF6}"/>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Complex'!$P$41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Complex'!$P$42:$P$47</c15:sqref>
                        </c15:formulaRef>
                      </c:ext>
                    </c:extLst>
                    <c:numCache>
                      <c:formatCode>#,##0</c:formatCode>
                      <c:ptCount val="6"/>
                      <c:pt idx="0">
                        <c:v>3931.4777806940001</c:v>
                      </c:pt>
                      <c:pt idx="1">
                        <c:v>3931.4777806940001</c:v>
                      </c:pt>
                      <c:pt idx="2">
                        <c:v>3931.4777806940001</c:v>
                      </c:pt>
                      <c:pt idx="3">
                        <c:v>3931.4777806940001</c:v>
                      </c:pt>
                      <c:pt idx="4">
                        <c:v>3931.4777806940001</c:v>
                      </c:pt>
                      <c:pt idx="5">
                        <c:v>3931.4777806940001</c:v>
                      </c:pt>
                    </c:numCache>
                  </c:numRef>
                </c:yVal>
                <c:smooth val="0"/>
                <c:extLst xmlns:c15="http://schemas.microsoft.com/office/drawing/2012/chart">
                  <c:ext xmlns:c16="http://schemas.microsoft.com/office/drawing/2014/chart" uri="{C3380CC4-5D6E-409C-BE32-E72D297353CC}">
                    <c16:uniqueId val="{00000005-2D70-41E9-A9B8-AD92F6C3BDF6}"/>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3"/>
          <c:order val="1"/>
          <c:tx>
            <c:strRef>
              <c:f>'Shallow-Water Complex'!$AK$3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'Shallow-Water Complex'!$AE$4:$AE$35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Complex'!$AK$4:$AK$35</c:f>
              <c:numCache>
                <c:formatCode>#,##0</c:formatCode>
                <c:ptCount val="32"/>
                <c:pt idx="0">
                  <c:v>676.11113720000003</c:v>
                </c:pt>
                <c:pt idx="1">
                  <c:v>357.97633420000005</c:v>
                </c:pt>
                <c:pt idx="2">
                  <c:v>1991.0681488</c:v>
                </c:pt>
                <c:pt idx="3">
                  <c:v>524.18774199999996</c:v>
                </c:pt>
                <c:pt idx="4">
                  <c:v>912.285526</c:v>
                </c:pt>
                <c:pt idx="5">
                  <c:v>321.36454200000003</c:v>
                </c:pt>
                <c:pt idx="6">
                  <c:v>4281.3631510229989</c:v>
                </c:pt>
                <c:pt idx="7">
                  <c:v>7603.6865481000004</c:v>
                </c:pt>
                <c:pt idx="8">
                  <c:v>6773.6985458299996</c:v>
                </c:pt>
                <c:pt idx="9">
                  <c:v>2348.6044720000004</c:v>
                </c:pt>
                <c:pt idx="10">
                  <c:v>6049.9967726000004</c:v>
                </c:pt>
                <c:pt idx="11">
                  <c:v>6128.125625489999</c:v>
                </c:pt>
                <c:pt idx="12">
                  <c:v>7142.7833928999999</c:v>
                </c:pt>
                <c:pt idx="13">
                  <c:v>11126.033445056901</c:v>
                </c:pt>
                <c:pt idx="14">
                  <c:v>3819.8883740000015</c:v>
                </c:pt>
                <c:pt idx="15">
                  <c:v>8360.9746113379988</c:v>
                </c:pt>
                <c:pt idx="16">
                  <c:v>31436.473758530999</c:v>
                </c:pt>
                <c:pt idx="17">
                  <c:v>23993.285571263001</c:v>
                </c:pt>
                <c:pt idx="18">
                  <c:v>24056.601428940001</c:v>
                </c:pt>
                <c:pt idx="19">
                  <c:v>18284.609300833999</c:v>
                </c:pt>
                <c:pt idx="20">
                  <c:v>15020.540607194998</c:v>
                </c:pt>
                <c:pt idx="21">
                  <c:v>15916.260158342999</c:v>
                </c:pt>
                <c:pt idx="22">
                  <c:v>15679.3420292233</c:v>
                </c:pt>
                <c:pt idx="23">
                  <c:v>8476.6882524280009</c:v>
                </c:pt>
                <c:pt idx="24">
                  <c:v>2033.258477547</c:v>
                </c:pt>
                <c:pt idx="25">
                  <c:v>8856.8687374000001</c:v>
                </c:pt>
                <c:pt idx="26">
                  <c:v>5954.7560889529996</c:v>
                </c:pt>
                <c:pt idx="27">
                  <c:v>34398.674001416002</c:v>
                </c:pt>
                <c:pt idx="28">
                  <c:v>12592.809247708999</c:v>
                </c:pt>
                <c:pt idx="29">
                  <c:v>27839.378682196002</c:v>
                </c:pt>
                <c:pt idx="30">
                  <c:v>44868.671303969997</c:v>
                </c:pt>
                <c:pt idx="31">
                  <c:v>5435.6451702599988</c:v>
                </c:pt>
              </c:numCache>
            </c:numRef>
          </c:yVal>
          <c:smooth val="0"/>
          <c:extLst>
            <c:ext xmlns:c16="http://schemas.microsoft.com/office/drawing/2014/chart" uri="{C3380CC4-5D6E-409C-BE32-E72D297353CC}">
              <c16:uniqueId val="{00000001-FAB7-43F7-8829-6D9A51775AE2}"/>
            </c:ext>
          </c:extLst>
        </c:ser>
        <c:ser>
          <c:idx val="5"/>
          <c:order val="3"/>
          <c:tx>
            <c:strRef>
              <c:f>'Shallow-Water Complex'!$AT$3</c:f>
              <c:strCache>
                <c:ptCount val="1"/>
                <c:pt idx="0">
                  <c:v>Orig FES Rec</c:v>
                </c:pt>
              </c:strCache>
            </c:strRef>
          </c:tx>
          <c:xVal>
            <c:numRef>
              <c:f>'Shallow-Water Complex'!$AN$4:$AN$35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Complex'!$AT$4:$AT$35</c:f>
              <c:numCache>
                <c:formatCode>#,##0</c:formatCode>
                <c:ptCount val="32"/>
                <c:pt idx="0">
                  <c:v>676.11113720000003</c:v>
                </c:pt>
                <c:pt idx="1">
                  <c:v>357.97633420000005</c:v>
                </c:pt>
                <c:pt idx="2">
                  <c:v>1992.4012594999997</c:v>
                </c:pt>
                <c:pt idx="3">
                  <c:v>524.18774199999996</c:v>
                </c:pt>
                <c:pt idx="4">
                  <c:v>912.285526</c:v>
                </c:pt>
                <c:pt idx="5">
                  <c:v>321.36454200000003</c:v>
                </c:pt>
                <c:pt idx="6">
                  <c:v>4283.6899393289996</c:v>
                </c:pt>
                <c:pt idx="7">
                  <c:v>8435.2491271999988</c:v>
                </c:pt>
                <c:pt idx="8">
                  <c:v>6777.3715799769989</c:v>
                </c:pt>
                <c:pt idx="9">
                  <c:v>2348.6044720000004</c:v>
                </c:pt>
                <c:pt idx="10">
                  <c:v>6051.7283590999978</c:v>
                </c:pt>
                <c:pt idx="11">
                  <c:v>6128.2143310499996</c:v>
                </c:pt>
                <c:pt idx="12">
                  <c:v>7145.7534503999987</c:v>
                </c:pt>
                <c:pt idx="13">
                  <c:v>11130.5494717314</c:v>
                </c:pt>
                <c:pt idx="14">
                  <c:v>3819.8883740000015</c:v>
                </c:pt>
                <c:pt idx="15">
                  <c:v>8362.9715712919988</c:v>
                </c:pt>
                <c:pt idx="16">
                  <c:v>32080.777259904997</c:v>
                </c:pt>
                <c:pt idx="17">
                  <c:v>19203.278022386985</c:v>
                </c:pt>
                <c:pt idx="18">
                  <c:v>24056.601428939972</c:v>
                </c:pt>
                <c:pt idx="19">
                  <c:v>17717.185890453995</c:v>
                </c:pt>
                <c:pt idx="20">
                  <c:v>15020.540607195</c:v>
                </c:pt>
                <c:pt idx="21">
                  <c:v>15918.915525602002</c:v>
                </c:pt>
                <c:pt idx="22">
                  <c:v>14307.655576732297</c:v>
                </c:pt>
                <c:pt idx="23">
                  <c:v>8668.3835724919973</c:v>
                </c:pt>
                <c:pt idx="24">
                  <c:v>2033.4917469160005</c:v>
                </c:pt>
                <c:pt idx="25">
                  <c:v>8863.524244299997</c:v>
                </c:pt>
                <c:pt idx="26">
                  <c:v>6317.3096819129969</c:v>
                </c:pt>
                <c:pt idx="27">
                  <c:v>53579.903620960009</c:v>
                </c:pt>
                <c:pt idx="28">
                  <c:v>17202.903066704992</c:v>
                </c:pt>
                <c:pt idx="29">
                  <c:v>29647.177527165008</c:v>
                </c:pt>
                <c:pt idx="30">
                  <c:v>42496.148211869979</c:v>
                </c:pt>
                <c:pt idx="31">
                  <c:v>5438.5437583899984</c:v>
                </c:pt>
              </c:numCache>
            </c:numRef>
          </c:yVal>
          <c:smooth val="0"/>
          <c:extLst>
            <c:ext xmlns:c16="http://schemas.microsoft.com/office/drawing/2014/chart" uri="{C3380CC4-5D6E-409C-BE32-E72D297353CC}">
              <c16:uniqueId val="{00000003-FAB7-43F7-8829-6D9A51775AE2}"/>
            </c:ext>
          </c:extLst>
        </c:ser>
        <c:ser>
          <c:idx val="6"/>
          <c:order val="4"/>
          <c:tx>
            <c:strRef>
              <c:f>'Shallow-Water Complex'!$AQ$139</c:f>
              <c:strCache>
                <c:ptCount val="1"/>
                <c:pt idx="0">
                  <c:v>MRIP+HB</c:v>
                </c:pt>
              </c:strCache>
              <c:extLst xmlns:c15="http://schemas.microsoft.com/office/drawing/2012/chart"/>
            </c:strRef>
          </c:tx>
          <c:spPr>
            <a:ln>
              <a:solidFill>
                <a:schemeClr val="bg1">
                  <a:lumMod val="50000"/>
                </a:schemeClr>
              </a:solidFill>
            </a:ln>
          </c:spPr>
          <c:marker>
            <c:symbol val="star"/>
            <c:size val="8"/>
            <c:spPr>
              <a:ln w="15875">
                <a:solidFill>
                  <a:schemeClr val="bg1">
                    <a:lumMod val="50000"/>
                  </a:schemeClr>
                </a:solidFill>
              </a:ln>
            </c:spPr>
          </c:marker>
          <c:xVal>
            <c:numRef>
              <c:f>'Shallow-Water Complex'!$AK$140:$AK$171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'Shallow-Water Complex'!$AQ$140:$AQ$171</c:f>
              <c:numCache>
                <c:formatCode>#,##0</c:formatCode>
                <c:ptCount val="32"/>
                <c:pt idx="0">
                  <c:v>676.11113720000003</c:v>
                </c:pt>
                <c:pt idx="1">
                  <c:v>357.97633420000005</c:v>
                </c:pt>
                <c:pt idx="2">
                  <c:v>960.528519890604</c:v>
                </c:pt>
                <c:pt idx="3">
                  <c:v>524.18774199999996</c:v>
                </c:pt>
                <c:pt idx="4">
                  <c:v>912.285526</c:v>
                </c:pt>
                <c:pt idx="5">
                  <c:v>321.36454200000003</c:v>
                </c:pt>
                <c:pt idx="6">
                  <c:v>3452.0173259753742</c:v>
                </c:pt>
                <c:pt idx="7">
                  <c:v>5915.7286803292536</c:v>
                </c:pt>
                <c:pt idx="8">
                  <c:v>4718.1898509112152</c:v>
                </c:pt>
                <c:pt idx="9">
                  <c:v>2348.6044720000004</c:v>
                </c:pt>
                <c:pt idx="10">
                  <c:v>5309.2937197334813</c:v>
                </c:pt>
                <c:pt idx="11">
                  <c:v>6079.9037785636101</c:v>
                </c:pt>
                <c:pt idx="12">
                  <c:v>17669.634567608904</c:v>
                </c:pt>
                <c:pt idx="13">
                  <c:v>12174.399092688509</c:v>
                </c:pt>
                <c:pt idx="14">
                  <c:v>3819.8883740000015</c:v>
                </c:pt>
                <c:pt idx="15">
                  <c:v>7950.2667399976926</c:v>
                </c:pt>
                <c:pt idx="16">
                  <c:v>32032.339442017408</c:v>
                </c:pt>
                <c:pt idx="17">
                  <c:v>19635.431184690759</c:v>
                </c:pt>
                <c:pt idx="18">
                  <c:v>22648.609068297395</c:v>
                </c:pt>
                <c:pt idx="19">
                  <c:v>19635.177395914492</c:v>
                </c:pt>
                <c:pt idx="20">
                  <c:v>13921.438332712511</c:v>
                </c:pt>
                <c:pt idx="21">
                  <c:v>15519.556056132382</c:v>
                </c:pt>
                <c:pt idx="22">
                  <c:v>15704.551550276839</c:v>
                </c:pt>
                <c:pt idx="23">
                  <c:v>7876.0158230242178</c:v>
                </c:pt>
                <c:pt idx="24">
                  <c:v>2003.3365390651973</c:v>
                </c:pt>
                <c:pt idx="25">
                  <c:v>7036.5119521962879</c:v>
                </c:pt>
                <c:pt idx="26">
                  <c:v>5649.7321062688197</c:v>
                </c:pt>
                <c:pt idx="27">
                  <c:v>31781.313014546893</c:v>
                </c:pt>
                <c:pt idx="28">
                  <c:v>11334.033436323512</c:v>
                </c:pt>
                <c:pt idx="29">
                  <c:v>31000.410924185639</c:v>
                </c:pt>
                <c:pt idx="30">
                  <c:v>28440.743266229121</c:v>
                </c:pt>
                <c:pt idx="31">
                  <c:v>5007.8225055849853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2CA3-458D-B238-35599A0ABEBC}"/>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0"/>
                <c:order val="0"/>
                <c:tx>
                  <c:strRef>
                    <c:extLst>
                      <c:ext uri="{02D57815-91ED-43cb-92C2-25804820EDAC}">
                        <c15:formulaRef>
                          <c15:sqref>'Shallow-Water Complex'!$G$3</c15:sqref>
                        </c15:formulaRef>
                      </c:ext>
                    </c:extLst>
                    <c:strCache>
                      <c:ptCount val="1"/>
                      <c:pt idx="0">
                        <c:v>Total New Wgt</c:v>
                      </c:pt>
                    </c:strCache>
                  </c:strRef>
                </c:tx>
                <c:xVal>
                  <c:numRef>
                    <c:extLst>
                      <c:ext uri="{02D57815-91ED-43cb-92C2-25804820EDAC}">
                        <c15:formulaRef>
                          <c15:sqref>'Shallow-Water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Complex'!$G$4:$G$35</c15:sqref>
                        </c15:formulaRef>
                      </c:ext>
                    </c:extLst>
                    <c:numCache>
                      <c:formatCode>#,##0</c:formatCode>
                      <c:ptCount val="32"/>
                      <c:pt idx="0">
                        <c:v>676.11113720000003</c:v>
                      </c:pt>
                      <c:pt idx="1">
                        <c:v>361.97633420000005</c:v>
                      </c:pt>
                      <c:pt idx="2">
                        <c:v>1991.0681488</c:v>
                      </c:pt>
                      <c:pt idx="3">
                        <c:v>524.18774199999996</c:v>
                      </c:pt>
                      <c:pt idx="4">
                        <c:v>912.285526</c:v>
                      </c:pt>
                      <c:pt idx="5">
                        <c:v>7494.3645420000003</c:v>
                      </c:pt>
                      <c:pt idx="6">
                        <c:v>13592.363151022999</c:v>
                      </c:pt>
                      <c:pt idx="7">
                        <c:v>21499.686548099999</c:v>
                      </c:pt>
                      <c:pt idx="8">
                        <c:v>12547.698545830001</c:v>
                      </c:pt>
                      <c:pt idx="9">
                        <c:v>4601.6044720000009</c:v>
                      </c:pt>
                      <c:pt idx="10">
                        <c:v>11875.9967726</c:v>
                      </c:pt>
                      <c:pt idx="11">
                        <c:v>9053.1256254899999</c:v>
                      </c:pt>
                      <c:pt idx="12">
                        <c:v>9870.7833929000008</c:v>
                      </c:pt>
                      <c:pt idx="13">
                        <c:v>11530.033445056901</c:v>
                      </c:pt>
                      <c:pt idx="14">
                        <c:v>4705.8883740000019</c:v>
                      </c:pt>
                      <c:pt idx="15">
                        <c:v>11341.974611337999</c:v>
                      </c:pt>
                      <c:pt idx="16">
                        <c:v>33540.473758530999</c:v>
                      </c:pt>
                      <c:pt idx="17">
                        <c:v>42108.285571262997</c:v>
                      </c:pt>
                      <c:pt idx="18">
                        <c:v>26085.601428940001</c:v>
                      </c:pt>
                      <c:pt idx="19">
                        <c:v>19616.609300833999</c:v>
                      </c:pt>
                      <c:pt idx="20">
                        <c:v>15545.540607194998</c:v>
                      </c:pt>
                      <c:pt idx="21">
                        <c:v>16208.260158342999</c:v>
                      </c:pt>
                      <c:pt idx="22">
                        <c:v>16127.3420292233</c:v>
                      </c:pt>
                      <c:pt idx="23">
                        <c:v>8477.6882524280009</c:v>
                      </c:pt>
                      <c:pt idx="24">
                        <c:v>2451.258477547</c:v>
                      </c:pt>
                      <c:pt idx="25">
                        <c:v>8891.8687374000001</c:v>
                      </c:pt>
                      <c:pt idx="26">
                        <c:v>6011.7560889529996</c:v>
                      </c:pt>
                      <c:pt idx="27">
                        <c:v>36976.674001416002</c:v>
                      </c:pt>
                      <c:pt idx="28">
                        <c:v>12993.809247708999</c:v>
                      </c:pt>
                      <c:pt idx="29">
                        <c:v>28495.378682196002</c:v>
                      </c:pt>
                      <c:pt idx="30">
                        <c:v>45716.671303969997</c:v>
                      </c:pt>
                      <c:pt idx="31">
                        <c:v>5703.6451702599988</c:v>
                      </c:pt>
                    </c:numCache>
                  </c:numRef>
                </c:yVal>
                <c:smooth val="0"/>
                <c:extLst>
                  <c:ext xmlns:c16="http://schemas.microsoft.com/office/drawing/2014/chart" uri="{C3380CC4-5D6E-409C-BE32-E72D297353CC}">
                    <c16:uniqueId val="{00000000-FAB7-43F7-8829-6D9A51775AE2}"/>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'Shallow-Water Complex'!$Q$3</c15:sqref>
                        </c15:formulaRef>
                      </c:ext>
                    </c:extLst>
                    <c:strCache>
                      <c:ptCount val="1"/>
                      <c:pt idx="0">
                        <c:v>Total Orig FES</c:v>
                      </c:pt>
                    </c:strCache>
                  </c:strRef>
                </c:tx>
                <c:spPr>
                  <a:ln>
                    <a:solidFill>
                      <a:schemeClr val="accent5"/>
                    </a:solidFill>
                  </a:ln>
                </c:spPr>
                <c:marker>
                  <c:symbol val="x"/>
                  <c:size val="7"/>
                  <c:spPr>
                    <a:noFill/>
                    <a:ln>
                      <a:solidFill>
                        <a:schemeClr val="accent5"/>
                      </a:solidFill>
                    </a:ln>
                  </c:spPr>
                </c:marker>
                <c:xVal>
                  <c:numRef>
                    <c:extLst xmlns:c15="http://schemas.microsoft.com/office/drawing/2012/chart">
                      <c:ext xmlns:c15="http://schemas.microsoft.com/office/drawing/2012/chart" uri="{02D57815-91ED-43cb-92C2-25804820EDAC}">
                        <c15:formulaRef>
                          <c15:sqref>'Shallow-Water Complex'!$K$4:$K$35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Complex'!$Q$4:$Q$35</c15:sqref>
                        </c15:formulaRef>
                      </c:ext>
                    </c:extLst>
                    <c:numCache>
                      <c:formatCode>#,##0</c:formatCode>
                      <c:ptCount val="32"/>
                      <c:pt idx="0">
                        <c:v>676.11113720000003</c:v>
                      </c:pt>
                      <c:pt idx="1">
                        <c:v>361.97633420000005</c:v>
                      </c:pt>
                      <c:pt idx="2">
                        <c:v>1992.4012594999997</c:v>
                      </c:pt>
                      <c:pt idx="3">
                        <c:v>524.18774199999996</c:v>
                      </c:pt>
                      <c:pt idx="4">
                        <c:v>912.285526</c:v>
                      </c:pt>
                      <c:pt idx="5">
                        <c:v>7494.3645420000003</c:v>
                      </c:pt>
                      <c:pt idx="6">
                        <c:v>13594.689939329</c:v>
                      </c:pt>
                      <c:pt idx="7">
                        <c:v>22331.249127199997</c:v>
                      </c:pt>
                      <c:pt idx="8">
                        <c:v>12551.371579977</c:v>
                      </c:pt>
                      <c:pt idx="9">
                        <c:v>4601.6044720000009</c:v>
                      </c:pt>
                      <c:pt idx="10">
                        <c:v>11877.728359099998</c:v>
                      </c:pt>
                      <c:pt idx="11">
                        <c:v>9053.2143310499996</c:v>
                      </c:pt>
                      <c:pt idx="12">
                        <c:v>9873.7534503999996</c:v>
                      </c:pt>
                      <c:pt idx="13">
                        <c:v>11534.5494717314</c:v>
                      </c:pt>
                      <c:pt idx="14">
                        <c:v>4705.8883740000019</c:v>
                      </c:pt>
                      <c:pt idx="15">
                        <c:v>11343.971571291999</c:v>
                      </c:pt>
                      <c:pt idx="16">
                        <c:v>34184.777259904993</c:v>
                      </c:pt>
                      <c:pt idx="17">
                        <c:v>37318.278022386985</c:v>
                      </c:pt>
                      <c:pt idx="18">
                        <c:v>26085.601428939972</c:v>
                      </c:pt>
                      <c:pt idx="19">
                        <c:v>19049.185890453995</c:v>
                      </c:pt>
                      <c:pt idx="20">
                        <c:v>15545.540607195</c:v>
                      </c:pt>
                      <c:pt idx="21">
                        <c:v>16210.915525602002</c:v>
                      </c:pt>
                      <c:pt idx="22">
                        <c:v>14755.655576732297</c:v>
                      </c:pt>
                      <c:pt idx="23">
                        <c:v>8669.3835724919973</c:v>
                      </c:pt>
                      <c:pt idx="24">
                        <c:v>2451.4917469160005</c:v>
                      </c:pt>
                      <c:pt idx="25">
                        <c:v>8898.524244299997</c:v>
                      </c:pt>
                      <c:pt idx="26">
                        <c:v>6374.3096819129969</c:v>
                      </c:pt>
                      <c:pt idx="27">
                        <c:v>56157.903620960009</c:v>
                      </c:pt>
                      <c:pt idx="28">
                        <c:v>17603.903066704992</c:v>
                      </c:pt>
                      <c:pt idx="29">
                        <c:v>30303.177527165008</c:v>
                      </c:pt>
                      <c:pt idx="30">
                        <c:v>43344.148211869979</c:v>
                      </c:pt>
                      <c:pt idx="31">
                        <c:v>5706.5437583899984</c:v>
                      </c:pt>
                    </c:numCache>
                  </c:numRef>
                </c:yVal>
                <c:smooth val="0"/>
                <c:extLst xmlns:c15="http://schemas.microsoft.com/office/drawing/2012/chart">
                  <c:ext xmlns:c16="http://schemas.microsoft.com/office/drawing/2014/chart" uri="{C3380CC4-5D6E-409C-BE32-E72D297353CC}">
                    <c16:uniqueId val="{00000002-FAB7-43F7-8829-6D9A51775AE2}"/>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'Shallow-Water Complex'!$G$41</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'Shallow-Water Complex'!$A$42:$A$47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Complex'!$G$42:$G$47</c15:sqref>
                        </c15:formulaRef>
                      </c:ext>
                    </c:extLst>
                    <c:numCache>
                      <c:formatCode>#,##0</c:formatCode>
                      <c:ptCount val="6"/>
                      <c:pt idx="0">
                        <c:v>26085.601428940001</c:v>
                      </c:pt>
                      <c:pt idx="1">
                        <c:v>26085.601428940001</c:v>
                      </c:pt>
                      <c:pt idx="2">
                        <c:v>26085.601428940001</c:v>
                      </c:pt>
                      <c:pt idx="3">
                        <c:v>26085.601428940001</c:v>
                      </c:pt>
                      <c:pt idx="4">
                        <c:v>26085.601428940001</c:v>
                      </c:pt>
                      <c:pt idx="5">
                        <c:v>26085.601428940001</c:v>
                      </c:pt>
                    </c:numCache>
                  </c:numRef>
                </c:yVal>
                <c:smooth val="0"/>
                <c:extLst xmlns:c15="http://schemas.microsoft.com/office/drawing/2012/chart">
                  <c:ext xmlns:c16="http://schemas.microsoft.com/office/drawing/2014/chart" uri="{C3380CC4-5D6E-409C-BE32-E72D297353CC}">
                    <c16:uniqueId val="{00000004-FAB7-43F7-8829-6D9A51775AE2}"/>
                  </c:ext>
                </c:extLst>
              </c15:ser>
            </c15:filteredScatterSeries>
            <c15:filteredScatterSeries>
              <c15:ser>
                <c:idx val="4"/>
                <c:order val="6"/>
                <c:tx>
                  <c:strRef>
                    <c:extLst xmlns:c15="http://schemas.microsoft.com/office/drawing/2012/chart">
                      <c:ext xmlns:c15="http://schemas.microsoft.com/office/drawing/2012/chart" uri="{02D57815-91ED-43cb-92C2-25804820EDAC}">
                        <c15:formulaRef>
                          <c15:sqref>'Shallow-Water Complex'!$Q$41</c15:sqref>
                        </c15:formulaRef>
                      </c:ext>
                    </c:extLst>
                    <c:strCache>
                      <c:ptCount val="1"/>
                      <c:pt idx="0">
                        <c:v>Orig FES ABC/ACL</c:v>
                      </c:pt>
                    </c:strCache>
                  </c:strRef>
                </c:tx>
                <c:spPr>
                  <a:ln>
                    <a:solidFill>
                      <a:srgbClr val="7030A0"/>
                    </a:solidFill>
                  </a:ln>
                </c:spPr>
                <c:marker>
                  <c:symbol val="none"/>
                </c:marker>
                <c:xVal>
                  <c:numRef>
                    <c:extLst xmlns:c15="http://schemas.microsoft.com/office/drawing/2012/chart">
                      <c:ext xmlns:c15="http://schemas.microsoft.com/office/drawing/2012/chart" uri="{02D57815-91ED-43cb-92C2-25804820EDAC}">
                        <c15:formulaRef>
                          <c15:sqref>'Shallow-Water Complex'!$K$42:$K$47</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'Shallow-Water Complex'!$Q$42:$Q$47</c15:sqref>
                        </c15:formulaRef>
                      </c:ext>
                    </c:extLst>
                    <c:numCache>
                      <c:formatCode>#,##0</c:formatCode>
                      <c:ptCount val="6"/>
                      <c:pt idx="0">
                        <c:v>26085.601428939972</c:v>
                      </c:pt>
                      <c:pt idx="1">
                        <c:v>26085.601428939972</c:v>
                      </c:pt>
                      <c:pt idx="2">
                        <c:v>26085.601428939972</c:v>
                      </c:pt>
                      <c:pt idx="3">
                        <c:v>26085.601428939972</c:v>
                      </c:pt>
                      <c:pt idx="4">
                        <c:v>26085.601428939972</c:v>
                      </c:pt>
                      <c:pt idx="5">
                        <c:v>26085.601428939972</c:v>
                      </c:pt>
                    </c:numCache>
                  </c:numRef>
                </c:yVal>
                <c:smooth val="0"/>
                <c:extLst xmlns:c15="http://schemas.microsoft.com/office/drawing/2012/chart">
                  <c:ext xmlns:c16="http://schemas.microsoft.com/office/drawing/2014/chart" uri="{C3380CC4-5D6E-409C-BE32-E72D297353CC}">
                    <c16:uniqueId val="{00000005-FAB7-43F7-8829-6D9A51775AE2}"/>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0"/>
          <c:order val="0"/>
          <c:tx>
            <c:strRef>
              <c:f>'Shallow-Water Complex'!$B$3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4547.1672150899994</c:v>
                </c:pt>
                <c:pt idx="1">
                  <c:v>17088.581091399999</c:v>
                </c:pt>
                <c:pt idx="2">
                  <c:v>10082.06805403</c:v>
                </c:pt>
                <c:pt idx="3">
                  <c:v>13090.414730550001</c:v>
                </c:pt>
                <c:pt idx="4">
                  <c:v>35202.381345000002</c:v>
                </c:pt>
                <c:pt idx="5">
                  <c:v>20485.184037909999</c:v>
                </c:pt>
                <c:pt idx="6">
                  <c:v>25912.151955893998</c:v>
                </c:pt>
                <c:pt idx="7">
                  <c:v>72935.969967459998</c:v>
                </c:pt>
                <c:pt idx="8">
                  <c:v>34322.702253609998</c:v>
                </c:pt>
                <c:pt idx="9">
                  <c:v>47663.845387829999</c:v>
                </c:pt>
                <c:pt idx="10">
                  <c:v>42386.081966059995</c:v>
                </c:pt>
                <c:pt idx="11">
                  <c:v>29380.27893353</c:v>
                </c:pt>
                <c:pt idx="12">
                  <c:v>43100.271814699998</c:v>
                </c:pt>
                <c:pt idx="13">
                  <c:v>29847.466547192998</c:v>
                </c:pt>
                <c:pt idx="14">
                  <c:v>26858.226085014001</c:v>
                </c:pt>
                <c:pt idx="15">
                  <c:v>27066.487265030002</c:v>
                </c:pt>
                <c:pt idx="16">
                  <c:v>37689.232279600998</c:v>
                </c:pt>
                <c:pt idx="17">
                  <c:v>21463.587686850999</c:v>
                </c:pt>
                <c:pt idx="18">
                  <c:v>27827.425172043004</c:v>
                </c:pt>
                <c:pt idx="19">
                  <c:v>18216.463220219001</c:v>
                </c:pt>
                <c:pt idx="20">
                  <c:v>18998.567084375401</c:v>
                </c:pt>
                <c:pt idx="21">
                  <c:v>34234.485927494999</c:v>
                </c:pt>
                <c:pt idx="22">
                  <c:v>29315.973307541302</c:v>
                </c:pt>
                <c:pt idx="23">
                  <c:v>15827.770235215001</c:v>
                </c:pt>
                <c:pt idx="24">
                  <c:v>8881.383295399999</c:v>
                </c:pt>
                <c:pt idx="25">
                  <c:v>5513.1520134000002</c:v>
                </c:pt>
                <c:pt idx="26">
                  <c:v>6636.5939179119996</c:v>
                </c:pt>
                <c:pt idx="27">
                  <c:v>14408.562387200001</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0-CF1B-4573-B3EE-75B8DB4BB523}"/>
            </c:ext>
          </c:extLst>
        </c:ser>
        <c:ser>
          <c:idx val="2"/>
          <c:order val="2"/>
          <c:tx>
            <c:strRef>
              <c:f>'Shallow-Water Complex'!$L$3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Complex'!$L$4:$L$35</c:f>
              <c:numCache>
                <c:formatCode>#,##0</c:formatCode>
                <c:ptCount val="32"/>
                <c:pt idx="0">
                  <c:v>4547.1672150899994</c:v>
                </c:pt>
                <c:pt idx="1">
                  <c:v>17088.581091399999</c:v>
                </c:pt>
                <c:pt idx="2">
                  <c:v>10082.068054029998</c:v>
                </c:pt>
                <c:pt idx="3">
                  <c:v>13090.414730549999</c:v>
                </c:pt>
                <c:pt idx="4">
                  <c:v>35202.381345000002</c:v>
                </c:pt>
                <c:pt idx="5">
                  <c:v>20485.184037910003</c:v>
                </c:pt>
                <c:pt idx="6">
                  <c:v>25912.151955893998</c:v>
                </c:pt>
                <c:pt idx="7">
                  <c:v>74436.609952299987</c:v>
                </c:pt>
                <c:pt idx="8">
                  <c:v>38096.11857359</c:v>
                </c:pt>
                <c:pt idx="9">
                  <c:v>54478.613003400009</c:v>
                </c:pt>
                <c:pt idx="10">
                  <c:v>42386.081966060003</c:v>
                </c:pt>
                <c:pt idx="11">
                  <c:v>29380.27893353</c:v>
                </c:pt>
                <c:pt idx="12">
                  <c:v>43100.271814700005</c:v>
                </c:pt>
                <c:pt idx="13">
                  <c:v>29847.466547192991</c:v>
                </c:pt>
                <c:pt idx="14">
                  <c:v>26593.387246030998</c:v>
                </c:pt>
                <c:pt idx="15">
                  <c:v>27066.487265029995</c:v>
                </c:pt>
                <c:pt idx="16">
                  <c:v>37689.232279600983</c:v>
                </c:pt>
                <c:pt idx="17">
                  <c:v>21463.587686851002</c:v>
                </c:pt>
                <c:pt idx="18">
                  <c:v>26376.354705195001</c:v>
                </c:pt>
                <c:pt idx="19">
                  <c:v>18216.463220218997</c:v>
                </c:pt>
                <c:pt idx="20">
                  <c:v>18998.567084375398</c:v>
                </c:pt>
                <c:pt idx="21">
                  <c:v>34234.485927494999</c:v>
                </c:pt>
                <c:pt idx="22">
                  <c:v>29315.973307541299</c:v>
                </c:pt>
                <c:pt idx="23">
                  <c:v>15827.770235215001</c:v>
                </c:pt>
                <c:pt idx="24">
                  <c:v>8881.383295399999</c:v>
                </c:pt>
                <c:pt idx="25">
                  <c:v>5513.1520134000002</c:v>
                </c:pt>
                <c:pt idx="26">
                  <c:v>6636.5939179119996</c:v>
                </c:pt>
                <c:pt idx="27">
                  <c:v>14408.562387199996</c:v>
                </c:pt>
                <c:pt idx="28">
                  <c:v>5578.2977444160006</c:v>
                </c:pt>
                <c:pt idx="29">
                  <c:v>6379.36848861</c:v>
                </c:pt>
                <c:pt idx="30">
                  <c:v>5862.3960101000002</c:v>
                </c:pt>
                <c:pt idx="31">
                  <c:v>3158.6368628</c:v>
                </c:pt>
              </c:numCache>
            </c:numRef>
          </c:yVal>
          <c:smooth val="0"/>
          <c:extLst>
            <c:ext xmlns:c16="http://schemas.microsoft.com/office/drawing/2014/chart" uri="{C3380CC4-5D6E-409C-BE32-E72D297353CC}">
              <c16:uniqueId val="{00000002-CF1B-4573-B3EE-75B8DB4BB523}"/>
            </c:ext>
          </c:extLst>
        </c:ser>
        <c:ser>
          <c:idx val="1"/>
          <c:order val="5"/>
          <c:tx>
            <c:strRef>
              <c:f>'Shallow-Water Complex'!$B$41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Complex'!$B$42:$B$47</c:f>
              <c:numCache>
                <c:formatCode>#,##0</c:formatCode>
                <c:ptCount val="6"/>
                <c:pt idx="0">
                  <c:v>29847.466547192998</c:v>
                </c:pt>
                <c:pt idx="1">
                  <c:v>29847.466547192998</c:v>
                </c:pt>
                <c:pt idx="2">
                  <c:v>29847.466547192998</c:v>
                </c:pt>
                <c:pt idx="3">
                  <c:v>45227.078735521201</c:v>
                </c:pt>
                <c:pt idx="4">
                  <c:v>45227.078735521201</c:v>
                </c:pt>
                <c:pt idx="5">
                  <c:v>45227.078735521201</c:v>
                </c:pt>
              </c:numCache>
            </c:numRef>
          </c:yVal>
          <c:smooth val="0"/>
          <c:extLst>
            <c:ext xmlns:c16="http://schemas.microsoft.com/office/drawing/2014/chart" uri="{C3380CC4-5D6E-409C-BE32-E72D297353CC}">
              <c16:uniqueId val="{00000005-CF1B-4573-B3EE-75B8DB4BB523}"/>
            </c:ext>
          </c:extLst>
        </c:ser>
        <c:ser>
          <c:idx val="4"/>
          <c:order val="6"/>
          <c:tx>
            <c:strRef>
              <c:f>'Shallow-Water Complex'!$L$41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Complex'!$L$42:$L$47</c:f>
              <c:numCache>
                <c:formatCode>#,##0</c:formatCode>
                <c:ptCount val="6"/>
                <c:pt idx="0">
                  <c:v>29847.466547192991</c:v>
                </c:pt>
                <c:pt idx="1">
                  <c:v>29847.466547192991</c:v>
                </c:pt>
                <c:pt idx="2">
                  <c:v>29847.466547192991</c:v>
                </c:pt>
                <c:pt idx="3">
                  <c:v>45227.07873552118</c:v>
                </c:pt>
                <c:pt idx="4">
                  <c:v>45227.07873552118</c:v>
                </c:pt>
                <c:pt idx="5">
                  <c:v>45227.07873552118</c:v>
                </c:pt>
              </c:numCache>
            </c:numRef>
          </c:yVal>
          <c:smooth val="0"/>
          <c:extLst>
            <c:ext xmlns:c16="http://schemas.microsoft.com/office/drawing/2014/chart" uri="{C3380CC4-5D6E-409C-BE32-E72D297353CC}">
              <c16:uniqueId val="{00000006-CF1B-4573-B3EE-75B8DB4BB523}"/>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Complex'!$AF$3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Complex'!$AF$4:$AF$35</c15:sqref>
                        </c15:formulaRef>
                      </c:ext>
                    </c:extLst>
                    <c:numCache>
                      <c:formatCode>#,##0</c:formatCode>
                      <c:ptCount val="32"/>
                      <c:pt idx="0">
                        <c:v>1226.1672150899999</c:v>
                      </c:pt>
                      <c:pt idx="1">
                        <c:v>6105.5810914000003</c:v>
                      </c:pt>
                      <c:pt idx="2">
                        <c:v>5504.06805403</c:v>
                      </c:pt>
                      <c:pt idx="3">
                        <c:v>1215.4147305500001</c:v>
                      </c:pt>
                      <c:pt idx="4">
                        <c:v>5659.3813449999998</c:v>
                      </c:pt>
                      <c:pt idx="5">
                        <c:v>4836.1840379100004</c:v>
                      </c:pt>
                      <c:pt idx="6">
                        <c:v>7342.1519558939999</c:v>
                      </c:pt>
                      <c:pt idx="7">
                        <c:v>42243.969967459998</c:v>
                      </c:pt>
                      <c:pt idx="8">
                        <c:v>7633.7022536099994</c:v>
                      </c:pt>
                      <c:pt idx="9">
                        <c:v>14133.845387829999</c:v>
                      </c:pt>
                      <c:pt idx="10">
                        <c:v>11901.081966059999</c:v>
                      </c:pt>
                      <c:pt idx="11">
                        <c:v>2931.2789335299999</c:v>
                      </c:pt>
                      <c:pt idx="12">
                        <c:v>13261.2718147</c:v>
                      </c:pt>
                      <c:pt idx="13">
                        <c:v>9306.4665471930002</c:v>
                      </c:pt>
                      <c:pt idx="14">
                        <c:v>8149.2260850139992</c:v>
                      </c:pt>
                      <c:pt idx="15">
                        <c:v>12764.48726503</c:v>
                      </c:pt>
                      <c:pt idx="16">
                        <c:v>20133.232279600998</c:v>
                      </c:pt>
                      <c:pt idx="17">
                        <c:v>2999.5876868509999</c:v>
                      </c:pt>
                      <c:pt idx="18">
                        <c:v>11080.425172043002</c:v>
                      </c:pt>
                      <c:pt idx="19">
                        <c:v>3939.4632202189996</c:v>
                      </c:pt>
                      <c:pt idx="20">
                        <c:v>2152.5670843754001</c:v>
                      </c:pt>
                      <c:pt idx="21">
                        <c:v>18272.485927494999</c:v>
                      </c:pt>
                      <c:pt idx="22">
                        <c:v>13387.973307541301</c:v>
                      </c:pt>
                      <c:pt idx="23">
                        <c:v>2011.770235215</c:v>
                      </c:pt>
                      <c:pt idx="24">
                        <c:v>424.38329539999995</c:v>
                      </c:pt>
                      <c:pt idx="25">
                        <c:v>253.15201340000002</c:v>
                      </c:pt>
                      <c:pt idx="26">
                        <c:v>743.59391791199994</c:v>
                      </c:pt>
                      <c:pt idx="27">
                        <c:v>8910.5623872000015</c:v>
                      </c:pt>
                      <c:pt idx="28">
                        <c:v>1540.2977444160001</c:v>
                      </c:pt>
                      <c:pt idx="29">
                        <c:v>2108.36848861</c:v>
                      </c:pt>
                      <c:pt idx="30">
                        <c:v>2064.3960101000002</c:v>
                      </c:pt>
                      <c:pt idx="31">
                        <c:v>161.63686279999999</c:v>
                      </c:pt>
                    </c:numCache>
                  </c:numRef>
                </c:yVal>
                <c:smooth val="0"/>
                <c:extLst>
                  <c:ext xmlns:c16="http://schemas.microsoft.com/office/drawing/2014/chart" uri="{C3380CC4-5D6E-409C-BE32-E72D297353CC}">
                    <c16:uniqueId val="{00000001-CF1B-4573-B3EE-75B8DB4BB523}"/>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'Shallow-Water Complex'!$AO$3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Complex'!$AO$4:$AO$35</c15:sqref>
                        </c15:formulaRef>
                      </c:ext>
                    </c:extLst>
                    <c:numCache>
                      <c:formatCode>#,##0</c:formatCode>
                      <c:ptCount val="32"/>
                      <c:pt idx="0">
                        <c:v>1226.1672150899999</c:v>
                      </c:pt>
                      <c:pt idx="1">
                        <c:v>6105.5810914000003</c:v>
                      </c:pt>
                      <c:pt idx="2">
                        <c:v>5504.0680540299973</c:v>
                      </c:pt>
                      <c:pt idx="3">
                        <c:v>1215.4147305499996</c:v>
                      </c:pt>
                      <c:pt idx="4">
                        <c:v>5659.3813449999989</c:v>
                      </c:pt>
                      <c:pt idx="5">
                        <c:v>4836.1840379100013</c:v>
                      </c:pt>
                      <c:pt idx="6">
                        <c:v>7342.1519558939999</c:v>
                      </c:pt>
                      <c:pt idx="7">
                        <c:v>43744.609952299987</c:v>
                      </c:pt>
                      <c:pt idx="8">
                        <c:v>11407.118573589998</c:v>
                      </c:pt>
                      <c:pt idx="9">
                        <c:v>20948.613003400005</c:v>
                      </c:pt>
                      <c:pt idx="10">
                        <c:v>11901.081966060003</c:v>
                      </c:pt>
                      <c:pt idx="11">
                        <c:v>2931.2789335300004</c:v>
                      </c:pt>
                      <c:pt idx="12">
                        <c:v>13261.271814700005</c:v>
                      </c:pt>
                      <c:pt idx="13">
                        <c:v>9306.4665471929929</c:v>
                      </c:pt>
                      <c:pt idx="14">
                        <c:v>7884.3872460309976</c:v>
                      </c:pt>
                      <c:pt idx="15">
                        <c:v>12764.487265029995</c:v>
                      </c:pt>
                      <c:pt idx="16">
                        <c:v>20133.232279600987</c:v>
                      </c:pt>
                      <c:pt idx="17">
                        <c:v>2999.5876868510004</c:v>
                      </c:pt>
                      <c:pt idx="18">
                        <c:v>9629.3547051950009</c:v>
                      </c:pt>
                      <c:pt idx="19">
                        <c:v>3939.4632202189987</c:v>
                      </c:pt>
                      <c:pt idx="20">
                        <c:v>2152.5670843753996</c:v>
                      </c:pt>
                      <c:pt idx="21">
                        <c:v>18272.485927495003</c:v>
                      </c:pt>
                      <c:pt idx="22">
                        <c:v>13387.973307541299</c:v>
                      </c:pt>
                      <c:pt idx="23">
                        <c:v>2011.7702352150002</c:v>
                      </c:pt>
                      <c:pt idx="24">
                        <c:v>424.38329539999995</c:v>
                      </c:pt>
                      <c:pt idx="25">
                        <c:v>253.15201340000002</c:v>
                      </c:pt>
                      <c:pt idx="26">
                        <c:v>743.59391791199994</c:v>
                      </c:pt>
                      <c:pt idx="27">
                        <c:v>8910.562387199996</c:v>
                      </c:pt>
                      <c:pt idx="28">
                        <c:v>1540.2977444160001</c:v>
                      </c:pt>
                      <c:pt idx="29">
                        <c:v>2108.36848861</c:v>
                      </c:pt>
                      <c:pt idx="30">
                        <c:v>2064.3960101000002</c:v>
                      </c:pt>
                      <c:pt idx="31">
                        <c:v>161.63686279999999</c:v>
                      </c:pt>
                    </c:numCache>
                  </c:numRef>
                </c:yVal>
                <c:smooth val="0"/>
                <c:extLst xmlns:c15="http://schemas.microsoft.com/office/drawing/2012/chart">
                  <c:ext xmlns:c16="http://schemas.microsoft.com/office/drawing/2014/chart" uri="{C3380CC4-5D6E-409C-BE32-E72D297353CC}">
                    <c16:uniqueId val="{00000003-CF1B-4573-B3EE-75B8DB4BB523}"/>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'Shallow-Water Complex'!$U$102</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Complex'!$O$103:$O$104,'Shallow-Water Complex'!$O$106:$O$134)</c15:sqref>
                        </c15:formulaRef>
                      </c:ext>
                    </c:extLst>
                    <c:numCache>
                      <c:formatCode>General</c:formatCode>
                      <c:ptCount val="31"/>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xVal>
                <c:yVal>
                  <c:numRef>
                    <c:extLst xmlns:c15="http://schemas.microsoft.com/office/drawing/2012/chart">
                      <c:ext xmlns:c15="http://schemas.microsoft.com/office/drawing/2012/chart" uri="{02D57815-91ED-43cb-92C2-25804820EDAC}">
                        <c15:formulaRef>
                          <c15:sqref>('Shallow-Water Complex'!$U$103:$U$104,'Shallow-Water Complex'!$U$106:$U$134)</c15:sqref>
                        </c15:formulaRef>
                      </c:ext>
                    </c:extLst>
                    <c:numCache>
                      <c:formatCode>#,##0</c:formatCode>
                      <c:ptCount val="31"/>
                      <c:pt idx="0">
                        <c:v>2463.5518693411568</c:v>
                      </c:pt>
                      <c:pt idx="1">
                        <c:v>3943.487037134274</c:v>
                      </c:pt>
                      <c:pt idx="2">
                        <c:v>1054.8276879501302</c:v>
                      </c:pt>
                      <c:pt idx="3">
                        <c:v>15172.215109985382</c:v>
                      </c:pt>
                      <c:pt idx="4">
                        <c:v>3532.6739232065456</c:v>
                      </c:pt>
                      <c:pt idx="5">
                        <c:v>7772.3169145446564</c:v>
                      </c:pt>
                      <c:pt idx="6">
                        <c:v>30376.351593070161</c:v>
                      </c:pt>
                      <c:pt idx="7">
                        <c:v>4974.704546498343</c:v>
                      </c:pt>
                      <c:pt idx="8">
                        <c:v>14233.487975806533</c:v>
                      </c:pt>
                      <c:pt idx="9">
                        <c:v>13213.230006051233</c:v>
                      </c:pt>
                      <c:pt idx="10">
                        <c:v>2757.4532515456613</c:v>
                      </c:pt>
                      <c:pt idx="11">
                        <c:v>6743.9687571340164</c:v>
                      </c:pt>
                      <c:pt idx="12">
                        <c:v>7083.4482737572343</c:v>
                      </c:pt>
                      <c:pt idx="13">
                        <c:v>11469.342484952911</c:v>
                      </c:pt>
                      <c:pt idx="14">
                        <c:v>9468.4697830116656</c:v>
                      </c:pt>
                      <c:pt idx="15">
                        <c:v>14377.449964112686</c:v>
                      </c:pt>
                      <c:pt idx="16">
                        <c:v>2491.7250295495282</c:v>
                      </c:pt>
                      <c:pt idx="17">
                        <c:v>10604.879187813236</c:v>
                      </c:pt>
                      <c:pt idx="18">
                        <c:v>3117.4469080516683</c:v>
                      </c:pt>
                      <c:pt idx="19">
                        <c:v>5017.0137827833942</c:v>
                      </c:pt>
                      <c:pt idx="20">
                        <c:v>23817.048240040367</c:v>
                      </c:pt>
                      <c:pt idx="21">
                        <c:v>17296.034559421736</c:v>
                      </c:pt>
                      <c:pt idx="22">
                        <c:v>2967.1755626224926</c:v>
                      </c:pt>
                      <c:pt idx="23">
                        <c:v>424.38329539999995</c:v>
                      </c:pt>
                      <c:pt idx="24">
                        <c:v>253.15201340000002</c:v>
                      </c:pt>
                      <c:pt idx="25">
                        <c:v>617.16648657239307</c:v>
                      </c:pt>
                      <c:pt idx="26">
                        <c:v>5962.6910247249771</c:v>
                      </c:pt>
                      <c:pt idx="27">
                        <c:v>1016.2451672423186</c:v>
                      </c:pt>
                      <c:pt idx="28">
                        <c:v>1957.0818192127367</c:v>
                      </c:pt>
                      <c:pt idx="29">
                        <c:v>2973.0602983585741</c:v>
                      </c:pt>
                      <c:pt idx="30">
                        <c:v>161.63686279999999</c:v>
                      </c:pt>
                    </c:numCache>
                  </c:numRef>
                </c:yVal>
                <c:smooth val="0"/>
                <c:extLst xmlns:c15="http://schemas.microsoft.com/office/drawing/2012/chart">
                  <c:ext xmlns:c16="http://schemas.microsoft.com/office/drawing/2014/chart" uri="{C3380CC4-5D6E-409C-BE32-E72D297353CC}">
                    <c16:uniqueId val="{00000004-CF1B-4573-B3EE-75B8DB4BB523}"/>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0"/>
          <c:order val="0"/>
          <c:tx>
            <c:strRef>
              <c:f>'Shallow-Water Complex'!$C$3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4986.2366442000039</c:v>
                </c:pt>
                <c:pt idx="1">
                  <c:v>7187.4926993999989</c:v>
                </c:pt>
                <c:pt idx="2">
                  <c:v>6367.3870145600013</c:v>
                </c:pt>
                <c:pt idx="3">
                  <c:v>4368.6049134000004</c:v>
                </c:pt>
                <c:pt idx="4">
                  <c:v>15271.106924689999</c:v>
                </c:pt>
                <c:pt idx="5">
                  <c:v>5366.4618487000007</c:v>
                </c:pt>
                <c:pt idx="6">
                  <c:v>15634.369321065004</c:v>
                </c:pt>
                <c:pt idx="7">
                  <c:v>45198.543220900006</c:v>
                </c:pt>
                <c:pt idx="8">
                  <c:v>25359.727649449997</c:v>
                </c:pt>
                <c:pt idx="9">
                  <c:v>23040.589364990003</c:v>
                </c:pt>
                <c:pt idx="10">
                  <c:v>32896.375820889996</c:v>
                </c:pt>
                <c:pt idx="11">
                  <c:v>41657.400747359992</c:v>
                </c:pt>
                <c:pt idx="12">
                  <c:v>46734.187033804003</c:v>
                </c:pt>
                <c:pt idx="13">
                  <c:v>35414.911989740001</c:v>
                </c:pt>
                <c:pt idx="14">
                  <c:v>33742.763998399998</c:v>
                </c:pt>
                <c:pt idx="15">
                  <c:v>21577.34174996</c:v>
                </c:pt>
                <c:pt idx="16">
                  <c:v>31103.618987396101</c:v>
                </c:pt>
                <c:pt idx="17">
                  <c:v>25169.037930120001</c:v>
                </c:pt>
                <c:pt idx="18">
                  <c:v>61248.484858190997</c:v>
                </c:pt>
                <c:pt idx="19">
                  <c:v>36823.24372767</c:v>
                </c:pt>
                <c:pt idx="20">
                  <c:v>39163.122402813002</c:v>
                </c:pt>
                <c:pt idx="21">
                  <c:v>52275.274512941003</c:v>
                </c:pt>
                <c:pt idx="22">
                  <c:v>32663.211482840001</c:v>
                </c:pt>
                <c:pt idx="23">
                  <c:v>35659.735612299999</c:v>
                </c:pt>
                <c:pt idx="24">
                  <c:v>19794.975547222799</c:v>
                </c:pt>
                <c:pt idx="25">
                  <c:v>14521.967291084</c:v>
                </c:pt>
                <c:pt idx="26">
                  <c:v>11080.178387529999</c:v>
                </c:pt>
                <c:pt idx="27">
                  <c:v>13896.363351386099</c:v>
                </c:pt>
                <c:pt idx="28">
                  <c:v>13498.608350120001</c:v>
                </c:pt>
                <c:pt idx="29">
                  <c:v>34589.832284400007</c:v>
                </c:pt>
                <c:pt idx="30">
                  <c:v>34029.964315610996</c:v>
                </c:pt>
                <c:pt idx="31">
                  <c:v>4262.1661103999995</c:v>
                </c:pt>
              </c:numCache>
            </c:numRef>
          </c:yVal>
          <c:smooth val="0"/>
          <c:extLst>
            <c:ext xmlns:c16="http://schemas.microsoft.com/office/drawing/2014/chart" uri="{C3380CC4-5D6E-409C-BE32-E72D297353CC}">
              <c16:uniqueId val="{00000000-C068-429F-84D5-AF006A10485A}"/>
            </c:ext>
          </c:extLst>
        </c:ser>
        <c:ser>
          <c:idx val="2"/>
          <c:order val="2"/>
          <c:tx>
            <c:strRef>
              <c:f>'Shallow-Water Complex'!$M$3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Complex'!$M$4:$M$35</c:f>
              <c:numCache>
                <c:formatCode>#,##0</c:formatCode>
                <c:ptCount val="32"/>
                <c:pt idx="0">
                  <c:v>4986.2366442000039</c:v>
                </c:pt>
                <c:pt idx="1">
                  <c:v>7187.4926993999989</c:v>
                </c:pt>
                <c:pt idx="2">
                  <c:v>6366.7463228700017</c:v>
                </c:pt>
                <c:pt idx="3">
                  <c:v>4360.3450315000009</c:v>
                </c:pt>
                <c:pt idx="4">
                  <c:v>15218.496607630002</c:v>
                </c:pt>
                <c:pt idx="5">
                  <c:v>5358.2960041799988</c:v>
                </c:pt>
                <c:pt idx="6">
                  <c:v>16458.398041589997</c:v>
                </c:pt>
                <c:pt idx="7">
                  <c:v>44404.596765999988</c:v>
                </c:pt>
                <c:pt idx="8">
                  <c:v>25009.676269449999</c:v>
                </c:pt>
                <c:pt idx="9">
                  <c:v>23000.497974740007</c:v>
                </c:pt>
                <c:pt idx="10">
                  <c:v>32831.087157999995</c:v>
                </c:pt>
                <c:pt idx="11">
                  <c:v>41606.654734519994</c:v>
                </c:pt>
                <c:pt idx="12">
                  <c:v>46622.208093059999</c:v>
                </c:pt>
                <c:pt idx="13">
                  <c:v>35406.569206699998</c:v>
                </c:pt>
                <c:pt idx="14">
                  <c:v>33731.973282300001</c:v>
                </c:pt>
                <c:pt idx="15">
                  <c:v>21564.016130850003</c:v>
                </c:pt>
                <c:pt idx="16">
                  <c:v>29178.105920837203</c:v>
                </c:pt>
                <c:pt idx="17">
                  <c:v>25142.489665589997</c:v>
                </c:pt>
                <c:pt idx="18">
                  <c:v>58757.709147649992</c:v>
                </c:pt>
                <c:pt idx="19">
                  <c:v>36761.488939660005</c:v>
                </c:pt>
                <c:pt idx="20">
                  <c:v>39145.926430617998</c:v>
                </c:pt>
                <c:pt idx="21">
                  <c:v>52185.737476664013</c:v>
                </c:pt>
                <c:pt idx="22">
                  <c:v>32625.67590319</c:v>
                </c:pt>
                <c:pt idx="23">
                  <c:v>35606.359341999996</c:v>
                </c:pt>
                <c:pt idx="24">
                  <c:v>19794.4916373329</c:v>
                </c:pt>
                <c:pt idx="25">
                  <c:v>14521.615748491</c:v>
                </c:pt>
                <c:pt idx="26">
                  <c:v>11078.84370299</c:v>
                </c:pt>
                <c:pt idx="27">
                  <c:v>13880.4813134337</c:v>
                </c:pt>
                <c:pt idx="28">
                  <c:v>13496.368760130001</c:v>
                </c:pt>
                <c:pt idx="29">
                  <c:v>34453.5631804</c:v>
                </c:pt>
                <c:pt idx="30">
                  <c:v>33930.276756334002</c:v>
                </c:pt>
                <c:pt idx="31">
                  <c:v>4262.1661103999995</c:v>
                </c:pt>
              </c:numCache>
            </c:numRef>
          </c:yVal>
          <c:smooth val="0"/>
          <c:extLst>
            <c:ext xmlns:c16="http://schemas.microsoft.com/office/drawing/2014/chart" uri="{C3380CC4-5D6E-409C-BE32-E72D297353CC}">
              <c16:uniqueId val="{00000002-C068-429F-84D5-AF006A10485A}"/>
            </c:ext>
          </c:extLst>
        </c:ser>
        <c:ser>
          <c:idx val="1"/>
          <c:order val="5"/>
          <c:tx>
            <c:strRef>
              <c:f>'Shallow-Water Complex'!$C$41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Complex'!$C$42:$C$47</c:f>
              <c:numCache>
                <c:formatCode>#,##0</c:formatCode>
                <c:ptCount val="6"/>
                <c:pt idx="0">
                  <c:v>39163.122402813002</c:v>
                </c:pt>
                <c:pt idx="1">
                  <c:v>39163.122402813002</c:v>
                </c:pt>
                <c:pt idx="2">
                  <c:v>39163.122402813002</c:v>
                </c:pt>
                <c:pt idx="3">
                  <c:v>53592.424250917124</c:v>
                </c:pt>
                <c:pt idx="4">
                  <c:v>53592.424250917124</c:v>
                </c:pt>
                <c:pt idx="5">
                  <c:v>53592.424250917124</c:v>
                </c:pt>
              </c:numCache>
            </c:numRef>
          </c:yVal>
          <c:smooth val="0"/>
          <c:extLst>
            <c:ext xmlns:c16="http://schemas.microsoft.com/office/drawing/2014/chart" uri="{C3380CC4-5D6E-409C-BE32-E72D297353CC}">
              <c16:uniqueId val="{00000005-C068-429F-84D5-AF006A10485A}"/>
            </c:ext>
          </c:extLst>
        </c:ser>
        <c:ser>
          <c:idx val="4"/>
          <c:order val="6"/>
          <c:tx>
            <c:strRef>
              <c:f>'Shallow-Water Complex'!$M$41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Complex'!$M$42:$M$47</c:f>
              <c:numCache>
                <c:formatCode>#,##0</c:formatCode>
                <c:ptCount val="6"/>
                <c:pt idx="0">
                  <c:v>39145.926430617998</c:v>
                </c:pt>
                <c:pt idx="1">
                  <c:v>39145.926430617998</c:v>
                </c:pt>
                <c:pt idx="2">
                  <c:v>39145.926430617998</c:v>
                </c:pt>
                <c:pt idx="3">
                  <c:v>51412.995504193743</c:v>
                </c:pt>
                <c:pt idx="4">
                  <c:v>51412.995504193743</c:v>
                </c:pt>
                <c:pt idx="5">
                  <c:v>51412.995504193743</c:v>
                </c:pt>
              </c:numCache>
            </c:numRef>
          </c:yVal>
          <c:smooth val="0"/>
          <c:extLst>
            <c:ext xmlns:c16="http://schemas.microsoft.com/office/drawing/2014/chart" uri="{C3380CC4-5D6E-409C-BE32-E72D297353CC}">
              <c16:uniqueId val="{00000006-C068-429F-84D5-AF006A10485A}"/>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Complex'!$AG$3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Complex'!$AG$4:$AG$35</c15:sqref>
                        </c15:formulaRef>
                      </c:ext>
                    </c:extLst>
                    <c:numCache>
                      <c:formatCode>#,##0</c:formatCode>
                      <c:ptCount val="32"/>
                      <c:pt idx="0">
                        <c:v>4954.2366442000039</c:v>
                      </c:pt>
                      <c:pt idx="1">
                        <c:v>6885.4926993999989</c:v>
                      </c:pt>
                      <c:pt idx="2">
                        <c:v>5710.3870145600013</c:v>
                      </c:pt>
                      <c:pt idx="3">
                        <c:v>4348.6049134000004</c:v>
                      </c:pt>
                      <c:pt idx="4">
                        <c:v>14836.106924689999</c:v>
                      </c:pt>
                      <c:pt idx="5">
                        <c:v>4637.4618487000007</c:v>
                      </c:pt>
                      <c:pt idx="6">
                        <c:v>11499.369321065004</c:v>
                      </c:pt>
                      <c:pt idx="7">
                        <c:v>34414.543220900006</c:v>
                      </c:pt>
                      <c:pt idx="8">
                        <c:v>14839.727649449998</c:v>
                      </c:pt>
                      <c:pt idx="9">
                        <c:v>14724.589364990001</c:v>
                      </c:pt>
                      <c:pt idx="10">
                        <c:v>18496.375820889996</c:v>
                      </c:pt>
                      <c:pt idx="11">
                        <c:v>20560.400747359996</c:v>
                      </c:pt>
                      <c:pt idx="12">
                        <c:v>29504.187033803999</c:v>
                      </c:pt>
                      <c:pt idx="13">
                        <c:v>9065.9119897399996</c:v>
                      </c:pt>
                      <c:pt idx="14">
                        <c:v>7563.7639983999998</c:v>
                      </c:pt>
                      <c:pt idx="15">
                        <c:v>8373.34174996</c:v>
                      </c:pt>
                      <c:pt idx="16">
                        <c:v>17816.618987396101</c:v>
                      </c:pt>
                      <c:pt idx="17">
                        <c:v>9253.037930120001</c:v>
                      </c:pt>
                      <c:pt idx="18">
                        <c:v>40381.484858190997</c:v>
                      </c:pt>
                      <c:pt idx="19">
                        <c:v>18971.24372767</c:v>
                      </c:pt>
                      <c:pt idx="20">
                        <c:v>7674.122402813</c:v>
                      </c:pt>
                      <c:pt idx="21">
                        <c:v>28540.274512941003</c:v>
                      </c:pt>
                      <c:pt idx="22">
                        <c:v>10616.211482840003</c:v>
                      </c:pt>
                      <c:pt idx="23">
                        <c:v>14365.735612299999</c:v>
                      </c:pt>
                      <c:pt idx="24">
                        <c:v>3196.9755472227998</c:v>
                      </c:pt>
                      <c:pt idx="25">
                        <c:v>3827.967291084</c:v>
                      </c:pt>
                      <c:pt idx="26">
                        <c:v>2385.1783875299993</c:v>
                      </c:pt>
                      <c:pt idx="27">
                        <c:v>4709.3633513860996</c:v>
                      </c:pt>
                      <c:pt idx="28">
                        <c:v>3627.6083501200001</c:v>
                      </c:pt>
                      <c:pt idx="29">
                        <c:v>28371.832284400003</c:v>
                      </c:pt>
                      <c:pt idx="30">
                        <c:v>28335.964315610996</c:v>
                      </c:pt>
                      <c:pt idx="31">
                        <c:v>2738.1661103999991</c:v>
                      </c:pt>
                    </c:numCache>
                  </c:numRef>
                </c:yVal>
                <c:smooth val="0"/>
                <c:extLst>
                  <c:ext xmlns:c16="http://schemas.microsoft.com/office/drawing/2014/chart" uri="{C3380CC4-5D6E-409C-BE32-E72D297353CC}">
                    <c16:uniqueId val="{00000001-C068-429F-84D5-AF006A10485A}"/>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'Shallow-Water Complex'!$AP$3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Complex'!$AP$4:$AP$35</c15:sqref>
                        </c15:formulaRef>
                      </c:ext>
                    </c:extLst>
                    <c:numCache>
                      <c:formatCode>#,##0</c:formatCode>
                      <c:ptCount val="32"/>
                      <c:pt idx="0">
                        <c:v>4954.2366442000039</c:v>
                      </c:pt>
                      <c:pt idx="1">
                        <c:v>6885.4926993999989</c:v>
                      </c:pt>
                      <c:pt idx="2">
                        <c:v>5709.7463228700017</c:v>
                      </c:pt>
                      <c:pt idx="3">
                        <c:v>4340.3450315000009</c:v>
                      </c:pt>
                      <c:pt idx="4">
                        <c:v>14783.496607630002</c:v>
                      </c:pt>
                      <c:pt idx="5">
                        <c:v>4629.2960041799988</c:v>
                      </c:pt>
                      <c:pt idx="6">
                        <c:v>12323.398041589997</c:v>
                      </c:pt>
                      <c:pt idx="7">
                        <c:v>33620.596765999988</c:v>
                      </c:pt>
                      <c:pt idx="8">
                        <c:v>14489.676269449998</c:v>
                      </c:pt>
                      <c:pt idx="9">
                        <c:v>14684.497974740005</c:v>
                      </c:pt>
                      <c:pt idx="10">
                        <c:v>18431.087157999995</c:v>
                      </c:pt>
                      <c:pt idx="11">
                        <c:v>20509.654734519994</c:v>
                      </c:pt>
                      <c:pt idx="12">
                        <c:v>29392.208093059999</c:v>
                      </c:pt>
                      <c:pt idx="13">
                        <c:v>9057.5692067</c:v>
                      </c:pt>
                      <c:pt idx="14">
                        <c:v>7552.9732823000004</c:v>
                      </c:pt>
                      <c:pt idx="15">
                        <c:v>8360.0161308500028</c:v>
                      </c:pt>
                      <c:pt idx="16">
                        <c:v>15891.105920837201</c:v>
                      </c:pt>
                      <c:pt idx="17">
                        <c:v>9226.4896655899975</c:v>
                      </c:pt>
                      <c:pt idx="18">
                        <c:v>37890.709147649992</c:v>
                      </c:pt>
                      <c:pt idx="19">
                        <c:v>18909.488939660001</c:v>
                      </c:pt>
                      <c:pt idx="20">
                        <c:v>7656.9264306179975</c:v>
                      </c:pt>
                      <c:pt idx="21">
                        <c:v>28450.73747666401</c:v>
                      </c:pt>
                      <c:pt idx="22">
                        <c:v>10578.67590319</c:v>
                      </c:pt>
                      <c:pt idx="23">
                        <c:v>14312.359341999998</c:v>
                      </c:pt>
                      <c:pt idx="24">
                        <c:v>3196.4916373329002</c:v>
                      </c:pt>
                      <c:pt idx="25">
                        <c:v>3827.615748491</c:v>
                      </c:pt>
                      <c:pt idx="26">
                        <c:v>2383.8437029900001</c:v>
                      </c:pt>
                      <c:pt idx="27">
                        <c:v>4693.4813134337001</c:v>
                      </c:pt>
                      <c:pt idx="28">
                        <c:v>3625.3687601300003</c:v>
                      </c:pt>
                      <c:pt idx="29">
                        <c:v>28235.5631804</c:v>
                      </c:pt>
                      <c:pt idx="30">
                        <c:v>28236.276756334002</c:v>
                      </c:pt>
                      <c:pt idx="31">
                        <c:v>2738.1661103999991</c:v>
                      </c:pt>
                    </c:numCache>
                  </c:numRef>
                </c:yVal>
                <c:smooth val="0"/>
                <c:extLst xmlns:c15="http://schemas.microsoft.com/office/drawing/2012/chart">
                  <c:ext xmlns:c16="http://schemas.microsoft.com/office/drawing/2014/chart" uri="{C3380CC4-5D6E-409C-BE32-E72D297353CC}">
                    <c16:uniqueId val="{00000003-C068-429F-84D5-AF006A10485A}"/>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'Shallow-Water Complex'!$AF$102</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Complex'!$Z$103:$Z$104,'Shallow-Water Complex'!$Z$106:$Z$108,'Shallow-Water Complex'!$Z$110:$Z$134)</c15:sqref>
                        </c15:formulaRef>
                      </c:ext>
                    </c:extLst>
                    <c:numCache>
                      <c:formatCode>General</c:formatCode>
                      <c:ptCount val="30"/>
                      <c:pt idx="0">
                        <c:v>1986</c:v>
                      </c:pt>
                      <c:pt idx="1">
                        <c:v>1987</c:v>
                      </c:pt>
                      <c:pt idx="2">
                        <c:v>1989</c:v>
                      </c:pt>
                      <c:pt idx="3">
                        <c:v>1990</c:v>
                      </c:pt>
                      <c:pt idx="4">
                        <c:v>1991</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xVal>
                <c:yVal>
                  <c:numRef>
                    <c:extLst xmlns:c15="http://schemas.microsoft.com/office/drawing/2012/chart">
                      <c:ext xmlns:c15="http://schemas.microsoft.com/office/drawing/2012/chart" uri="{02D57815-91ED-43cb-92C2-25804820EDAC}">
                        <c15:formulaRef>
                          <c15:sqref>('Shallow-Water Complex'!$AF$103:$AF$104,'Shallow-Water Complex'!$AF$106:$AF$108,'Shallow-Water Complex'!$AF$110:$AF$134)</c15:sqref>
                        </c15:formulaRef>
                      </c:ext>
                    </c:extLst>
                    <c:numCache>
                      <c:formatCode>#,##0</c:formatCode>
                      <c:ptCount val="30"/>
                      <c:pt idx="0">
                        <c:v>4954.2366442000039</c:v>
                      </c:pt>
                      <c:pt idx="1">
                        <c:v>6885.4926993999989</c:v>
                      </c:pt>
                      <c:pt idx="2">
                        <c:v>3615.1339697479643</c:v>
                      </c:pt>
                      <c:pt idx="3">
                        <c:v>14226.851343029743</c:v>
                      </c:pt>
                      <c:pt idx="4">
                        <c:v>4222.9286709450244</c:v>
                      </c:pt>
                      <c:pt idx="5">
                        <c:v>29972.259494601079</c:v>
                      </c:pt>
                      <c:pt idx="6">
                        <c:v>10853.214330182449</c:v>
                      </c:pt>
                      <c:pt idx="7">
                        <c:v>10922.347647509276</c:v>
                      </c:pt>
                      <c:pt idx="8">
                        <c:v>12292.837954180073</c:v>
                      </c:pt>
                      <c:pt idx="9">
                        <c:v>26880.14323892806</c:v>
                      </c:pt>
                      <c:pt idx="10">
                        <c:v>26819.523487616985</c:v>
                      </c:pt>
                      <c:pt idx="11">
                        <c:v>8647.9603772667906</c:v>
                      </c:pt>
                      <c:pt idx="12">
                        <c:v>7167.134994189717</c:v>
                      </c:pt>
                      <c:pt idx="13">
                        <c:v>9414.4909262847723</c:v>
                      </c:pt>
                      <c:pt idx="14">
                        <c:v>19294.305433394577</c:v>
                      </c:pt>
                      <c:pt idx="15">
                        <c:v>8672.452050315831</c:v>
                      </c:pt>
                      <c:pt idx="16">
                        <c:v>42189.419030960402</c:v>
                      </c:pt>
                      <c:pt idx="17">
                        <c:v>23317.522829368674</c:v>
                      </c:pt>
                      <c:pt idx="18">
                        <c:v>7690.8279351182427</c:v>
                      </c:pt>
                      <c:pt idx="19">
                        <c:v>32780.808913652538</c:v>
                      </c:pt>
                      <c:pt idx="20">
                        <c:v>8867.2534701526183</c:v>
                      </c:pt>
                      <c:pt idx="21">
                        <c:v>11175.242490047582</c:v>
                      </c:pt>
                      <c:pt idx="22">
                        <c:v>3176.8182425129708</c:v>
                      </c:pt>
                      <c:pt idx="23">
                        <c:v>3856.5191858964959</c:v>
                      </c:pt>
                      <c:pt idx="24">
                        <c:v>2363.6976392510951</c:v>
                      </c:pt>
                      <c:pt idx="25">
                        <c:v>8927.2075420974779</c:v>
                      </c:pt>
                      <c:pt idx="26">
                        <c:v>3675.8499387028105</c:v>
                      </c:pt>
                      <c:pt idx="27">
                        <c:v>12680.946999198184</c:v>
                      </c:pt>
                      <c:pt idx="28">
                        <c:v>43493.674037397956</c:v>
                      </c:pt>
                      <c:pt idx="29">
                        <c:v>2738.1661103999991</c:v>
                      </c:pt>
                    </c:numCache>
                  </c:numRef>
                </c:yVal>
                <c:smooth val="0"/>
                <c:extLst xmlns:c15="http://schemas.microsoft.com/office/drawing/2012/chart">
                  <c:ext xmlns:c16="http://schemas.microsoft.com/office/drawing/2014/chart" uri="{C3380CC4-5D6E-409C-BE32-E72D297353CC}">
                    <c16:uniqueId val="{00000004-C068-429F-84D5-AF006A10485A}"/>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0"/>
          <c:order val="0"/>
          <c:tx>
            <c:strRef>
              <c:f>'Shallow-Water Complex'!$D$3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0-6F2E-46A4-8F3C-79A25521B275}"/>
            </c:ext>
          </c:extLst>
        </c:ser>
        <c:ser>
          <c:idx val="2"/>
          <c:order val="2"/>
          <c:tx>
            <c:strRef>
              <c:f>'Shallow-Water Complex'!$N$3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0">
                  <c:v>213.66542279999999</c:v>
                </c:pt>
                <c:pt idx="1">
                  <c:v>262.40692420000005</c:v>
                </c:pt>
                <c:pt idx="2">
                  <c:v>956.41537245000029</c:v>
                </c:pt>
                <c:pt idx="3">
                  <c:v>2498.5847723000006</c:v>
                </c:pt>
                <c:pt idx="4">
                  <c:v>1021.2368579999999</c:v>
                </c:pt>
                <c:pt idx="5">
                  <c:v>2371.7813498</c:v>
                </c:pt>
                <c:pt idx="6">
                  <c:v>3280.4377290500011</c:v>
                </c:pt>
                <c:pt idx="7">
                  <c:v>377.14092199999993</c:v>
                </c:pt>
                <c:pt idx="8">
                  <c:v>867.18638599999997</c:v>
                </c:pt>
                <c:pt idx="9">
                  <c:v>666.725596</c:v>
                </c:pt>
                <c:pt idx="10">
                  <c:v>409.30508200000003</c:v>
                </c:pt>
                <c:pt idx="11">
                  <c:v>489.34887599999996</c:v>
                </c:pt>
                <c:pt idx="12">
                  <c:v>1153.6838000000002</c:v>
                </c:pt>
                <c:pt idx="13">
                  <c:v>2101.7615854699998</c:v>
                </c:pt>
                <c:pt idx="14">
                  <c:v>7888.9850333999984</c:v>
                </c:pt>
                <c:pt idx="15">
                  <c:v>312.20308</c:v>
                </c:pt>
                <c:pt idx="16">
                  <c:v>265.389748</c:v>
                </c:pt>
                <c:pt idx="17">
                  <c:v>2657.0738755000002</c:v>
                </c:pt>
                <c:pt idx="18">
                  <c:v>5437.5706806800017</c:v>
                </c:pt>
                <c:pt idx="19">
                  <c:v>5302.5303370000011</c:v>
                </c:pt>
                <c:pt idx="20">
                  <c:v>1104.7897519999999</c:v>
                </c:pt>
                <c:pt idx="21">
                  <c:v>33501.638706299993</c:v>
                </c:pt>
                <c:pt idx="22">
                  <c:v>341.183896</c:v>
                </c:pt>
                <c:pt idx="23">
                  <c:v>95.236515400000002</c:v>
                </c:pt>
                <c:pt idx="24">
                  <c:v>370.02882502099999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1-6F2E-46A4-8F3C-79A25521B275}"/>
            </c:ext>
          </c:extLst>
        </c:ser>
        <c:ser>
          <c:idx val="1"/>
          <c:order val="5"/>
          <c:tx>
            <c:strRef>
              <c:f>'Shallow-Water Complex'!$D$41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Complex'!$D$42:$D$47</c:f>
              <c:numCache>
                <c:formatCode>#,##0</c:formatCode>
                <c:ptCount val="6"/>
                <c:pt idx="0">
                  <c:v>5606.9159661100011</c:v>
                </c:pt>
                <c:pt idx="1">
                  <c:v>5606.9159661100011</c:v>
                </c:pt>
                <c:pt idx="2">
                  <c:v>5606.9159661100011</c:v>
                </c:pt>
                <c:pt idx="3">
                  <c:v>5606.9159661100011</c:v>
                </c:pt>
                <c:pt idx="4">
                  <c:v>5606.9159661100011</c:v>
                </c:pt>
                <c:pt idx="5">
                  <c:v>5606.9159661100011</c:v>
                </c:pt>
              </c:numCache>
            </c:numRef>
          </c:yVal>
          <c:smooth val="0"/>
          <c:extLst>
            <c:ext xmlns:c16="http://schemas.microsoft.com/office/drawing/2014/chart" uri="{C3380CC4-5D6E-409C-BE32-E72D297353CC}">
              <c16:uniqueId val="{00000003-6F2E-46A4-8F3C-79A25521B275}"/>
            </c:ext>
          </c:extLst>
        </c:ser>
        <c:ser>
          <c:idx val="4"/>
          <c:order val="6"/>
          <c:tx>
            <c:strRef>
              <c:f>'Shallow-Water Complex'!$N$41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Complex'!$N$42:$N$47</c:f>
              <c:numCache>
                <c:formatCode>#,##0</c:formatCode>
                <c:ptCount val="6"/>
                <c:pt idx="0">
                  <c:v>5437.5706806800017</c:v>
                </c:pt>
                <c:pt idx="1">
                  <c:v>5437.5706806800017</c:v>
                </c:pt>
                <c:pt idx="2">
                  <c:v>5437.5706806800017</c:v>
                </c:pt>
                <c:pt idx="3">
                  <c:v>5437.5706806800017</c:v>
                </c:pt>
                <c:pt idx="4">
                  <c:v>5437.5706806800017</c:v>
                </c:pt>
                <c:pt idx="5">
                  <c:v>5437.5706806800017</c:v>
                </c:pt>
              </c:numCache>
            </c:numRef>
          </c:yVal>
          <c:smooth val="0"/>
          <c:extLst>
            <c:ext xmlns:c16="http://schemas.microsoft.com/office/drawing/2014/chart" uri="{C3380CC4-5D6E-409C-BE32-E72D297353CC}">
              <c16:uniqueId val="{00000004-6F2E-46A4-8F3C-79A25521B275}"/>
            </c:ext>
          </c:extLst>
        </c:ser>
        <c:ser>
          <c:idx val="7"/>
          <c:order val="7"/>
          <c:spPr>
            <a:ln>
              <a:solidFill>
                <a:schemeClr val="tx1"/>
              </a:solidFill>
            </a:ln>
          </c:spPr>
          <c:marker>
            <c:symbol val="none"/>
          </c:marker>
          <c:xVal>
            <c:numRef>
              <c:f>'Shallow-Water Complex'!$CO$4:$CO$5</c:f>
              <c:numCache>
                <c:formatCode>General</c:formatCode>
                <c:ptCount val="2"/>
                <c:pt idx="0">
                  <c:v>1999</c:v>
                </c:pt>
                <c:pt idx="1">
                  <c:v>1999</c:v>
                </c:pt>
              </c:numCache>
            </c:numRef>
          </c:xVal>
          <c:yVal>
            <c:numRef>
              <c:f>'Shallow-Water Complex'!$CP$4:$CP$5</c:f>
              <c:numCache>
                <c:formatCode>#,##0</c:formatCode>
                <c:ptCount val="2"/>
                <c:pt idx="0">
                  <c:v>0</c:v>
                </c:pt>
                <c:pt idx="1">
                  <c:v>35000</c:v>
                </c:pt>
              </c:numCache>
            </c:numRef>
          </c:yVal>
          <c:smooth val="0"/>
          <c:extLst>
            <c:ext xmlns:c16="http://schemas.microsoft.com/office/drawing/2014/chart" uri="{C3380CC4-5D6E-409C-BE32-E72D297353CC}">
              <c16:uniqueId val="{00000000-A8A8-4B3A-A06A-0FDED1EF38F3}"/>
            </c:ext>
          </c:extLst>
        </c:ser>
        <c:ser>
          <c:idx val="8"/>
          <c:order val="8"/>
          <c:spPr>
            <a:ln>
              <a:solidFill>
                <a:schemeClr val="tx1"/>
              </a:solidFill>
            </a:ln>
          </c:spPr>
          <c:marker>
            <c:symbol val="none"/>
          </c:marker>
          <c:xVal>
            <c:numRef>
              <c:f>'Shallow-Water Complex'!$CO$6:$CO$7</c:f>
              <c:numCache>
                <c:formatCode>General</c:formatCode>
                <c:ptCount val="2"/>
                <c:pt idx="0">
                  <c:v>2007</c:v>
                </c:pt>
                <c:pt idx="1">
                  <c:v>2007</c:v>
                </c:pt>
              </c:numCache>
            </c:numRef>
          </c:xVal>
          <c:yVal>
            <c:numRef>
              <c:f>'Shallow-Water Complex'!$CP$6:$CP$7</c:f>
              <c:numCache>
                <c:formatCode>#,##0</c:formatCode>
                <c:ptCount val="2"/>
                <c:pt idx="0">
                  <c:v>0</c:v>
                </c:pt>
                <c:pt idx="1">
                  <c:v>35000</c:v>
                </c:pt>
              </c:numCache>
            </c:numRef>
          </c:yVal>
          <c:smooth val="0"/>
          <c:extLst>
            <c:ext xmlns:c16="http://schemas.microsoft.com/office/drawing/2014/chart" uri="{C3380CC4-5D6E-409C-BE32-E72D297353CC}">
              <c16:uniqueId val="{00000001-A8A8-4B3A-A06A-0FDED1EF38F3}"/>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Complex'!$AH$3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Complex'!$AH$4:$AH$35</c15:sqref>
                        </c15:formulaRef>
                      </c:ext>
                    </c:extLst>
                    <c:numCache>
                      <c:formatCode>#,##0</c:formatCode>
                      <c:ptCount val="32"/>
                      <c:pt idx="0">
                        <c:v>213.66542279999999</c:v>
                      </c:pt>
                      <c:pt idx="1">
                        <c:v>262.40692420000005</c:v>
                      </c:pt>
                      <c:pt idx="2">
                        <c:v>983.30338127000005</c:v>
                      </c:pt>
                      <c:pt idx="3">
                        <c:v>2586.9450254000003</c:v>
                      </c:pt>
                      <c:pt idx="4">
                        <c:v>1021.2368579999999</c:v>
                      </c:pt>
                      <c:pt idx="5">
                        <c:v>2377.7248291999999</c:v>
                      </c:pt>
                      <c:pt idx="6">
                        <c:v>3404.2825971799998</c:v>
                      </c:pt>
                      <c:pt idx="7">
                        <c:v>377.14092199999993</c:v>
                      </c:pt>
                      <c:pt idx="8">
                        <c:v>855.18638599999997</c:v>
                      </c:pt>
                      <c:pt idx="9">
                        <c:v>648.725596</c:v>
                      </c:pt>
                      <c:pt idx="10">
                        <c:v>398.30508200000003</c:v>
                      </c:pt>
                      <c:pt idx="11">
                        <c:v>487.34887599999996</c:v>
                      </c:pt>
                      <c:pt idx="12">
                        <c:v>998.68380000000036</c:v>
                      </c:pt>
                      <c:pt idx="13">
                        <c:v>2125.5527917999998</c:v>
                      </c:pt>
                      <c:pt idx="14">
                        <c:v>8205.7874845000006</c:v>
                      </c:pt>
                      <c:pt idx="15">
                        <c:v>308.20308</c:v>
                      </c:pt>
                      <c:pt idx="16">
                        <c:v>265.389748</c:v>
                      </c:pt>
                      <c:pt idx="17">
                        <c:v>1981.9199194</c:v>
                      </c:pt>
                      <c:pt idx="18">
                        <c:v>5556.9159661100011</c:v>
                      </c:pt>
                      <c:pt idx="19">
                        <c:v>5442.0663666999999</c:v>
                      </c:pt>
                      <c:pt idx="20">
                        <c:v>1018.7897519999999</c:v>
                      </c:pt>
                      <c:pt idx="21">
                        <c:v>34851.753549200002</c:v>
                      </c:pt>
                      <c:pt idx="22">
                        <c:v>341.183896</c:v>
                      </c:pt>
                      <c:pt idx="23">
                        <c:v>95.236515400000002</c:v>
                      </c:pt>
                      <c:pt idx="24">
                        <c:v>149.00583045799999</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c:ext xmlns:c16="http://schemas.microsoft.com/office/drawing/2014/chart" uri="{C3380CC4-5D6E-409C-BE32-E72D297353CC}">
                    <c16:uniqueId val="{00000005-6F2E-46A4-8F3C-79A25521B275}"/>
                  </c:ext>
                </c:extLst>
              </c15:ser>
            </c15:filteredScatterSeries>
            <c15:filteredScatterSeries>
              <c15:ser>
                <c:idx val="6"/>
                <c:order val="3"/>
                <c:tx>
                  <c:strRef>
                    <c:extLst xmlns:c15="http://schemas.microsoft.com/office/drawing/2012/chart">
                      <c:ext xmlns:c15="http://schemas.microsoft.com/office/drawing/2012/chart" uri="{02D57815-91ED-43cb-92C2-25804820EDAC}">
                        <c15:formulaRef>
                          <c15:sqref>'Shallow-Water Complex'!$AU$102</c15:sqref>
                        </c15:formulaRef>
                      </c:ext>
                    </c:extLst>
                    <c:strCache>
                      <c:ptCount val="1"/>
                      <c:pt idx="0">
                        <c:v>Total New MRIP</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Complex'!$AK$103:$AK$134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Complex'!$AU$103:$AU$134</c15:sqref>
                        </c15:formulaRef>
                      </c:ext>
                    </c:extLst>
                    <c:numCache>
                      <c:formatCode>#,##0</c:formatCode>
                      <c:ptCount val="32"/>
                      <c:pt idx="0">
                        <c:v>213.66542279999999</c:v>
                      </c:pt>
                      <c:pt idx="1">
                        <c:v>262.40692420000005</c:v>
                      </c:pt>
                      <c:pt idx="3">
                        <c:v>886.81476141309463</c:v>
                      </c:pt>
                      <c:pt idx="4">
                        <c:v>1021.2368579999999</c:v>
                      </c:pt>
                      <c:pt idx="5">
                        <c:v>1051.4927817760047</c:v>
                      </c:pt>
                      <c:pt idx="6">
                        <c:v>2805.0059095626957</c:v>
                      </c:pt>
                      <c:pt idx="7">
                        <c:v>377.14092199999993</c:v>
                      </c:pt>
                      <c:pt idx="8">
                        <c:v>867.18638599999997</c:v>
                      </c:pt>
                      <c:pt idx="9">
                        <c:v>666.725596</c:v>
                      </c:pt>
                      <c:pt idx="10">
                        <c:v>409.30508200000003</c:v>
                      </c:pt>
                      <c:pt idx="11">
                        <c:v>489.34887599999996</c:v>
                      </c:pt>
                      <c:pt idx="12">
                        <c:v>1153.6838000000002</c:v>
                      </c:pt>
                      <c:pt idx="15">
                        <c:v>312.20308</c:v>
                      </c:pt>
                      <c:pt idx="16">
                        <c:v>265.389748</c:v>
                      </c:pt>
                      <c:pt idx="17">
                        <c:v>1874.9190470891861</c:v>
                      </c:pt>
                      <c:pt idx="18">
                        <c:v>5536.1321381293892</c:v>
                      </c:pt>
                      <c:pt idx="19">
                        <c:v>3980.4320393779203</c:v>
                      </c:pt>
                      <c:pt idx="20">
                        <c:v>1104.7897519999999</c:v>
                      </c:pt>
                      <c:pt idx="21">
                        <c:v>32203.878458981166</c:v>
                      </c:pt>
                      <c:pt idx="22">
                        <c:v>341.183896</c:v>
                      </c:pt>
                      <c:pt idx="23">
                        <c:v>95.236515400000002</c:v>
                      </c:pt>
                      <c:pt idx="24">
                        <c:v>378.33565440782945</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xmlns:c15="http://schemas.microsoft.com/office/drawing/2012/chart">
                  <c:ext xmlns:c16="http://schemas.microsoft.com/office/drawing/2014/chart" uri="{C3380CC4-5D6E-409C-BE32-E72D297353CC}">
                    <c16:uniqueId val="{00000002-6F2E-46A4-8F3C-79A25521B275}"/>
                  </c:ext>
                </c:extLst>
              </c15:ser>
            </c15:filteredScatterSeries>
            <c15:filteredScatterSeries>
              <c15:ser>
                <c:idx val="5"/>
                <c:order val="4"/>
                <c:tx>
                  <c:strRef>
                    <c:extLst xmlns:c15="http://schemas.microsoft.com/office/drawing/2012/chart">
                      <c:ext xmlns:c15="http://schemas.microsoft.com/office/drawing/2012/chart" uri="{02D57815-91ED-43cb-92C2-25804820EDAC}">
                        <c15:formulaRef>
                          <c15:sqref>'Shallow-Water Complex'!$AQ$3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Complex'!$AQ$4:$AQ$35</c15:sqref>
                        </c15:formulaRef>
                      </c:ext>
                    </c:extLst>
                    <c:numCache>
                      <c:formatCode>#,##0</c:formatCode>
                      <c:ptCount val="32"/>
                      <c:pt idx="0">
                        <c:v>213.66542279999999</c:v>
                      </c:pt>
                      <c:pt idx="1">
                        <c:v>262.40692420000005</c:v>
                      </c:pt>
                      <c:pt idx="2">
                        <c:v>956.41537245000029</c:v>
                      </c:pt>
                      <c:pt idx="3">
                        <c:v>2498.5847723000006</c:v>
                      </c:pt>
                      <c:pt idx="4">
                        <c:v>1021.2368579999999</c:v>
                      </c:pt>
                      <c:pt idx="5">
                        <c:v>2285.7813498</c:v>
                      </c:pt>
                      <c:pt idx="6">
                        <c:v>3280.4377290500011</c:v>
                      </c:pt>
                      <c:pt idx="7">
                        <c:v>377.14092199999993</c:v>
                      </c:pt>
                      <c:pt idx="8">
                        <c:v>855.18638599999997</c:v>
                      </c:pt>
                      <c:pt idx="9">
                        <c:v>648.725596</c:v>
                      </c:pt>
                      <c:pt idx="10">
                        <c:v>398.30508200000003</c:v>
                      </c:pt>
                      <c:pt idx="11">
                        <c:v>487.34887599999996</c:v>
                      </c:pt>
                      <c:pt idx="12">
                        <c:v>998.68380000000036</c:v>
                      </c:pt>
                      <c:pt idx="13">
                        <c:v>2083.7615854699998</c:v>
                      </c:pt>
                      <c:pt idx="14">
                        <c:v>7888.9850333999984</c:v>
                      </c:pt>
                      <c:pt idx="15">
                        <c:v>308.20308</c:v>
                      </c:pt>
                      <c:pt idx="16">
                        <c:v>265.389748</c:v>
                      </c:pt>
                      <c:pt idx="17">
                        <c:v>1913.0738755000004</c:v>
                      </c:pt>
                      <c:pt idx="18">
                        <c:v>5387.5706806800017</c:v>
                      </c:pt>
                      <c:pt idx="19">
                        <c:v>5302.5303370000011</c:v>
                      </c:pt>
                      <c:pt idx="20">
                        <c:v>1018.7897519999999</c:v>
                      </c:pt>
                      <c:pt idx="21">
                        <c:v>33501.638706299993</c:v>
                      </c:pt>
                      <c:pt idx="22">
                        <c:v>341.183896</c:v>
                      </c:pt>
                      <c:pt idx="23">
                        <c:v>95.236515400000002</c:v>
                      </c:pt>
                      <c:pt idx="24">
                        <c:v>147.02882502099999</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xmlns:c15="http://schemas.microsoft.com/office/drawing/2012/chart">
                  <c:ext xmlns:c16="http://schemas.microsoft.com/office/drawing/2014/chart" uri="{C3380CC4-5D6E-409C-BE32-E72D297353CC}">
                    <c16:uniqueId val="{00000006-6F2E-46A4-8F3C-79A25521B275}"/>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legendEntry>
        <c:idx val="4"/>
        <c:delete val="1"/>
      </c:legendEntry>
      <c:legendEntry>
        <c:idx val="5"/>
        <c:delete val="1"/>
      </c:legendEntry>
      <c:overlay val="0"/>
    </c:legend>
    <c:plotVisOnly val="1"/>
    <c:dispBlanksAs val="gap"/>
    <c:showDLblsOverMax val="0"/>
  </c:chart>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0"/>
          <c:order val="0"/>
          <c:tx>
            <c:strRef>
              <c:f>'Shallow-Water Complex'!$E$3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0">
                  <c:v>27322.966739</c:v>
                </c:pt>
                <c:pt idx="1">
                  <c:v>4467.4536500000004</c:v>
                </c:pt>
                <c:pt idx="2">
                  <c:v>36496.9156754</c:v>
                </c:pt>
                <c:pt idx="3">
                  <c:v>22999.332126000001</c:v>
                </c:pt>
                <c:pt idx="4">
                  <c:v>4434.4715679999999</c:v>
                </c:pt>
                <c:pt idx="5">
                  <c:v>3264.2401359999999</c:v>
                </c:pt>
                <c:pt idx="6">
                  <c:v>11286.487502</c:v>
                </c:pt>
                <c:pt idx="7">
                  <c:v>13469.8777593</c:v>
                </c:pt>
                <c:pt idx="8">
                  <c:v>4446.8626420000001</c:v>
                </c:pt>
                <c:pt idx="9">
                  <c:v>5358.5467980000003</c:v>
                </c:pt>
                <c:pt idx="10">
                  <c:v>14845.251355100001</c:v>
                </c:pt>
                <c:pt idx="11">
                  <c:v>4125.873106</c:v>
                </c:pt>
                <c:pt idx="12">
                  <c:v>1627.2305219999998</c:v>
                </c:pt>
                <c:pt idx="13">
                  <c:v>3832.0972320000001</c:v>
                </c:pt>
                <c:pt idx="14">
                  <c:v>2906.0016700000001</c:v>
                </c:pt>
                <c:pt idx="15">
                  <c:v>4590.2788061000001</c:v>
                </c:pt>
                <c:pt idx="16">
                  <c:v>7338.9599729000001</c:v>
                </c:pt>
                <c:pt idx="17">
                  <c:v>2223.42193</c:v>
                </c:pt>
                <c:pt idx="18">
                  <c:v>9259.4716719999997</c:v>
                </c:pt>
                <c:pt idx="19">
                  <c:v>3777.0417080000002</c:v>
                </c:pt>
                <c:pt idx="20">
                  <c:v>40720.880957200003</c:v>
                </c:pt>
                <c:pt idx="21">
                  <c:v>10625.0090814</c:v>
                </c:pt>
                <c:pt idx="22">
                  <c:v>4205.7486058000004</c:v>
                </c:pt>
                <c:pt idx="23">
                  <c:v>3284.1457632000001</c:v>
                </c:pt>
                <c:pt idx="24">
                  <c:v>3774.353556</c:v>
                </c:pt>
                <c:pt idx="25">
                  <c:v>5241.7739116000002</c:v>
                </c:pt>
                <c:pt idx="26">
                  <c:v>8795.035455199999</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0-C240-4FC0-ADEE-5EE4A0DCC524}"/>
            </c:ext>
          </c:extLst>
        </c:ser>
        <c:ser>
          <c:idx val="2"/>
          <c:order val="2"/>
          <c:tx>
            <c:strRef>
              <c:f>'Shallow-Water Complex'!$O$3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Complex'!$O$4:$O$35</c:f>
              <c:numCache>
                <c:formatCode>#,##0</c:formatCode>
                <c:ptCount val="32"/>
                <c:pt idx="0">
                  <c:v>27322.966739</c:v>
                </c:pt>
                <c:pt idx="1">
                  <c:v>4467.4536500000004</c:v>
                </c:pt>
                <c:pt idx="2">
                  <c:v>32552.453113400003</c:v>
                </c:pt>
                <c:pt idx="3">
                  <c:v>20473.874170000006</c:v>
                </c:pt>
                <c:pt idx="4">
                  <c:v>4434.4715679999999</c:v>
                </c:pt>
                <c:pt idx="5">
                  <c:v>3264.2401359999999</c:v>
                </c:pt>
                <c:pt idx="6">
                  <c:v>11286.487502</c:v>
                </c:pt>
                <c:pt idx="7">
                  <c:v>12319.8914883</c:v>
                </c:pt>
                <c:pt idx="8">
                  <c:v>4446.8626420000001</c:v>
                </c:pt>
                <c:pt idx="9">
                  <c:v>5358.5467980000003</c:v>
                </c:pt>
                <c:pt idx="10">
                  <c:v>14058.5554029</c:v>
                </c:pt>
                <c:pt idx="11">
                  <c:v>4125.873106</c:v>
                </c:pt>
                <c:pt idx="12">
                  <c:v>1627.2305219999998</c:v>
                </c:pt>
                <c:pt idx="13">
                  <c:v>3832.0972320000001</c:v>
                </c:pt>
                <c:pt idx="14">
                  <c:v>2906.0016700000001</c:v>
                </c:pt>
                <c:pt idx="15">
                  <c:v>4541.8114423900006</c:v>
                </c:pt>
                <c:pt idx="16">
                  <c:v>6801.153048600002</c:v>
                </c:pt>
                <c:pt idx="17">
                  <c:v>2223.42193</c:v>
                </c:pt>
                <c:pt idx="18">
                  <c:v>9259.4716719999997</c:v>
                </c:pt>
                <c:pt idx="19">
                  <c:v>3777.0417080000002</c:v>
                </c:pt>
                <c:pt idx="20">
                  <c:v>37218.5858782</c:v>
                </c:pt>
                <c:pt idx="21">
                  <c:v>10625.0090814</c:v>
                </c:pt>
                <c:pt idx="22">
                  <c:v>4205.7486058000004</c:v>
                </c:pt>
                <c:pt idx="23">
                  <c:v>3284.1457632000001</c:v>
                </c:pt>
                <c:pt idx="24">
                  <c:v>3774.353556</c:v>
                </c:pt>
                <c:pt idx="25">
                  <c:v>5241.7739116000002</c:v>
                </c:pt>
                <c:pt idx="26">
                  <c:v>8149.3718272000006</c:v>
                </c:pt>
                <c:pt idx="27">
                  <c:v>1592.2009124000001</c:v>
                </c:pt>
                <c:pt idx="28">
                  <c:v>2908.3056738</c:v>
                </c:pt>
                <c:pt idx="29">
                  <c:v>1453.5139984</c:v>
                </c:pt>
                <c:pt idx="30">
                  <c:v>678.10039059999997</c:v>
                </c:pt>
                <c:pt idx="31">
                  <c:v>893.57691360000001</c:v>
                </c:pt>
              </c:numCache>
            </c:numRef>
          </c:yVal>
          <c:smooth val="0"/>
          <c:extLst>
            <c:ext xmlns:c16="http://schemas.microsoft.com/office/drawing/2014/chart" uri="{C3380CC4-5D6E-409C-BE32-E72D297353CC}">
              <c16:uniqueId val="{00000002-C240-4FC0-ADEE-5EE4A0DCC524}"/>
            </c:ext>
          </c:extLst>
        </c:ser>
        <c:ser>
          <c:idx val="1"/>
          <c:order val="5"/>
          <c:tx>
            <c:strRef>
              <c:f>'Shallow-Water Complex'!$E$41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Complex'!$E$42:$E$47</c:f>
              <c:numCache>
                <c:formatCode>#,##0</c:formatCode>
                <c:ptCount val="6"/>
                <c:pt idx="0">
                  <c:v>9259.4716719999997</c:v>
                </c:pt>
                <c:pt idx="1">
                  <c:v>9259.4716719999997</c:v>
                </c:pt>
                <c:pt idx="2">
                  <c:v>9259.4716719999997</c:v>
                </c:pt>
                <c:pt idx="3">
                  <c:v>9259.4716719999997</c:v>
                </c:pt>
                <c:pt idx="4">
                  <c:v>9259.4716719999997</c:v>
                </c:pt>
                <c:pt idx="5">
                  <c:v>9259.4716719999997</c:v>
                </c:pt>
              </c:numCache>
            </c:numRef>
          </c:yVal>
          <c:smooth val="0"/>
          <c:extLst>
            <c:ext xmlns:c16="http://schemas.microsoft.com/office/drawing/2014/chart" uri="{C3380CC4-5D6E-409C-BE32-E72D297353CC}">
              <c16:uniqueId val="{00000005-C240-4FC0-ADEE-5EE4A0DCC524}"/>
            </c:ext>
          </c:extLst>
        </c:ser>
        <c:ser>
          <c:idx val="4"/>
          <c:order val="6"/>
          <c:tx>
            <c:strRef>
              <c:f>'Shallow-Water Complex'!$O$41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Complex'!$O$42:$O$47</c:f>
              <c:numCache>
                <c:formatCode>#,##0</c:formatCode>
                <c:ptCount val="6"/>
                <c:pt idx="0">
                  <c:v>9259.4716719999997</c:v>
                </c:pt>
                <c:pt idx="1">
                  <c:v>9259.4716719999997</c:v>
                </c:pt>
                <c:pt idx="2">
                  <c:v>9259.4716719999997</c:v>
                </c:pt>
                <c:pt idx="3">
                  <c:v>9259.4716719999997</c:v>
                </c:pt>
                <c:pt idx="4">
                  <c:v>9259.4716719999997</c:v>
                </c:pt>
                <c:pt idx="5">
                  <c:v>9259.4716719999997</c:v>
                </c:pt>
              </c:numCache>
            </c:numRef>
          </c:yVal>
          <c:smooth val="0"/>
          <c:extLst>
            <c:ext xmlns:c16="http://schemas.microsoft.com/office/drawing/2014/chart" uri="{C3380CC4-5D6E-409C-BE32-E72D297353CC}">
              <c16:uniqueId val="{00000006-C240-4FC0-ADEE-5EE4A0DCC524}"/>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Complex'!$AI$3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Complex'!$AI$4:$AI$35</c15:sqref>
                        </c15:formulaRef>
                      </c:ext>
                    </c:extLst>
                    <c:numCache>
                      <c:formatCode>#,##0</c:formatCode>
                      <c:ptCount val="32"/>
                      <c:pt idx="0">
                        <c:v>1314.966739</c:v>
                      </c:pt>
                      <c:pt idx="1">
                        <c:v>193.45364999999998</c:v>
                      </c:pt>
                      <c:pt idx="2">
                        <c:v>34760.9156754</c:v>
                      </c:pt>
                      <c:pt idx="3">
                        <c:v>22143.332126000001</c:v>
                      </c:pt>
                      <c:pt idx="4">
                        <c:v>908.47156800000016</c:v>
                      </c:pt>
                      <c:pt idx="5">
                        <c:v>42.240136</c:v>
                      </c:pt>
                      <c:pt idx="6">
                        <c:v>514.48750200000006</c:v>
                      </c:pt>
                      <c:pt idx="7">
                        <c:v>10730.8777593</c:v>
                      </c:pt>
                      <c:pt idx="8">
                        <c:v>703.86264200000005</c:v>
                      </c:pt>
                      <c:pt idx="9">
                        <c:v>412.54679800000002</c:v>
                      </c:pt>
                      <c:pt idx="10">
                        <c:v>7414.2513551000002</c:v>
                      </c:pt>
                      <c:pt idx="11">
                        <c:v>685.87310599999978</c:v>
                      </c:pt>
                      <c:pt idx="12">
                        <c:v>324.23052199999989</c:v>
                      </c:pt>
                      <c:pt idx="13">
                        <c:v>35.097231999999998</c:v>
                      </c:pt>
                      <c:pt idx="14">
                        <c:v>389.00166999999999</c:v>
                      </c:pt>
                      <c:pt idx="15">
                        <c:v>703.2788061</c:v>
                      </c:pt>
                      <c:pt idx="16">
                        <c:v>5168.9599729000001</c:v>
                      </c:pt>
                      <c:pt idx="17">
                        <c:v>197.42193</c:v>
                      </c:pt>
                      <c:pt idx="18">
                        <c:v>655.47167200000001</c:v>
                      </c:pt>
                      <c:pt idx="19">
                        <c:v>712.0417080000002</c:v>
                      </c:pt>
                      <c:pt idx="20">
                        <c:v>31319.880957199999</c:v>
                      </c:pt>
                      <c:pt idx="21">
                        <c:v>1586.0090814</c:v>
                      </c:pt>
                      <c:pt idx="22">
                        <c:v>190.74860580000004</c:v>
                      </c:pt>
                      <c:pt idx="23">
                        <c:v>174.1457632</c:v>
                      </c:pt>
                      <c:pt idx="24">
                        <c:v>125.353556</c:v>
                      </c:pt>
                      <c:pt idx="25">
                        <c:v>82.773911600000005</c:v>
                      </c:pt>
                      <c:pt idx="26">
                        <c:v>5721.0354551999999</c:v>
                      </c:pt>
                      <c:pt idx="27">
                        <c:v>112.20091240000001</c:v>
                      </c:pt>
                      <c:pt idx="28">
                        <c:v>421.30567379999997</c:v>
                      </c:pt>
                      <c:pt idx="29">
                        <c:v>117.51399839999999</c:v>
                      </c:pt>
                      <c:pt idx="30">
                        <c:v>46.100390599999997</c:v>
                      </c:pt>
                      <c:pt idx="31">
                        <c:v>29.576913600000001</c:v>
                      </c:pt>
                    </c:numCache>
                  </c:numRef>
                </c:yVal>
                <c:smooth val="0"/>
                <c:extLst>
                  <c:ext xmlns:c16="http://schemas.microsoft.com/office/drawing/2014/chart" uri="{C3380CC4-5D6E-409C-BE32-E72D297353CC}">
                    <c16:uniqueId val="{00000001-C240-4FC0-ADEE-5EE4A0DCC524}"/>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'Shallow-Water Complex'!$AR$3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Complex'!$AR$4:$AR$35</c15:sqref>
                        </c15:formulaRef>
                      </c:ext>
                    </c:extLst>
                    <c:numCache>
                      <c:formatCode>#,##0</c:formatCode>
                      <c:ptCount val="32"/>
                      <c:pt idx="0">
                        <c:v>1314.966739</c:v>
                      </c:pt>
                      <c:pt idx="1">
                        <c:v>193.45364999999998</c:v>
                      </c:pt>
                      <c:pt idx="2">
                        <c:v>30816.453113400003</c:v>
                      </c:pt>
                      <c:pt idx="3">
                        <c:v>19617.874170000006</c:v>
                      </c:pt>
                      <c:pt idx="4">
                        <c:v>908.47156800000016</c:v>
                      </c:pt>
                      <c:pt idx="5">
                        <c:v>42.240136</c:v>
                      </c:pt>
                      <c:pt idx="6">
                        <c:v>514.48750200000006</c:v>
                      </c:pt>
                      <c:pt idx="7">
                        <c:v>9580.8914882999998</c:v>
                      </c:pt>
                      <c:pt idx="8">
                        <c:v>703.86264200000005</c:v>
                      </c:pt>
                      <c:pt idx="9">
                        <c:v>412.54679800000002</c:v>
                      </c:pt>
                      <c:pt idx="10">
                        <c:v>6627.5554028999995</c:v>
                      </c:pt>
                      <c:pt idx="11">
                        <c:v>685.87310599999978</c:v>
                      </c:pt>
                      <c:pt idx="12">
                        <c:v>324.23052199999989</c:v>
                      </c:pt>
                      <c:pt idx="13">
                        <c:v>35.097231999999998</c:v>
                      </c:pt>
                      <c:pt idx="14">
                        <c:v>389.00166999999999</c:v>
                      </c:pt>
                      <c:pt idx="15">
                        <c:v>654.81144239000014</c:v>
                      </c:pt>
                      <c:pt idx="16">
                        <c:v>4631.153048600002</c:v>
                      </c:pt>
                      <c:pt idx="17">
                        <c:v>197.42193</c:v>
                      </c:pt>
                      <c:pt idx="18">
                        <c:v>655.47167200000001</c:v>
                      </c:pt>
                      <c:pt idx="19">
                        <c:v>712.0417080000002</c:v>
                      </c:pt>
                      <c:pt idx="20">
                        <c:v>27817.585878200003</c:v>
                      </c:pt>
                      <c:pt idx="21">
                        <c:v>1586.0090814</c:v>
                      </c:pt>
                      <c:pt idx="22">
                        <c:v>190.74860580000004</c:v>
                      </c:pt>
                      <c:pt idx="23">
                        <c:v>174.1457632</c:v>
                      </c:pt>
                      <c:pt idx="24">
                        <c:v>125.353556</c:v>
                      </c:pt>
                      <c:pt idx="25">
                        <c:v>82.773911600000005</c:v>
                      </c:pt>
                      <c:pt idx="26">
                        <c:v>5075.3718272000006</c:v>
                      </c:pt>
                      <c:pt idx="27">
                        <c:v>112.20091240000001</c:v>
                      </c:pt>
                      <c:pt idx="28">
                        <c:v>421.30567379999997</c:v>
                      </c:pt>
                      <c:pt idx="29">
                        <c:v>117.51399839999999</c:v>
                      </c:pt>
                      <c:pt idx="30">
                        <c:v>46.100390599999997</c:v>
                      </c:pt>
                      <c:pt idx="31">
                        <c:v>29.576913600000001</c:v>
                      </c:pt>
                    </c:numCache>
                  </c:numRef>
                </c:yVal>
                <c:smooth val="0"/>
                <c:extLst xmlns:c15="http://schemas.microsoft.com/office/drawing/2012/chart">
                  <c:ext xmlns:c16="http://schemas.microsoft.com/office/drawing/2014/chart" uri="{C3380CC4-5D6E-409C-BE32-E72D297353CC}">
                    <c16:uniqueId val="{00000003-C240-4FC0-ADEE-5EE4A0DCC524}"/>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'Shallow-Water Complex'!$U$139</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Complex'!$O$140:$O$141,'Shallow-Water Complex'!$O$143:$O$171)</c15:sqref>
                        </c15:formulaRef>
                      </c:ext>
                    </c:extLst>
                    <c:numCache>
                      <c:formatCode>General</c:formatCode>
                      <c:ptCount val="31"/>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xVal>
                <c:yVal>
                  <c:numRef>
                    <c:extLst xmlns:c15="http://schemas.microsoft.com/office/drawing/2012/chart">
                      <c:ext xmlns:c15="http://schemas.microsoft.com/office/drawing/2012/chart" uri="{02D57815-91ED-43cb-92C2-25804820EDAC}">
                        <c15:formulaRef>
                          <c15:sqref>('Shallow-Water Complex'!$U$140:$U$141,'Shallow-Water Complex'!$U$143:$U$171)</c15:sqref>
                        </c15:formulaRef>
                      </c:ext>
                    </c:extLst>
                    <c:numCache>
                      <c:formatCode>#,##0</c:formatCode>
                      <c:ptCount val="31"/>
                      <c:pt idx="0">
                        <c:v>1314.966739</c:v>
                      </c:pt>
                      <c:pt idx="1">
                        <c:v>193.45364999999998</c:v>
                      </c:pt>
                      <c:pt idx="2">
                        <c:v>37130.310349979132</c:v>
                      </c:pt>
                      <c:pt idx="3">
                        <c:v>908.47156800000016</c:v>
                      </c:pt>
                      <c:pt idx="4">
                        <c:v>42.240136</c:v>
                      </c:pt>
                      <c:pt idx="5">
                        <c:v>514.48750200000006</c:v>
                      </c:pt>
                      <c:pt idx="6">
                        <c:v>50285.673279022092</c:v>
                      </c:pt>
                      <c:pt idx="7">
                        <c:v>703.86264200000005</c:v>
                      </c:pt>
                      <c:pt idx="8">
                        <c:v>412.54679800000002</c:v>
                      </c:pt>
                      <c:pt idx="9">
                        <c:v>6174.2146372701473</c:v>
                      </c:pt>
                      <c:pt idx="10">
                        <c:v>685.87310599999978</c:v>
                      </c:pt>
                      <c:pt idx="11">
                        <c:v>324.23052199999989</c:v>
                      </c:pt>
                      <c:pt idx="12">
                        <c:v>35.097231999999998</c:v>
                      </c:pt>
                      <c:pt idx="13">
                        <c:v>389.00166999999999</c:v>
                      </c:pt>
                      <c:pt idx="14">
                        <c:v>904.0488926653594</c:v>
                      </c:pt>
                      <c:pt idx="15">
                        <c:v>6479.7719473454808</c:v>
                      </c:pt>
                      <c:pt idx="16">
                        <c:v>197.42193</c:v>
                      </c:pt>
                      <c:pt idx="17">
                        <c:v>655.47167200000001</c:v>
                      </c:pt>
                      <c:pt idx="18">
                        <c:v>712.0417080000002</c:v>
                      </c:pt>
                      <c:pt idx="19">
                        <c:v>77353.973241378291</c:v>
                      </c:pt>
                      <c:pt idx="20">
                        <c:v>1586.0090814</c:v>
                      </c:pt>
                      <c:pt idx="21">
                        <c:v>190.74860580000004</c:v>
                      </c:pt>
                      <c:pt idx="22">
                        <c:v>174.1457632</c:v>
                      </c:pt>
                      <c:pt idx="23">
                        <c:v>125.353556</c:v>
                      </c:pt>
                      <c:pt idx="24">
                        <c:v>82.773911600000005</c:v>
                      </c:pt>
                      <c:pt idx="25">
                        <c:v>5626.1891126926866</c:v>
                      </c:pt>
                      <c:pt idx="26">
                        <c:v>112.20091240000001</c:v>
                      </c:pt>
                      <c:pt idx="27">
                        <c:v>421.30567379999997</c:v>
                      </c:pt>
                      <c:pt idx="28">
                        <c:v>117.51399839999999</c:v>
                      </c:pt>
                      <c:pt idx="29">
                        <c:v>46.100390599999997</c:v>
                      </c:pt>
                      <c:pt idx="30">
                        <c:v>29.576913600000001</c:v>
                      </c:pt>
                    </c:numCache>
                  </c:numRef>
                </c:yVal>
                <c:smooth val="0"/>
                <c:extLst xmlns:c15="http://schemas.microsoft.com/office/drawing/2012/chart">
                  <c:ext xmlns:c16="http://schemas.microsoft.com/office/drawing/2014/chart" uri="{C3380CC4-5D6E-409C-BE32-E72D297353CC}">
                    <c16:uniqueId val="{00000004-C240-4FC0-ADEE-5EE4A0DCC524}"/>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0"/>
          <c:order val="0"/>
          <c:tx>
            <c:strRef>
              <c:f>'Shallow-Water Complex'!$F$3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0">
                  <c:v>113.15991339999998</c:v>
                </c:pt>
                <c:pt idx="1">
                  <c:v>287.32811760000004</c:v>
                </c:pt>
                <c:pt idx="2">
                  <c:v>308.2008754000002</c:v>
                </c:pt>
                <c:pt idx="3">
                  <c:v>1657.7203102000003</c:v>
                </c:pt>
                <c:pt idx="4">
                  <c:v>2756.6716761000002</c:v>
                </c:pt>
                <c:pt idx="5">
                  <c:v>411.2681300000001</c:v>
                </c:pt>
                <c:pt idx="6">
                  <c:v>886.22883800000011</c:v>
                </c:pt>
                <c:pt idx="7">
                  <c:v>8344.9302663099988</c:v>
                </c:pt>
                <c:pt idx="8">
                  <c:v>725.598487707</c:v>
                </c:pt>
                <c:pt idx="9">
                  <c:v>101.27932399999999</c:v>
                </c:pt>
                <c:pt idx="10">
                  <c:v>30677.865244799999</c:v>
                </c:pt>
                <c:pt idx="11">
                  <c:v>308.53867400000001</c:v>
                </c:pt>
                <c:pt idx="12">
                  <c:v>660.45265436999989</c:v>
                </c:pt>
                <c:pt idx="13">
                  <c:v>747.11873173219999</c:v>
                </c:pt>
                <c:pt idx="14">
                  <c:v>2908.8264222100001</c:v>
                </c:pt>
                <c:pt idx="15">
                  <c:v>59.752097592400006</c:v>
                </c:pt>
                <c:pt idx="16">
                  <c:v>22.931328000000001</c:v>
                </c:pt>
                <c:pt idx="17">
                  <c:v>2969.9227074789997</c:v>
                </c:pt>
                <c:pt idx="18">
                  <c:v>4196.9052978700001</c:v>
                </c:pt>
                <c:pt idx="19">
                  <c:v>3931.4777806940001</c:v>
                </c:pt>
                <c:pt idx="20">
                  <c:v>4170.3292135869997</c:v>
                </c:pt>
                <c:pt idx="21">
                  <c:v>2613.1527339719996</c:v>
                </c:pt>
                <c:pt idx="22">
                  <c:v>2826.2233179999998</c:v>
                </c:pt>
                <c:pt idx="23">
                  <c:v>5450.1429379299998</c:v>
                </c:pt>
                <c:pt idx="24">
                  <c:v>901.31759863600007</c:v>
                </c:pt>
                <c:pt idx="25">
                  <c:v>164.61564240000001</c:v>
                </c:pt>
                <c:pt idx="26">
                  <c:v>23.788489599999998</c:v>
                </c:pt>
                <c:pt idx="27">
                  <c:v>631.04311364</c:v>
                </c:pt>
                <c:pt idx="28">
                  <c:v>316.40338513899997</c:v>
                </c:pt>
                <c:pt idx="29">
                  <c:v>510.25789979999996</c:v>
                </c:pt>
                <c:pt idx="30">
                  <c:v>434.65240534099996</c:v>
                </c:pt>
                <c:pt idx="31">
                  <c:v>1763.2019935999999</c:v>
                </c:pt>
              </c:numCache>
            </c:numRef>
          </c:yVal>
          <c:smooth val="0"/>
          <c:extLst>
            <c:ext xmlns:c16="http://schemas.microsoft.com/office/drawing/2014/chart" uri="{C3380CC4-5D6E-409C-BE32-E72D297353CC}">
              <c16:uniqueId val="{00000000-90DE-4D0A-A4BF-BBEB50236A51}"/>
            </c:ext>
          </c:extLst>
        </c:ser>
        <c:ser>
          <c:idx val="2"/>
          <c:order val="2"/>
          <c:tx>
            <c:strRef>
              <c:f>'Shallow-Water Complex'!$P$3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Complex'!$P$4:$P$35</c:f>
              <c:numCache>
                <c:formatCode>#,##0</c:formatCode>
                <c:ptCount val="32"/>
                <c:pt idx="0">
                  <c:v>113.15991339999998</c:v>
                </c:pt>
                <c:pt idx="1">
                  <c:v>287.32811760000004</c:v>
                </c:pt>
                <c:pt idx="2">
                  <c:v>308.2008754000002</c:v>
                </c:pt>
                <c:pt idx="3">
                  <c:v>1657.7203102000003</c:v>
                </c:pt>
                <c:pt idx="4">
                  <c:v>2756.6716760999993</c:v>
                </c:pt>
                <c:pt idx="5">
                  <c:v>411.2681300000001</c:v>
                </c:pt>
                <c:pt idx="6">
                  <c:v>886.22883800000011</c:v>
                </c:pt>
                <c:pt idx="7">
                  <c:v>8344.9302663100007</c:v>
                </c:pt>
                <c:pt idx="8">
                  <c:v>725.598487707</c:v>
                </c:pt>
                <c:pt idx="9">
                  <c:v>101.27932399999999</c:v>
                </c:pt>
                <c:pt idx="10">
                  <c:v>30677.865244799999</c:v>
                </c:pt>
                <c:pt idx="11">
                  <c:v>308.53867400000001</c:v>
                </c:pt>
                <c:pt idx="12">
                  <c:v>660.45265437</c:v>
                </c:pt>
                <c:pt idx="13">
                  <c:v>747.11873173219999</c:v>
                </c:pt>
                <c:pt idx="14">
                  <c:v>2908.8264222100011</c:v>
                </c:pt>
                <c:pt idx="15">
                  <c:v>59.752097592399998</c:v>
                </c:pt>
                <c:pt idx="16">
                  <c:v>22.931328000000001</c:v>
                </c:pt>
                <c:pt idx="17">
                  <c:v>2969.9227074790001</c:v>
                </c:pt>
                <c:pt idx="18">
                  <c:v>4196.9052978699992</c:v>
                </c:pt>
                <c:pt idx="19">
                  <c:v>3931.4777806940001</c:v>
                </c:pt>
                <c:pt idx="20">
                  <c:v>4170.3292135870006</c:v>
                </c:pt>
                <c:pt idx="21">
                  <c:v>2613.1527339720005</c:v>
                </c:pt>
                <c:pt idx="22">
                  <c:v>2826.2233180000003</c:v>
                </c:pt>
                <c:pt idx="23">
                  <c:v>5450.1429379300007</c:v>
                </c:pt>
                <c:pt idx="24">
                  <c:v>901.31759863599996</c:v>
                </c:pt>
                <c:pt idx="25">
                  <c:v>164.61564240000001</c:v>
                </c:pt>
                <c:pt idx="26">
                  <c:v>23.788489599999998</c:v>
                </c:pt>
                <c:pt idx="27">
                  <c:v>631.04311363999989</c:v>
                </c:pt>
                <c:pt idx="28">
                  <c:v>316.40338513900002</c:v>
                </c:pt>
                <c:pt idx="29">
                  <c:v>510.25789979999996</c:v>
                </c:pt>
                <c:pt idx="30">
                  <c:v>434.65240534100008</c:v>
                </c:pt>
                <c:pt idx="31">
                  <c:v>1763.2019935999992</c:v>
                </c:pt>
              </c:numCache>
            </c:numRef>
          </c:yVal>
          <c:smooth val="0"/>
          <c:extLst>
            <c:ext xmlns:c16="http://schemas.microsoft.com/office/drawing/2014/chart" uri="{C3380CC4-5D6E-409C-BE32-E72D297353CC}">
              <c16:uniqueId val="{00000002-90DE-4D0A-A4BF-BBEB50236A51}"/>
            </c:ext>
          </c:extLst>
        </c:ser>
        <c:ser>
          <c:idx val="1"/>
          <c:order val="5"/>
          <c:tx>
            <c:strRef>
              <c:f>'Shallow-Water Complex'!$F$41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Complex'!$F$42:$F$47</c:f>
              <c:numCache>
                <c:formatCode>#,##0</c:formatCode>
                <c:ptCount val="6"/>
                <c:pt idx="0">
                  <c:v>3931.4777806940001</c:v>
                </c:pt>
                <c:pt idx="1">
                  <c:v>3931.4777806940001</c:v>
                </c:pt>
                <c:pt idx="2">
                  <c:v>3931.4777806940001</c:v>
                </c:pt>
                <c:pt idx="3">
                  <c:v>3931.4777806940001</c:v>
                </c:pt>
                <c:pt idx="4">
                  <c:v>3931.4777806940001</c:v>
                </c:pt>
                <c:pt idx="5">
                  <c:v>3931.4777806940001</c:v>
                </c:pt>
              </c:numCache>
            </c:numRef>
          </c:yVal>
          <c:smooth val="0"/>
          <c:extLst>
            <c:ext xmlns:c16="http://schemas.microsoft.com/office/drawing/2014/chart" uri="{C3380CC4-5D6E-409C-BE32-E72D297353CC}">
              <c16:uniqueId val="{00000005-90DE-4D0A-A4BF-BBEB50236A51}"/>
            </c:ext>
          </c:extLst>
        </c:ser>
        <c:ser>
          <c:idx val="4"/>
          <c:order val="6"/>
          <c:tx>
            <c:strRef>
              <c:f>'Shallow-Water Complex'!$P$41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Complex'!$P$42:$P$47</c:f>
              <c:numCache>
                <c:formatCode>#,##0</c:formatCode>
                <c:ptCount val="6"/>
                <c:pt idx="0">
                  <c:v>3931.4777806940001</c:v>
                </c:pt>
                <c:pt idx="1">
                  <c:v>3931.4777806940001</c:v>
                </c:pt>
                <c:pt idx="2">
                  <c:v>3931.4777806940001</c:v>
                </c:pt>
                <c:pt idx="3">
                  <c:v>3931.4777806940001</c:v>
                </c:pt>
                <c:pt idx="4">
                  <c:v>3931.4777806940001</c:v>
                </c:pt>
                <c:pt idx="5">
                  <c:v>3931.4777806940001</c:v>
                </c:pt>
              </c:numCache>
            </c:numRef>
          </c:yVal>
          <c:smooth val="0"/>
          <c:extLst>
            <c:ext xmlns:c16="http://schemas.microsoft.com/office/drawing/2014/chart" uri="{C3380CC4-5D6E-409C-BE32-E72D297353CC}">
              <c16:uniqueId val="{00000006-90DE-4D0A-A4BF-BBEB50236A51}"/>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Complex'!$AJ$3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Complex'!$AJ$4:$AJ$35</c15:sqref>
                        </c15:formulaRef>
                      </c:ext>
                    </c:extLst>
                    <c:numCache>
                      <c:formatCode>#,##0</c:formatCode>
                      <c:ptCount val="32"/>
                      <c:pt idx="0">
                        <c:v>113.15991339999998</c:v>
                      </c:pt>
                      <c:pt idx="1">
                        <c:v>280.32811760000004</c:v>
                      </c:pt>
                      <c:pt idx="2">
                        <c:v>308.2008754000002</c:v>
                      </c:pt>
                      <c:pt idx="3">
                        <c:v>1657.7203102000003</c:v>
                      </c:pt>
                      <c:pt idx="4">
                        <c:v>2756.6716761000002</c:v>
                      </c:pt>
                      <c:pt idx="5">
                        <c:v>411.2681300000001</c:v>
                      </c:pt>
                      <c:pt idx="6">
                        <c:v>605.22883800000011</c:v>
                      </c:pt>
                      <c:pt idx="7">
                        <c:v>8342.9302663099988</c:v>
                      </c:pt>
                      <c:pt idx="8">
                        <c:v>720.598487707</c:v>
                      </c:pt>
                      <c:pt idx="9">
                        <c:v>101.27932399999999</c:v>
                      </c:pt>
                      <c:pt idx="10">
                        <c:v>4033.8652448000003</c:v>
                      </c:pt>
                      <c:pt idx="11">
                        <c:v>249.53867400000001</c:v>
                      </c:pt>
                      <c:pt idx="12">
                        <c:v>660.45265436999989</c:v>
                      </c:pt>
                      <c:pt idx="13">
                        <c:v>605.11873173219999</c:v>
                      </c:pt>
                      <c:pt idx="14">
                        <c:v>2908.8264222100001</c:v>
                      </c:pt>
                      <c:pt idx="15">
                        <c:v>56.752097592400006</c:v>
                      </c:pt>
                      <c:pt idx="16">
                        <c:v>16.931328000000001</c:v>
                      </c:pt>
                      <c:pt idx="17">
                        <c:v>2967.9227074789997</c:v>
                      </c:pt>
                      <c:pt idx="18">
                        <c:v>4159.9052978700001</c:v>
                      </c:pt>
                      <c:pt idx="19">
                        <c:v>3922.4777806940001</c:v>
                      </c:pt>
                      <c:pt idx="20">
                        <c:v>4163.3292135869997</c:v>
                      </c:pt>
                      <c:pt idx="21">
                        <c:v>2602.1527339719996</c:v>
                      </c:pt>
                      <c:pt idx="22">
                        <c:v>2824.2233179999998</c:v>
                      </c:pt>
                      <c:pt idx="23">
                        <c:v>5440.1429379299998</c:v>
                      </c:pt>
                      <c:pt idx="24">
                        <c:v>894.31759863600007</c:v>
                      </c:pt>
                      <c:pt idx="25">
                        <c:v>18.615642399999999</c:v>
                      </c:pt>
                      <c:pt idx="26">
                        <c:v>19.788489599999998</c:v>
                      </c:pt>
                      <c:pt idx="27">
                        <c:v>518.04311364</c:v>
                      </c:pt>
                      <c:pt idx="28">
                        <c:v>198.40338513899999</c:v>
                      </c:pt>
                      <c:pt idx="29">
                        <c:v>263.25789979999996</c:v>
                      </c:pt>
                      <c:pt idx="30">
                        <c:v>421.65240534099996</c:v>
                      </c:pt>
                      <c:pt idx="31">
                        <c:v>1760.2019935999999</c:v>
                      </c:pt>
                    </c:numCache>
                  </c:numRef>
                </c:yVal>
                <c:smooth val="0"/>
                <c:extLst>
                  <c:ext xmlns:c16="http://schemas.microsoft.com/office/drawing/2014/chart" uri="{C3380CC4-5D6E-409C-BE32-E72D297353CC}">
                    <c16:uniqueId val="{00000001-90DE-4D0A-A4BF-BBEB50236A51}"/>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'Shallow-Water Complex'!$AS$3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Complex'!$AS$4:$AS$35</c15:sqref>
                        </c15:formulaRef>
                      </c:ext>
                    </c:extLst>
                    <c:numCache>
                      <c:formatCode>#,##0</c:formatCode>
                      <c:ptCount val="32"/>
                      <c:pt idx="0">
                        <c:v>113.15991339999998</c:v>
                      </c:pt>
                      <c:pt idx="1">
                        <c:v>280.32811760000004</c:v>
                      </c:pt>
                      <c:pt idx="2">
                        <c:v>308.2008754000002</c:v>
                      </c:pt>
                      <c:pt idx="3">
                        <c:v>1657.7203102000003</c:v>
                      </c:pt>
                      <c:pt idx="4">
                        <c:v>2756.6716760999993</c:v>
                      </c:pt>
                      <c:pt idx="5">
                        <c:v>411.2681300000001</c:v>
                      </c:pt>
                      <c:pt idx="6">
                        <c:v>605.22883800000011</c:v>
                      </c:pt>
                      <c:pt idx="7">
                        <c:v>8342.9302663100007</c:v>
                      </c:pt>
                      <c:pt idx="8">
                        <c:v>720.598487707</c:v>
                      </c:pt>
                      <c:pt idx="9">
                        <c:v>101.27932399999999</c:v>
                      </c:pt>
                      <c:pt idx="10">
                        <c:v>4033.8652447999993</c:v>
                      </c:pt>
                      <c:pt idx="11">
                        <c:v>249.53867400000001</c:v>
                      </c:pt>
                      <c:pt idx="12">
                        <c:v>660.45265437</c:v>
                      </c:pt>
                      <c:pt idx="13">
                        <c:v>605.11873173219999</c:v>
                      </c:pt>
                      <c:pt idx="14">
                        <c:v>2908.8264222100011</c:v>
                      </c:pt>
                      <c:pt idx="15">
                        <c:v>56.752097592399998</c:v>
                      </c:pt>
                      <c:pt idx="16">
                        <c:v>16.931328000000001</c:v>
                      </c:pt>
                      <c:pt idx="17">
                        <c:v>2967.9227074790001</c:v>
                      </c:pt>
                      <c:pt idx="18">
                        <c:v>4159.9052978699992</c:v>
                      </c:pt>
                      <c:pt idx="19">
                        <c:v>3922.4777806940001</c:v>
                      </c:pt>
                      <c:pt idx="20">
                        <c:v>4163.3292135870006</c:v>
                      </c:pt>
                      <c:pt idx="21">
                        <c:v>2602.1527339720005</c:v>
                      </c:pt>
                      <c:pt idx="22">
                        <c:v>2824.2233180000003</c:v>
                      </c:pt>
                      <c:pt idx="23">
                        <c:v>5440.1429379300007</c:v>
                      </c:pt>
                      <c:pt idx="24">
                        <c:v>894.31759863599996</c:v>
                      </c:pt>
                      <c:pt idx="25">
                        <c:v>18.615642399999999</c:v>
                      </c:pt>
                      <c:pt idx="26">
                        <c:v>19.788489599999998</c:v>
                      </c:pt>
                      <c:pt idx="27">
                        <c:v>518.04311363999989</c:v>
                      </c:pt>
                      <c:pt idx="28">
                        <c:v>198.40338513900002</c:v>
                      </c:pt>
                      <c:pt idx="29">
                        <c:v>263.25789979999996</c:v>
                      </c:pt>
                      <c:pt idx="30">
                        <c:v>421.65240534100008</c:v>
                      </c:pt>
                      <c:pt idx="31">
                        <c:v>1760.2019935999992</c:v>
                      </c:pt>
                    </c:numCache>
                  </c:numRef>
                </c:yVal>
                <c:smooth val="0"/>
                <c:extLst xmlns:c15="http://schemas.microsoft.com/office/drawing/2012/chart">
                  <c:ext xmlns:c16="http://schemas.microsoft.com/office/drawing/2014/chart" uri="{C3380CC4-5D6E-409C-BE32-E72D297353CC}">
                    <c16:uniqueId val="{00000003-90DE-4D0A-A4BF-BBEB50236A51}"/>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'Shallow-Water Complex'!$AF$139</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Complex'!$Z$140:$Z$171</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Complex'!$AF$140:$AF$171</c15:sqref>
                        </c15:formulaRef>
                      </c:ext>
                    </c:extLst>
                    <c:numCache>
                      <c:formatCode>#,##0</c:formatCode>
                      <c:ptCount val="32"/>
                      <c:pt idx="0">
                        <c:v>113.15991339999998</c:v>
                      </c:pt>
                      <c:pt idx="1">
                        <c:v>280.32811760000004</c:v>
                      </c:pt>
                      <c:pt idx="2">
                        <c:v>308.2008754000002</c:v>
                      </c:pt>
                      <c:pt idx="3">
                        <c:v>1657.7203102000003</c:v>
                      </c:pt>
                      <c:pt idx="4">
                        <c:v>3123.7981158800767</c:v>
                      </c:pt>
                      <c:pt idx="5">
                        <c:v>411.2681300000001</c:v>
                      </c:pt>
                      <c:pt idx="6">
                        <c:v>605.22883800000011</c:v>
                      </c:pt>
                      <c:pt idx="7">
                        <c:v>7352.7397379451777</c:v>
                      </c:pt>
                      <c:pt idx="8">
                        <c:v>713.28582810373473</c:v>
                      </c:pt>
                      <c:pt idx="9">
                        <c:v>101.27932399999999</c:v>
                      </c:pt>
                      <c:pt idx="10">
                        <c:v>4300.5125158000037</c:v>
                      </c:pt>
                      <c:pt idx="11">
                        <c:v>249.53867400000001</c:v>
                      </c:pt>
                      <c:pt idx="12">
                        <c:v>1728.3950817619384</c:v>
                      </c:pt>
                      <c:pt idx="13">
                        <c:v>837.14205247205825</c:v>
                      </c:pt>
                      <c:pt idx="14">
                        <c:v>3793.6050844698284</c:v>
                      </c:pt>
                      <c:pt idx="15">
                        <c:v>60.467058568563786</c:v>
                      </c:pt>
                      <c:pt idx="16">
                        <c:v>16.931328000000001</c:v>
                      </c:pt>
                      <c:pt idx="17">
                        <c:v>2270.3696564335969</c:v>
                      </c:pt>
                      <c:pt idx="18">
                        <c:v>3217.5759878456929</c:v>
                      </c:pt>
                      <c:pt idx="19">
                        <c:v>2876.6592774555479</c:v>
                      </c:pt>
                      <c:pt idx="20">
                        <c:v>2783.4319661267677</c:v>
                      </c:pt>
                      <c:pt idx="21">
                        <c:v>2241.2194415224385</c:v>
                      </c:pt>
                      <c:pt idx="22">
                        <c:v>3927.0132788155624</c:v>
                      </c:pt>
                      <c:pt idx="23">
                        <c:v>6136.3246866935397</c:v>
                      </c:pt>
                      <c:pt idx="24">
                        <c:v>634.15394670479816</c:v>
                      </c:pt>
                      <c:pt idx="25">
                        <c:v>18.615642399999999</c:v>
                      </c:pt>
                      <c:pt idx="26">
                        <c:v>19.788489599999998</c:v>
                      </c:pt>
                      <c:pt idx="27">
                        <c:v>513.35820760053241</c:v>
                      </c:pt>
                      <c:pt idx="28">
                        <c:v>167.45298568333624</c:v>
                      </c:pt>
                      <c:pt idx="29">
                        <c:v>263.25789979999996</c:v>
                      </c:pt>
                      <c:pt idx="30">
                        <c:v>411.04659933771501</c:v>
                      </c:pt>
                      <c:pt idx="31">
                        <c:v>1744.0004243837275</c:v>
                      </c:pt>
                    </c:numCache>
                  </c:numRef>
                </c:yVal>
                <c:smooth val="0"/>
                <c:extLst xmlns:c15="http://schemas.microsoft.com/office/drawing/2012/chart">
                  <c:ext xmlns:c16="http://schemas.microsoft.com/office/drawing/2014/chart" uri="{C3380CC4-5D6E-409C-BE32-E72D297353CC}">
                    <c16:uniqueId val="{00000004-90DE-4D0A-A4BF-BBEB50236A51}"/>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0"/>
          <c:order val="0"/>
          <c:tx>
            <c:strRef>
              <c:f>'Shallow-Water Complex'!$G$3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0">
                  <c:v>676.11113720000003</c:v>
                </c:pt>
                <c:pt idx="1">
                  <c:v>361.97633420000005</c:v>
                </c:pt>
                <c:pt idx="2">
                  <c:v>1991.0681488</c:v>
                </c:pt>
                <c:pt idx="3">
                  <c:v>524.18774199999996</c:v>
                </c:pt>
                <c:pt idx="4">
                  <c:v>912.285526</c:v>
                </c:pt>
                <c:pt idx="5">
                  <c:v>7494.3645420000003</c:v>
                </c:pt>
                <c:pt idx="6">
                  <c:v>13592.363151022999</c:v>
                </c:pt>
                <c:pt idx="7">
                  <c:v>21499.686548099999</c:v>
                </c:pt>
                <c:pt idx="8">
                  <c:v>12547.698545830001</c:v>
                </c:pt>
                <c:pt idx="9">
                  <c:v>4601.6044720000009</c:v>
                </c:pt>
                <c:pt idx="10">
                  <c:v>11875.9967726</c:v>
                </c:pt>
                <c:pt idx="11">
                  <c:v>9053.1256254899999</c:v>
                </c:pt>
                <c:pt idx="12">
                  <c:v>9870.7833929000008</c:v>
                </c:pt>
                <c:pt idx="13">
                  <c:v>11530.033445056901</c:v>
                </c:pt>
                <c:pt idx="14">
                  <c:v>4705.8883740000019</c:v>
                </c:pt>
                <c:pt idx="15">
                  <c:v>11341.974611337999</c:v>
                </c:pt>
                <c:pt idx="16">
                  <c:v>33540.473758530999</c:v>
                </c:pt>
                <c:pt idx="17">
                  <c:v>42108.285571262997</c:v>
                </c:pt>
                <c:pt idx="18">
                  <c:v>26085.601428940001</c:v>
                </c:pt>
                <c:pt idx="19">
                  <c:v>19616.609300833999</c:v>
                </c:pt>
                <c:pt idx="20">
                  <c:v>15545.540607194998</c:v>
                </c:pt>
                <c:pt idx="21">
                  <c:v>16208.260158342999</c:v>
                </c:pt>
                <c:pt idx="22">
                  <c:v>16127.3420292233</c:v>
                </c:pt>
                <c:pt idx="23">
                  <c:v>8477.6882524280009</c:v>
                </c:pt>
                <c:pt idx="24">
                  <c:v>2451.258477547</c:v>
                </c:pt>
                <c:pt idx="25">
                  <c:v>8891.8687374000001</c:v>
                </c:pt>
                <c:pt idx="26">
                  <c:v>6011.7560889529996</c:v>
                </c:pt>
                <c:pt idx="27">
                  <c:v>36976.674001416002</c:v>
                </c:pt>
                <c:pt idx="28">
                  <c:v>12993.809247708999</c:v>
                </c:pt>
                <c:pt idx="29">
                  <c:v>28495.378682196002</c:v>
                </c:pt>
                <c:pt idx="30">
                  <c:v>45716.671303969997</c:v>
                </c:pt>
                <c:pt idx="31">
                  <c:v>5703.6451702599988</c:v>
                </c:pt>
              </c:numCache>
            </c:numRef>
          </c:yVal>
          <c:smooth val="0"/>
          <c:extLst>
            <c:ext xmlns:c16="http://schemas.microsoft.com/office/drawing/2014/chart" uri="{C3380CC4-5D6E-409C-BE32-E72D297353CC}">
              <c16:uniqueId val="{00000000-B152-422D-81C9-B2EEF220759A}"/>
            </c:ext>
          </c:extLst>
        </c:ser>
        <c:ser>
          <c:idx val="2"/>
          <c:order val="2"/>
          <c:tx>
            <c:strRef>
              <c:f>'Shallow-Water Complex'!$Q$3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Complex'!$Q$4:$Q$35</c:f>
              <c:numCache>
                <c:formatCode>#,##0</c:formatCode>
                <c:ptCount val="32"/>
                <c:pt idx="0">
                  <c:v>676.11113720000003</c:v>
                </c:pt>
                <c:pt idx="1">
                  <c:v>361.97633420000005</c:v>
                </c:pt>
                <c:pt idx="2">
                  <c:v>1992.4012594999997</c:v>
                </c:pt>
                <c:pt idx="3">
                  <c:v>524.18774199999996</c:v>
                </c:pt>
                <c:pt idx="4">
                  <c:v>912.285526</c:v>
                </c:pt>
                <c:pt idx="5">
                  <c:v>7494.3645420000003</c:v>
                </c:pt>
                <c:pt idx="6">
                  <c:v>13594.689939329</c:v>
                </c:pt>
                <c:pt idx="7">
                  <c:v>22331.249127199997</c:v>
                </c:pt>
                <c:pt idx="8">
                  <c:v>12551.371579977</c:v>
                </c:pt>
                <c:pt idx="9">
                  <c:v>4601.6044720000009</c:v>
                </c:pt>
                <c:pt idx="10">
                  <c:v>11877.728359099998</c:v>
                </c:pt>
                <c:pt idx="11">
                  <c:v>9053.2143310499996</c:v>
                </c:pt>
                <c:pt idx="12">
                  <c:v>9873.7534503999996</c:v>
                </c:pt>
                <c:pt idx="13">
                  <c:v>11534.5494717314</c:v>
                </c:pt>
                <c:pt idx="14">
                  <c:v>4705.8883740000019</c:v>
                </c:pt>
                <c:pt idx="15">
                  <c:v>11343.971571291999</c:v>
                </c:pt>
                <c:pt idx="16">
                  <c:v>34184.777259904993</c:v>
                </c:pt>
                <c:pt idx="17">
                  <c:v>37318.278022386985</c:v>
                </c:pt>
                <c:pt idx="18">
                  <c:v>26085.601428939972</c:v>
                </c:pt>
                <c:pt idx="19">
                  <c:v>19049.185890453995</c:v>
                </c:pt>
                <c:pt idx="20">
                  <c:v>15545.540607195</c:v>
                </c:pt>
                <c:pt idx="21">
                  <c:v>16210.915525602002</c:v>
                </c:pt>
                <c:pt idx="22">
                  <c:v>14755.655576732297</c:v>
                </c:pt>
                <c:pt idx="23">
                  <c:v>8669.3835724919973</c:v>
                </c:pt>
                <c:pt idx="24">
                  <c:v>2451.4917469160005</c:v>
                </c:pt>
                <c:pt idx="25">
                  <c:v>8898.524244299997</c:v>
                </c:pt>
                <c:pt idx="26">
                  <c:v>6374.3096819129969</c:v>
                </c:pt>
                <c:pt idx="27">
                  <c:v>56157.903620960009</c:v>
                </c:pt>
                <c:pt idx="28">
                  <c:v>17603.903066704992</c:v>
                </c:pt>
                <c:pt idx="29">
                  <c:v>30303.177527165008</c:v>
                </c:pt>
                <c:pt idx="30">
                  <c:v>43344.148211869979</c:v>
                </c:pt>
                <c:pt idx="31">
                  <c:v>5706.5437583899984</c:v>
                </c:pt>
              </c:numCache>
            </c:numRef>
          </c:yVal>
          <c:smooth val="0"/>
          <c:extLst>
            <c:ext xmlns:c16="http://schemas.microsoft.com/office/drawing/2014/chart" uri="{C3380CC4-5D6E-409C-BE32-E72D297353CC}">
              <c16:uniqueId val="{00000002-B152-422D-81C9-B2EEF220759A}"/>
            </c:ext>
          </c:extLst>
        </c:ser>
        <c:ser>
          <c:idx val="1"/>
          <c:order val="5"/>
          <c:tx>
            <c:strRef>
              <c:f>'Shallow-Water Complex'!$G$41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Complex'!$G$42:$G$47</c:f>
              <c:numCache>
                <c:formatCode>#,##0</c:formatCode>
                <c:ptCount val="6"/>
                <c:pt idx="0">
                  <c:v>26085.601428940001</c:v>
                </c:pt>
                <c:pt idx="1">
                  <c:v>26085.601428940001</c:v>
                </c:pt>
                <c:pt idx="2">
                  <c:v>26085.601428940001</c:v>
                </c:pt>
                <c:pt idx="3">
                  <c:v>26085.601428940001</c:v>
                </c:pt>
                <c:pt idx="4">
                  <c:v>26085.601428940001</c:v>
                </c:pt>
                <c:pt idx="5">
                  <c:v>26085.601428940001</c:v>
                </c:pt>
              </c:numCache>
            </c:numRef>
          </c:yVal>
          <c:smooth val="0"/>
          <c:extLst>
            <c:ext xmlns:c16="http://schemas.microsoft.com/office/drawing/2014/chart" uri="{C3380CC4-5D6E-409C-BE32-E72D297353CC}">
              <c16:uniqueId val="{00000005-B152-422D-81C9-B2EEF220759A}"/>
            </c:ext>
          </c:extLst>
        </c:ser>
        <c:ser>
          <c:idx val="4"/>
          <c:order val="6"/>
          <c:tx>
            <c:strRef>
              <c:f>'Shallow-Water Complex'!$Q$41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Complex'!$Q$42:$Q$47</c:f>
              <c:numCache>
                <c:formatCode>#,##0</c:formatCode>
                <c:ptCount val="6"/>
                <c:pt idx="0">
                  <c:v>26085.601428939972</c:v>
                </c:pt>
                <c:pt idx="1">
                  <c:v>26085.601428939972</c:v>
                </c:pt>
                <c:pt idx="2">
                  <c:v>26085.601428939972</c:v>
                </c:pt>
                <c:pt idx="3">
                  <c:v>26085.601428939972</c:v>
                </c:pt>
                <c:pt idx="4">
                  <c:v>26085.601428939972</c:v>
                </c:pt>
                <c:pt idx="5">
                  <c:v>26085.601428939972</c:v>
                </c:pt>
              </c:numCache>
            </c:numRef>
          </c:yVal>
          <c:smooth val="0"/>
          <c:extLst>
            <c:ext xmlns:c16="http://schemas.microsoft.com/office/drawing/2014/chart" uri="{C3380CC4-5D6E-409C-BE32-E72D297353CC}">
              <c16:uniqueId val="{00000006-B152-422D-81C9-B2EEF220759A}"/>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Complex'!$AK$3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Complex'!$AK$4:$AK$35</c15:sqref>
                        </c15:formulaRef>
                      </c:ext>
                    </c:extLst>
                    <c:numCache>
                      <c:formatCode>#,##0</c:formatCode>
                      <c:ptCount val="32"/>
                      <c:pt idx="0">
                        <c:v>676.11113720000003</c:v>
                      </c:pt>
                      <c:pt idx="1">
                        <c:v>357.97633420000005</c:v>
                      </c:pt>
                      <c:pt idx="2">
                        <c:v>1991.0681488</c:v>
                      </c:pt>
                      <c:pt idx="3">
                        <c:v>524.18774199999996</c:v>
                      </c:pt>
                      <c:pt idx="4">
                        <c:v>912.285526</c:v>
                      </c:pt>
                      <c:pt idx="5">
                        <c:v>321.36454200000003</c:v>
                      </c:pt>
                      <c:pt idx="6">
                        <c:v>4281.3631510229989</c:v>
                      </c:pt>
                      <c:pt idx="7">
                        <c:v>7603.6865481000004</c:v>
                      </c:pt>
                      <c:pt idx="8">
                        <c:v>6773.6985458299996</c:v>
                      </c:pt>
                      <c:pt idx="9">
                        <c:v>2348.6044720000004</c:v>
                      </c:pt>
                      <c:pt idx="10">
                        <c:v>6049.9967726000004</c:v>
                      </c:pt>
                      <c:pt idx="11">
                        <c:v>6128.125625489999</c:v>
                      </c:pt>
                      <c:pt idx="12">
                        <c:v>7142.7833928999999</c:v>
                      </c:pt>
                      <c:pt idx="13">
                        <c:v>11126.033445056901</c:v>
                      </c:pt>
                      <c:pt idx="14">
                        <c:v>3819.8883740000015</c:v>
                      </c:pt>
                      <c:pt idx="15">
                        <c:v>8360.9746113379988</c:v>
                      </c:pt>
                      <c:pt idx="16">
                        <c:v>31436.473758530999</c:v>
                      </c:pt>
                      <c:pt idx="17">
                        <c:v>23993.285571263001</c:v>
                      </c:pt>
                      <c:pt idx="18">
                        <c:v>24056.601428940001</c:v>
                      </c:pt>
                      <c:pt idx="19">
                        <c:v>18284.609300833999</c:v>
                      </c:pt>
                      <c:pt idx="20">
                        <c:v>15020.540607194998</c:v>
                      </c:pt>
                      <c:pt idx="21">
                        <c:v>15916.260158342999</c:v>
                      </c:pt>
                      <c:pt idx="22">
                        <c:v>15679.3420292233</c:v>
                      </c:pt>
                      <c:pt idx="23">
                        <c:v>8476.6882524280009</c:v>
                      </c:pt>
                      <c:pt idx="24">
                        <c:v>2033.258477547</c:v>
                      </c:pt>
                      <c:pt idx="25">
                        <c:v>8856.8687374000001</c:v>
                      </c:pt>
                      <c:pt idx="26">
                        <c:v>5954.7560889529996</c:v>
                      </c:pt>
                      <c:pt idx="27">
                        <c:v>34398.674001416002</c:v>
                      </c:pt>
                      <c:pt idx="28">
                        <c:v>12592.809247708999</c:v>
                      </c:pt>
                      <c:pt idx="29">
                        <c:v>27839.378682196002</c:v>
                      </c:pt>
                      <c:pt idx="30">
                        <c:v>44868.671303969997</c:v>
                      </c:pt>
                      <c:pt idx="31">
                        <c:v>5435.6451702599988</c:v>
                      </c:pt>
                    </c:numCache>
                  </c:numRef>
                </c:yVal>
                <c:smooth val="0"/>
                <c:extLst>
                  <c:ext xmlns:c16="http://schemas.microsoft.com/office/drawing/2014/chart" uri="{C3380CC4-5D6E-409C-BE32-E72D297353CC}">
                    <c16:uniqueId val="{00000001-B152-422D-81C9-B2EEF220759A}"/>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'Shallow-Water Complex'!$AT$3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Complex'!$AT$4:$AT$35</c15:sqref>
                        </c15:formulaRef>
                      </c:ext>
                    </c:extLst>
                    <c:numCache>
                      <c:formatCode>#,##0</c:formatCode>
                      <c:ptCount val="32"/>
                      <c:pt idx="0">
                        <c:v>676.11113720000003</c:v>
                      </c:pt>
                      <c:pt idx="1">
                        <c:v>357.97633420000005</c:v>
                      </c:pt>
                      <c:pt idx="2">
                        <c:v>1992.4012594999997</c:v>
                      </c:pt>
                      <c:pt idx="3">
                        <c:v>524.18774199999996</c:v>
                      </c:pt>
                      <c:pt idx="4">
                        <c:v>912.285526</c:v>
                      </c:pt>
                      <c:pt idx="5">
                        <c:v>321.36454200000003</c:v>
                      </c:pt>
                      <c:pt idx="6">
                        <c:v>4283.6899393289996</c:v>
                      </c:pt>
                      <c:pt idx="7">
                        <c:v>8435.2491271999988</c:v>
                      </c:pt>
                      <c:pt idx="8">
                        <c:v>6777.3715799769989</c:v>
                      </c:pt>
                      <c:pt idx="9">
                        <c:v>2348.6044720000004</c:v>
                      </c:pt>
                      <c:pt idx="10">
                        <c:v>6051.7283590999978</c:v>
                      </c:pt>
                      <c:pt idx="11">
                        <c:v>6128.2143310499996</c:v>
                      </c:pt>
                      <c:pt idx="12">
                        <c:v>7145.7534503999987</c:v>
                      </c:pt>
                      <c:pt idx="13">
                        <c:v>11130.5494717314</c:v>
                      </c:pt>
                      <c:pt idx="14">
                        <c:v>3819.8883740000015</c:v>
                      </c:pt>
                      <c:pt idx="15">
                        <c:v>8362.9715712919988</c:v>
                      </c:pt>
                      <c:pt idx="16">
                        <c:v>32080.777259904997</c:v>
                      </c:pt>
                      <c:pt idx="17">
                        <c:v>19203.278022386985</c:v>
                      </c:pt>
                      <c:pt idx="18">
                        <c:v>24056.601428939972</c:v>
                      </c:pt>
                      <c:pt idx="19">
                        <c:v>17717.185890453995</c:v>
                      </c:pt>
                      <c:pt idx="20">
                        <c:v>15020.540607195</c:v>
                      </c:pt>
                      <c:pt idx="21">
                        <c:v>15918.915525602002</c:v>
                      </c:pt>
                      <c:pt idx="22">
                        <c:v>14307.655576732297</c:v>
                      </c:pt>
                      <c:pt idx="23">
                        <c:v>8668.3835724919973</c:v>
                      </c:pt>
                      <c:pt idx="24">
                        <c:v>2033.4917469160005</c:v>
                      </c:pt>
                      <c:pt idx="25">
                        <c:v>8863.524244299997</c:v>
                      </c:pt>
                      <c:pt idx="26">
                        <c:v>6317.3096819129969</c:v>
                      </c:pt>
                      <c:pt idx="27">
                        <c:v>53579.903620960009</c:v>
                      </c:pt>
                      <c:pt idx="28">
                        <c:v>17202.903066704992</c:v>
                      </c:pt>
                      <c:pt idx="29">
                        <c:v>29647.177527165008</c:v>
                      </c:pt>
                      <c:pt idx="30">
                        <c:v>42496.148211869979</c:v>
                      </c:pt>
                      <c:pt idx="31">
                        <c:v>5438.5437583899984</c:v>
                      </c:pt>
                    </c:numCache>
                  </c:numRef>
                </c:yVal>
                <c:smooth val="0"/>
                <c:extLst xmlns:c15="http://schemas.microsoft.com/office/drawing/2012/chart">
                  <c:ext xmlns:c16="http://schemas.microsoft.com/office/drawing/2014/chart" uri="{C3380CC4-5D6E-409C-BE32-E72D297353CC}">
                    <c16:uniqueId val="{00000003-B152-422D-81C9-B2EEF220759A}"/>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'Shallow-Water Complex'!$AQ$139</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Complex'!$AK$140:$AK$171</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Complex'!$AQ$140:$AQ$171</c15:sqref>
                        </c15:formulaRef>
                      </c:ext>
                    </c:extLst>
                    <c:numCache>
                      <c:formatCode>#,##0</c:formatCode>
                      <c:ptCount val="32"/>
                      <c:pt idx="0">
                        <c:v>676.11113720000003</c:v>
                      </c:pt>
                      <c:pt idx="1">
                        <c:v>357.97633420000005</c:v>
                      </c:pt>
                      <c:pt idx="2">
                        <c:v>960.528519890604</c:v>
                      </c:pt>
                      <c:pt idx="3">
                        <c:v>524.18774199999996</c:v>
                      </c:pt>
                      <c:pt idx="4">
                        <c:v>912.285526</c:v>
                      </c:pt>
                      <c:pt idx="5">
                        <c:v>321.36454200000003</c:v>
                      </c:pt>
                      <c:pt idx="6">
                        <c:v>3452.0173259753742</c:v>
                      </c:pt>
                      <c:pt idx="7">
                        <c:v>5915.7286803292536</c:v>
                      </c:pt>
                      <c:pt idx="8">
                        <c:v>4718.1898509112152</c:v>
                      </c:pt>
                      <c:pt idx="9">
                        <c:v>2348.6044720000004</c:v>
                      </c:pt>
                      <c:pt idx="10">
                        <c:v>5309.2937197334813</c:v>
                      </c:pt>
                      <c:pt idx="11">
                        <c:v>6079.9037785636101</c:v>
                      </c:pt>
                      <c:pt idx="12">
                        <c:v>17669.634567608904</c:v>
                      </c:pt>
                      <c:pt idx="13">
                        <c:v>12174.399092688509</c:v>
                      </c:pt>
                      <c:pt idx="14">
                        <c:v>3819.8883740000015</c:v>
                      </c:pt>
                      <c:pt idx="15">
                        <c:v>7950.2667399976926</c:v>
                      </c:pt>
                      <c:pt idx="16">
                        <c:v>32032.339442017408</c:v>
                      </c:pt>
                      <c:pt idx="17">
                        <c:v>19635.431184690759</c:v>
                      </c:pt>
                      <c:pt idx="18">
                        <c:v>22648.609068297395</c:v>
                      </c:pt>
                      <c:pt idx="19">
                        <c:v>19635.177395914492</c:v>
                      </c:pt>
                      <c:pt idx="20">
                        <c:v>13921.438332712511</c:v>
                      </c:pt>
                      <c:pt idx="21">
                        <c:v>15519.556056132382</c:v>
                      </c:pt>
                      <c:pt idx="22">
                        <c:v>15704.551550276839</c:v>
                      </c:pt>
                      <c:pt idx="23">
                        <c:v>7876.0158230242178</c:v>
                      </c:pt>
                      <c:pt idx="24">
                        <c:v>2003.3365390651973</c:v>
                      </c:pt>
                      <c:pt idx="25">
                        <c:v>7036.5119521962879</c:v>
                      </c:pt>
                      <c:pt idx="26">
                        <c:v>5649.7321062688197</c:v>
                      </c:pt>
                      <c:pt idx="27">
                        <c:v>31781.313014546893</c:v>
                      </c:pt>
                      <c:pt idx="28">
                        <c:v>11334.033436323512</c:v>
                      </c:pt>
                      <c:pt idx="29">
                        <c:v>31000.410924185639</c:v>
                      </c:pt>
                      <c:pt idx="30">
                        <c:v>28440.743266229121</c:v>
                      </c:pt>
                      <c:pt idx="31">
                        <c:v>5007.8225055849853</c:v>
                      </c:pt>
                    </c:numCache>
                  </c:numRef>
                </c:yVal>
                <c:smooth val="0"/>
                <c:extLst xmlns:c15="http://schemas.microsoft.com/office/drawing/2012/chart">
                  <c:ext xmlns:c16="http://schemas.microsoft.com/office/drawing/2014/chart" uri="{C3380CC4-5D6E-409C-BE32-E72D297353CC}">
                    <c16:uniqueId val="{00000004-B152-422D-81C9-B2EEF220759A}"/>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Old Porgy Complex Landings</a:t>
            </a:r>
          </a:p>
        </c:rich>
      </c:tx>
      <c:overlay val="0"/>
    </c:title>
    <c:autoTitleDeleted val="0"/>
    <c:plotArea>
      <c:layout/>
      <c:scatterChart>
        <c:scatterStyle val="lineMarker"/>
        <c:varyColors val="0"/>
        <c:ser>
          <c:idx val="0"/>
          <c:order val="0"/>
          <c:tx>
            <c:strRef>
              <c:f>'Porgy Complex'!$B$2</c:f>
              <c:strCache>
                <c:ptCount val="1"/>
                <c:pt idx="0">
                  <c:v>Jolthead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Complex'!$B$4:$B$35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62316.154357009997</c:v>
                </c:pt>
                <c:pt idx="8">
                  <c:v>72668.084089759985</c:v>
                </c:pt>
                <c:pt idx="9">
                  <c:v>15171.695219000001</c:v>
                </c:pt>
                <c:pt idx="10">
                  <c:v>43771.225392560023</c:v>
                </c:pt>
                <c:pt idx="11">
                  <c:v>20052.256260478993</c:v>
                </c:pt>
                <c:pt idx="12">
                  <c:v>28901.645065473997</c:v>
                </c:pt>
                <c:pt idx="13">
                  <c:v>43894.566444776006</c:v>
                </c:pt>
                <c:pt idx="14">
                  <c:v>38980.90098477601</c:v>
                </c:pt>
                <c:pt idx="15">
                  <c:v>43495.099387236987</c:v>
                </c:pt>
                <c:pt idx="16">
                  <c:v>51764.141448233036</c:v>
                </c:pt>
                <c:pt idx="17">
                  <c:v>83181.230075120082</c:v>
                </c:pt>
                <c:pt idx="18">
                  <c:v>62629.84330385401</c:v>
                </c:pt>
                <c:pt idx="19">
                  <c:v>42352.382302018996</c:v>
                </c:pt>
                <c:pt idx="20">
                  <c:v>37282.339916197001</c:v>
                </c:pt>
                <c:pt idx="21">
                  <c:v>54789.003827783032</c:v>
                </c:pt>
                <c:pt idx="22">
                  <c:v>66869.909171654988</c:v>
                </c:pt>
                <c:pt idx="23">
                  <c:v>61600.331973159999</c:v>
                </c:pt>
                <c:pt idx="24">
                  <c:v>52291.577886439998</c:v>
                </c:pt>
                <c:pt idx="25">
                  <c:v>34046.545690218001</c:v>
                </c:pt>
                <c:pt idx="26">
                  <c:v>70774.704311358975</c:v>
                </c:pt>
                <c:pt idx="27">
                  <c:v>102658.15984520604</c:v>
                </c:pt>
                <c:pt idx="28">
                  <c:v>132888.80306784995</c:v>
                </c:pt>
                <c:pt idx="29">
                  <c:v>148371.32188786607</c:v>
                </c:pt>
                <c:pt idx="30">
                  <c:v>181188.37635517897</c:v>
                </c:pt>
                <c:pt idx="31">
                  <c:v>51079.398856170003</c:v>
                </c:pt>
              </c:numCache>
            </c:numRef>
          </c:yVal>
          <c:smooth val="0"/>
          <c:extLst>
            <c:ext xmlns:c16="http://schemas.microsoft.com/office/drawing/2014/chart" uri="{C3380CC4-5D6E-409C-BE32-E72D297353CC}">
              <c16:uniqueId val="{00000000-9217-4D61-90E9-013B7AD0BD29}"/>
            </c:ext>
          </c:extLst>
        </c:ser>
        <c:ser>
          <c:idx val="1"/>
          <c:order val="1"/>
          <c:tx>
            <c:strRef>
              <c:f>'Porgy Complex'!$C$2</c:f>
              <c:strCache>
                <c:ptCount val="1"/>
                <c:pt idx="0">
                  <c:v>Knobbed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Complex'!$C$4:$C$35</c:f>
              <c:numCache>
                <c:formatCode>#,##0</c:formatCode>
                <c:ptCount val="32"/>
                <c:pt idx="0">
                  <c:v>69400.25746199998</c:v>
                </c:pt>
                <c:pt idx="1">
                  <c:v>110715.49738081999</c:v>
                </c:pt>
                <c:pt idx="2">
                  <c:v>195094.93927134998</c:v>
                </c:pt>
                <c:pt idx="3">
                  <c:v>79313.794432707014</c:v>
                </c:pt>
                <c:pt idx="4">
                  <c:v>163394.69944996003</c:v>
                </c:pt>
                <c:pt idx="5">
                  <c:v>84251.173868960002</c:v>
                </c:pt>
                <c:pt idx="6">
                  <c:v>84291.066181250004</c:v>
                </c:pt>
                <c:pt idx="7">
                  <c:v>107010.56066608001</c:v>
                </c:pt>
                <c:pt idx="8">
                  <c:v>107050.39157824995</c:v>
                </c:pt>
                <c:pt idx="9">
                  <c:v>100855.70097042997</c:v>
                </c:pt>
                <c:pt idx="10">
                  <c:v>74484.704731735997</c:v>
                </c:pt>
                <c:pt idx="11">
                  <c:v>63456.193891407005</c:v>
                </c:pt>
                <c:pt idx="12">
                  <c:v>70141.179578440002</c:v>
                </c:pt>
                <c:pt idx="13">
                  <c:v>75457.641002877004</c:v>
                </c:pt>
                <c:pt idx="14">
                  <c:v>85377.565405583009</c:v>
                </c:pt>
                <c:pt idx="15">
                  <c:v>77452.463111784004</c:v>
                </c:pt>
                <c:pt idx="16">
                  <c:v>83597.333836634018</c:v>
                </c:pt>
                <c:pt idx="17">
                  <c:v>60142.011496361993</c:v>
                </c:pt>
                <c:pt idx="18">
                  <c:v>61509.65430165422</c:v>
                </c:pt>
                <c:pt idx="19">
                  <c:v>71721.840227630993</c:v>
                </c:pt>
                <c:pt idx="20">
                  <c:v>38976.942787624997</c:v>
                </c:pt>
                <c:pt idx="21">
                  <c:v>44014.562468505006</c:v>
                </c:pt>
                <c:pt idx="22">
                  <c:v>46368.971560088001</c:v>
                </c:pt>
                <c:pt idx="23">
                  <c:v>47774.065251199012</c:v>
                </c:pt>
                <c:pt idx="24">
                  <c:v>40190.388280079991</c:v>
                </c:pt>
                <c:pt idx="25">
                  <c:v>35585.973487479998</c:v>
                </c:pt>
                <c:pt idx="26">
                  <c:v>78103.996043520005</c:v>
                </c:pt>
                <c:pt idx="27">
                  <c:v>52483.364952081989</c:v>
                </c:pt>
                <c:pt idx="28">
                  <c:v>62639.56440452001</c:v>
                </c:pt>
                <c:pt idx="29">
                  <c:v>23649.995058327997</c:v>
                </c:pt>
                <c:pt idx="30">
                  <c:v>15891.876981763</c:v>
                </c:pt>
                <c:pt idx="31">
                  <c:v>18815.807580184999</c:v>
                </c:pt>
              </c:numCache>
            </c:numRef>
          </c:yVal>
          <c:smooth val="0"/>
          <c:extLst>
            <c:ext xmlns:c16="http://schemas.microsoft.com/office/drawing/2014/chart" uri="{C3380CC4-5D6E-409C-BE32-E72D297353CC}">
              <c16:uniqueId val="{00000001-9217-4D61-90E9-013B7AD0BD29}"/>
            </c:ext>
          </c:extLst>
        </c:ser>
        <c:ser>
          <c:idx val="2"/>
          <c:order val="2"/>
          <c:tx>
            <c:strRef>
              <c:f>'Porgy Complex'!$D$2</c:f>
              <c:strCache>
                <c:ptCount val="1"/>
                <c:pt idx="0">
                  <c:v>Saucereye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Complex'!$D$4:$D$35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24597.859115310002</c:v>
                </c:pt>
                <c:pt idx="9">
                  <c:v>7370.8616677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122.60705220000001</c:v>
                </c:pt>
                <c:pt idx="30">
                  <c:v>227.32671899000002</c:v>
                </c:pt>
                <c:pt idx="31">
                  <c:v>3.1195089999999999</c:v>
                </c:pt>
              </c:numCache>
            </c:numRef>
          </c:yVal>
          <c:smooth val="0"/>
          <c:extLst>
            <c:ext xmlns:c16="http://schemas.microsoft.com/office/drawing/2014/chart" uri="{C3380CC4-5D6E-409C-BE32-E72D297353CC}">
              <c16:uniqueId val="{00000002-9217-4D61-90E9-013B7AD0BD29}"/>
            </c:ext>
          </c:extLst>
        </c:ser>
        <c:ser>
          <c:idx val="3"/>
          <c:order val="3"/>
          <c:tx>
            <c:strRef>
              <c:f>'Porgy Complex'!$E$2</c:f>
              <c:strCache>
                <c:ptCount val="1"/>
                <c:pt idx="0">
                  <c:v>Scup</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Complex'!$E$4:$E$35</c:f>
              <c:numCache>
                <c:formatCode>#,##0</c:formatCode>
                <c:ptCount val="32"/>
                <c:pt idx="0">
                  <c:v>41013.406816000002</c:v>
                </c:pt>
                <c:pt idx="1">
                  <c:v>45101.88605922</c:v>
                </c:pt>
                <c:pt idx="2">
                  <c:v>5810.8237005500005</c:v>
                </c:pt>
                <c:pt idx="3">
                  <c:v>8699.8391843549998</c:v>
                </c:pt>
                <c:pt idx="4">
                  <c:v>5243.1855986199998</c:v>
                </c:pt>
                <c:pt idx="5">
                  <c:v>21128.251835629999</c:v>
                </c:pt>
                <c:pt idx="6">
                  <c:v>51130.9720055</c:v>
                </c:pt>
                <c:pt idx="7">
                  <c:v>16525.979177190999</c:v>
                </c:pt>
                <c:pt idx="8">
                  <c:v>45170.599390789997</c:v>
                </c:pt>
                <c:pt idx="9">
                  <c:v>16343.674732698999</c:v>
                </c:pt>
                <c:pt idx="10">
                  <c:v>10924.130679370799</c:v>
                </c:pt>
                <c:pt idx="11">
                  <c:v>32516.527719534002</c:v>
                </c:pt>
                <c:pt idx="12">
                  <c:v>6052.9249247670004</c:v>
                </c:pt>
                <c:pt idx="13">
                  <c:v>385.35789399999993</c:v>
                </c:pt>
                <c:pt idx="14">
                  <c:v>789.8160330799999</c:v>
                </c:pt>
                <c:pt idx="15">
                  <c:v>15614.4960164</c:v>
                </c:pt>
                <c:pt idx="16">
                  <c:v>3636.4983757200007</c:v>
                </c:pt>
                <c:pt idx="17">
                  <c:v>9227.7309589699998</c:v>
                </c:pt>
                <c:pt idx="18">
                  <c:v>8497.0973780599998</c:v>
                </c:pt>
                <c:pt idx="19">
                  <c:v>20933.552779129997</c:v>
                </c:pt>
                <c:pt idx="20">
                  <c:v>10176.508101523999</c:v>
                </c:pt>
                <c:pt idx="21">
                  <c:v>8235.1813396429989</c:v>
                </c:pt>
                <c:pt idx="22">
                  <c:v>5886.4109562000003</c:v>
                </c:pt>
                <c:pt idx="23">
                  <c:v>8898.034930400001</c:v>
                </c:pt>
                <c:pt idx="24">
                  <c:v>13441.407745367998</c:v>
                </c:pt>
                <c:pt idx="25">
                  <c:v>8624.9657303870972</c:v>
                </c:pt>
                <c:pt idx="26">
                  <c:v>9839.1842041640011</c:v>
                </c:pt>
                <c:pt idx="27">
                  <c:v>7169.031052944998</c:v>
                </c:pt>
                <c:pt idx="28">
                  <c:v>12468.912919289001</c:v>
                </c:pt>
                <c:pt idx="29">
                  <c:v>13798.8254511901</c:v>
                </c:pt>
                <c:pt idx="30">
                  <c:v>7983.9571500000011</c:v>
                </c:pt>
                <c:pt idx="31">
                  <c:v>10543.224473061002</c:v>
                </c:pt>
              </c:numCache>
            </c:numRef>
          </c:yVal>
          <c:smooth val="0"/>
          <c:extLst>
            <c:ext xmlns:c16="http://schemas.microsoft.com/office/drawing/2014/chart" uri="{C3380CC4-5D6E-409C-BE32-E72D297353CC}">
              <c16:uniqueId val="{00000003-9217-4D61-90E9-013B7AD0BD29}"/>
            </c:ext>
          </c:extLst>
        </c:ser>
        <c:ser>
          <c:idx val="4"/>
          <c:order val="4"/>
          <c:tx>
            <c:strRef>
              <c:f>'Porgy Complex'!$F$2</c:f>
              <c:strCache>
                <c:ptCount val="1"/>
                <c:pt idx="0">
                  <c:v>Whitebone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Complex'!$F$4:$F$35</c:f>
              <c:numCache>
                <c:formatCode>#,##0</c:formatCode>
                <c:ptCount val="32"/>
                <c:pt idx="0">
                  <c:v>26395.292353099991</c:v>
                </c:pt>
                <c:pt idx="1">
                  <c:v>44277.676998140007</c:v>
                </c:pt>
                <c:pt idx="2">
                  <c:v>40597.249314315006</c:v>
                </c:pt>
                <c:pt idx="3">
                  <c:v>41989.341330410003</c:v>
                </c:pt>
                <c:pt idx="4">
                  <c:v>25927.670221086995</c:v>
                </c:pt>
                <c:pt idx="5">
                  <c:v>72873.46220749701</c:v>
                </c:pt>
                <c:pt idx="6">
                  <c:v>64879.784360110003</c:v>
                </c:pt>
                <c:pt idx="7">
                  <c:v>38631.903101094991</c:v>
                </c:pt>
                <c:pt idx="8">
                  <c:v>32633.021798909995</c:v>
                </c:pt>
                <c:pt idx="9">
                  <c:v>38241.796931020006</c:v>
                </c:pt>
                <c:pt idx="10">
                  <c:v>40023.328815390007</c:v>
                </c:pt>
                <c:pt idx="11">
                  <c:v>100631.39915660003</c:v>
                </c:pt>
                <c:pt idx="12">
                  <c:v>20957.428854713999</c:v>
                </c:pt>
                <c:pt idx="13">
                  <c:v>17753.001834956998</c:v>
                </c:pt>
                <c:pt idx="14">
                  <c:v>62422.495876548004</c:v>
                </c:pt>
                <c:pt idx="15">
                  <c:v>50770.739054819082</c:v>
                </c:pt>
                <c:pt idx="16">
                  <c:v>65100.126187476009</c:v>
                </c:pt>
                <c:pt idx="17">
                  <c:v>37260.054427973992</c:v>
                </c:pt>
                <c:pt idx="18">
                  <c:v>17570.610075537003</c:v>
                </c:pt>
                <c:pt idx="19">
                  <c:v>42615.617095886999</c:v>
                </c:pt>
                <c:pt idx="20">
                  <c:v>17320.378538904297</c:v>
                </c:pt>
                <c:pt idx="21">
                  <c:v>39267.744894709991</c:v>
                </c:pt>
                <c:pt idx="22">
                  <c:v>52865.962689392014</c:v>
                </c:pt>
                <c:pt idx="23">
                  <c:v>13488.923454627</c:v>
                </c:pt>
                <c:pt idx="24">
                  <c:v>58622.8844816973</c:v>
                </c:pt>
                <c:pt idx="25">
                  <c:v>50207.718176651993</c:v>
                </c:pt>
                <c:pt idx="26">
                  <c:v>51608.314539015308</c:v>
                </c:pt>
                <c:pt idx="27">
                  <c:v>43980.337950239002</c:v>
                </c:pt>
                <c:pt idx="28">
                  <c:v>141844.19382347897</c:v>
                </c:pt>
                <c:pt idx="29">
                  <c:v>55585.714840288005</c:v>
                </c:pt>
                <c:pt idx="30">
                  <c:v>55797.068094964015</c:v>
                </c:pt>
                <c:pt idx="31">
                  <c:v>50400.815979586994</c:v>
                </c:pt>
              </c:numCache>
            </c:numRef>
          </c:yVal>
          <c:smooth val="0"/>
          <c:extLst>
            <c:ext xmlns:c16="http://schemas.microsoft.com/office/drawing/2014/chart" uri="{C3380CC4-5D6E-409C-BE32-E72D297353CC}">
              <c16:uniqueId val="{00000004-9217-4D61-90E9-013B7AD0BD29}"/>
            </c:ext>
          </c:extLst>
        </c:ser>
        <c:ser>
          <c:idx val="5"/>
          <c:order val="5"/>
          <c:tx>
            <c:strRef>
              <c:f>'Porgy Complex'!$G$2</c:f>
              <c:strCache>
                <c:ptCount val="1"/>
                <c:pt idx="0">
                  <c:v>Total</c:v>
                </c:pt>
              </c:strCache>
            </c:strRef>
          </c:tx>
          <c:spPr>
            <a:ln>
              <a:solidFill>
                <a:schemeClr val="tx2"/>
              </a:solidFill>
            </a:ln>
          </c:spPr>
          <c:marker>
            <c:symbol val="star"/>
            <c:size val="7"/>
            <c:spPr>
              <a:ln>
                <a:solidFill>
                  <a:srgbClr val="FF0000"/>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Complex'!$G$4:$G$35</c:f>
              <c:numCache>
                <c:formatCode>#,##0</c:formatCode>
                <c:ptCount val="32"/>
                <c:pt idx="0">
                  <c:v>413420.66241244995</c:v>
                </c:pt>
                <c:pt idx="1">
                  <c:v>241793.37698488001</c:v>
                </c:pt>
                <c:pt idx="2">
                  <c:v>264136.394084375</c:v>
                </c:pt>
                <c:pt idx="3">
                  <c:v>164099.350472672</c:v>
                </c:pt>
                <c:pt idx="4">
                  <c:v>218811.40379472706</c:v>
                </c:pt>
                <c:pt idx="5">
                  <c:v>203602.99342968702</c:v>
                </c:pt>
                <c:pt idx="6">
                  <c:v>247749.18913311997</c:v>
                </c:pt>
                <c:pt idx="7">
                  <c:v>232827.28092555603</c:v>
                </c:pt>
                <c:pt idx="8">
                  <c:v>282119.95597301994</c:v>
                </c:pt>
                <c:pt idx="9">
                  <c:v>177983.72952084898</c:v>
                </c:pt>
                <c:pt idx="10">
                  <c:v>173022.70479705682</c:v>
                </c:pt>
                <c:pt idx="11">
                  <c:v>219395.15160802004</c:v>
                </c:pt>
                <c:pt idx="12">
                  <c:v>128568.99013828501</c:v>
                </c:pt>
                <c:pt idx="13">
                  <c:v>150554.85936510999</c:v>
                </c:pt>
                <c:pt idx="14">
                  <c:v>190883.65639828701</c:v>
                </c:pt>
                <c:pt idx="15">
                  <c:v>192024.77603014006</c:v>
                </c:pt>
                <c:pt idx="16">
                  <c:v>208501.42559638305</c:v>
                </c:pt>
                <c:pt idx="17">
                  <c:v>194183.78509631005</c:v>
                </c:pt>
                <c:pt idx="18">
                  <c:v>152805.58839127421</c:v>
                </c:pt>
                <c:pt idx="19">
                  <c:v>183345.65646531398</c:v>
                </c:pt>
                <c:pt idx="20">
                  <c:v>108433.38320665329</c:v>
                </c:pt>
                <c:pt idx="21">
                  <c:v>147265.77855034903</c:v>
                </c:pt>
                <c:pt idx="22">
                  <c:v>172675.822360135</c:v>
                </c:pt>
                <c:pt idx="23">
                  <c:v>133017.90558308602</c:v>
                </c:pt>
                <c:pt idx="24">
                  <c:v>166177.22724908529</c:v>
                </c:pt>
                <c:pt idx="25">
                  <c:v>128901.82411473709</c:v>
                </c:pt>
                <c:pt idx="26">
                  <c:v>217243.10573724826</c:v>
                </c:pt>
                <c:pt idx="27">
                  <c:v>210930.81646762206</c:v>
                </c:pt>
                <c:pt idx="28">
                  <c:v>349875.44930573791</c:v>
                </c:pt>
                <c:pt idx="29">
                  <c:v>241528.46428987218</c:v>
                </c:pt>
                <c:pt idx="30">
                  <c:v>261088.60530089599</c:v>
                </c:pt>
                <c:pt idx="31">
                  <c:v>130842.36639800298</c:v>
                </c:pt>
              </c:numCache>
            </c:numRef>
          </c:yVal>
          <c:smooth val="0"/>
          <c:extLst>
            <c:ext xmlns:c16="http://schemas.microsoft.com/office/drawing/2014/chart" uri="{C3380CC4-5D6E-409C-BE32-E72D297353CC}">
              <c16:uniqueId val="{00000005-9217-4D61-90E9-013B7AD0BD29}"/>
            </c:ext>
          </c:extLst>
        </c:ser>
        <c:ser>
          <c:idx val="6"/>
          <c:order val="6"/>
          <c:tx>
            <c:strRef>
              <c:f>'Porgy Complex'!$H$2</c:f>
              <c:strCache>
                <c:ptCount val="1"/>
                <c:pt idx="0">
                  <c:v>New Wgt ABC/ACL</c:v>
                </c:pt>
              </c:strCache>
            </c:strRef>
          </c:tx>
          <c:spPr>
            <a:ln w="38100">
              <a:solidFill>
                <a:schemeClr val="tx1"/>
              </a:solidFill>
            </a:ln>
          </c:spPr>
          <c:marker>
            <c:symbol val="none"/>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Complex'!$H$4:$H$35</c:f>
              <c:numCache>
                <c:formatCode>#,##0</c:formatCode>
                <c:ptCount val="32"/>
                <c:pt idx="26">
                  <c:v>149748.81872056212</c:v>
                </c:pt>
                <c:pt idx="27">
                  <c:v>149748.81872056212</c:v>
                </c:pt>
                <c:pt idx="28">
                  <c:v>149748.81872056212</c:v>
                </c:pt>
                <c:pt idx="29">
                  <c:v>149748.81872056212</c:v>
                </c:pt>
                <c:pt idx="30">
                  <c:v>149748.81872056212</c:v>
                </c:pt>
                <c:pt idx="31">
                  <c:v>149748.81872056212</c:v>
                </c:pt>
              </c:numCache>
            </c:numRef>
          </c:yVal>
          <c:smooth val="0"/>
          <c:extLst>
            <c:ext xmlns:c16="http://schemas.microsoft.com/office/drawing/2014/chart" uri="{C3380CC4-5D6E-409C-BE32-E72D297353CC}">
              <c16:uniqueId val="{00000006-9217-4D61-90E9-013B7AD0BD29}"/>
            </c:ext>
          </c:extLst>
        </c:ser>
        <c:dLbls>
          <c:showLegendKey val="0"/>
          <c:showVal val="0"/>
          <c:showCatName val="0"/>
          <c:showSerName val="0"/>
          <c:showPercent val="0"/>
          <c:showBubbleSize val="0"/>
        </c:dLbls>
        <c:axId val="345227264"/>
        <c:axId val="345227840"/>
      </c:scatterChart>
      <c:valAx>
        <c:axId val="3452272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27840"/>
        <c:crosses val="autoZero"/>
        <c:crossBetween val="midCat"/>
      </c:valAx>
      <c:valAx>
        <c:axId val="3452278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27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'Gray Triggerfish'!$D$3</c:f>
              <c:strCache>
                <c:ptCount val="1"/>
                <c:pt idx="0">
                  <c:v>Total New Wgt</c:v>
                </c:pt>
              </c:strCache>
            </c:strRef>
          </c:tx>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Triggerfish'!$D$4:$D$35</c:f>
              <c:numCache>
                <c:formatCode>#,##0</c:formatCode>
                <c:ptCount val="32"/>
                <c:pt idx="0">
                  <c:v>267412.75205805001</c:v>
                </c:pt>
                <c:pt idx="1">
                  <c:v>235721.27434544705</c:v>
                </c:pt>
                <c:pt idx="2">
                  <c:v>418993.18807840999</c:v>
                </c:pt>
                <c:pt idx="3">
                  <c:v>483503.67426699406</c:v>
                </c:pt>
                <c:pt idx="4">
                  <c:v>582812.65974800498</c:v>
                </c:pt>
                <c:pt idx="5">
                  <c:v>1298149.9272908201</c:v>
                </c:pt>
                <c:pt idx="6">
                  <c:v>1102891.53163908</c:v>
                </c:pt>
                <c:pt idx="7">
                  <c:v>945275.49312553986</c:v>
                </c:pt>
                <c:pt idx="8">
                  <c:v>795650.9112653801</c:v>
                </c:pt>
                <c:pt idx="9">
                  <c:v>799891.03025182697</c:v>
                </c:pt>
                <c:pt idx="10">
                  <c:v>848711.23284702201</c:v>
                </c:pt>
                <c:pt idx="11">
                  <c:v>960816.42836612999</c:v>
                </c:pt>
                <c:pt idx="12">
                  <c:v>781471.33047937916</c:v>
                </c:pt>
                <c:pt idx="13">
                  <c:v>613840.83165725041</c:v>
                </c:pt>
                <c:pt idx="14">
                  <c:v>427576.86098667484</c:v>
                </c:pt>
                <c:pt idx="15">
                  <c:v>514211.49942199094</c:v>
                </c:pt>
                <c:pt idx="16">
                  <c:v>663509.47632474406</c:v>
                </c:pt>
                <c:pt idx="17">
                  <c:v>717715.06007700309</c:v>
                </c:pt>
                <c:pt idx="18">
                  <c:v>817916.047895442</c:v>
                </c:pt>
                <c:pt idx="19">
                  <c:v>694659.0769789489</c:v>
                </c:pt>
                <c:pt idx="20">
                  <c:v>735129.23249664786</c:v>
                </c:pt>
                <c:pt idx="21">
                  <c:v>1160691.3493053392</c:v>
                </c:pt>
                <c:pt idx="22">
                  <c:v>1152518.1693887189</c:v>
                </c:pt>
                <c:pt idx="23">
                  <c:v>1381040.2605149145</c:v>
                </c:pt>
                <c:pt idx="24">
                  <c:v>1310945.3471932996</c:v>
                </c:pt>
                <c:pt idx="25">
                  <c:v>1174963.4028382609</c:v>
                </c:pt>
                <c:pt idx="26">
                  <c:v>788946.49723091803</c:v>
                </c:pt>
                <c:pt idx="27">
                  <c:v>992861.92080652213</c:v>
                </c:pt>
                <c:pt idx="28">
                  <c:v>1233977.010901903</c:v>
                </c:pt>
                <c:pt idx="29">
                  <c:v>903518.76670719136</c:v>
                </c:pt>
                <c:pt idx="30">
                  <c:v>1735842.3367461364</c:v>
                </c:pt>
                <c:pt idx="31">
                  <c:v>1163235.3325254661</c:v>
                </c:pt>
              </c:numCache>
            </c:numRef>
          </c:val>
          <c:smooth val="0"/>
          <c:extLst>
            <c:ext xmlns:c16="http://schemas.microsoft.com/office/drawing/2014/chart" uri="{C3380CC4-5D6E-409C-BE32-E72D297353CC}">
              <c16:uniqueId val="{00000000-84D3-426A-BF45-86571B7CB1BD}"/>
            </c:ext>
          </c:extLst>
        </c:ser>
        <c:ser>
          <c:idx val="3"/>
          <c:order val="1"/>
          <c:tx>
            <c:strRef>
              <c:f>'Gray Triggerfish'!$G$3</c:f>
              <c:strCache>
                <c:ptCount val="1"/>
                <c:pt idx="0">
                  <c:v>Total Orig FES</c:v>
                </c:pt>
              </c:strCache>
            </c:strRef>
          </c:tx>
          <c:spPr>
            <a:ln>
              <a:solidFill>
                <a:schemeClr val="accent2"/>
              </a:solidFill>
            </a:ln>
          </c:spPr>
          <c:marker>
            <c:spPr>
              <a:ln>
                <a:solidFill>
                  <a:schemeClr val="accent2"/>
                </a:solidFill>
              </a:ln>
            </c:spPr>
          </c:marker>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Triggerfish'!$G$4:$G$35</c:f>
              <c:numCache>
                <c:formatCode>#,##0</c:formatCode>
                <c:ptCount val="32"/>
                <c:pt idx="0">
                  <c:v>273424.90696327994</c:v>
                </c:pt>
                <c:pt idx="1">
                  <c:v>257443.16172066695</c:v>
                </c:pt>
                <c:pt idx="2">
                  <c:v>419982.43433493411</c:v>
                </c:pt>
                <c:pt idx="3">
                  <c:v>530140.84528434894</c:v>
                </c:pt>
                <c:pt idx="4">
                  <c:v>589479.99053210497</c:v>
                </c:pt>
                <c:pt idx="5">
                  <c:v>1298656.0293875502</c:v>
                </c:pt>
                <c:pt idx="6">
                  <c:v>1108117.4431937803</c:v>
                </c:pt>
                <c:pt idx="7">
                  <c:v>963559.00959829986</c:v>
                </c:pt>
                <c:pt idx="8">
                  <c:v>798092.59599782003</c:v>
                </c:pt>
                <c:pt idx="9">
                  <c:v>804548.01606610697</c:v>
                </c:pt>
                <c:pt idx="10">
                  <c:v>873661.26388088008</c:v>
                </c:pt>
                <c:pt idx="11">
                  <c:v>959551.26960576</c:v>
                </c:pt>
                <c:pt idx="12">
                  <c:v>782138.336158399</c:v>
                </c:pt>
                <c:pt idx="13">
                  <c:v>606625.30148508027</c:v>
                </c:pt>
                <c:pt idx="14">
                  <c:v>427957.608974075</c:v>
                </c:pt>
                <c:pt idx="15">
                  <c:v>507030.22876722884</c:v>
                </c:pt>
                <c:pt idx="16">
                  <c:v>662393.8579995539</c:v>
                </c:pt>
                <c:pt idx="17">
                  <c:v>718897.66305764101</c:v>
                </c:pt>
                <c:pt idx="18">
                  <c:v>818845.11011086695</c:v>
                </c:pt>
                <c:pt idx="19">
                  <c:v>688660.9882821074</c:v>
                </c:pt>
                <c:pt idx="20">
                  <c:v>758414.16056882078</c:v>
                </c:pt>
                <c:pt idx="21">
                  <c:v>1147630.9173039389</c:v>
                </c:pt>
                <c:pt idx="22">
                  <c:v>1175261.4198492845</c:v>
                </c:pt>
                <c:pt idx="23">
                  <c:v>1395341.9796758844</c:v>
                </c:pt>
                <c:pt idx="24">
                  <c:v>1323847.0080887254</c:v>
                </c:pt>
                <c:pt idx="25">
                  <c:v>1181372.5171351307</c:v>
                </c:pt>
                <c:pt idx="26">
                  <c:v>789383.37987435819</c:v>
                </c:pt>
                <c:pt idx="27">
                  <c:v>959982.23814997252</c:v>
                </c:pt>
                <c:pt idx="28">
                  <c:v>1255716.6040129689</c:v>
                </c:pt>
                <c:pt idx="29">
                  <c:v>883103.6453042716</c:v>
                </c:pt>
                <c:pt idx="30">
                  <c:v>1749883.7531590499</c:v>
                </c:pt>
                <c:pt idx="31">
                  <c:v>1168663.4282609359</c:v>
                </c:pt>
              </c:numCache>
            </c:numRef>
          </c:val>
          <c:smooth val="0"/>
          <c:extLst>
            <c:ext xmlns:c16="http://schemas.microsoft.com/office/drawing/2014/chart" uri="{C3380CC4-5D6E-409C-BE32-E72D297353CC}">
              <c16:uniqueId val="{00000003-84D3-426A-BF45-86571B7CB1BD}"/>
            </c:ext>
          </c:extLst>
        </c:ser>
        <c:ser>
          <c:idx val="4"/>
          <c:order val="2"/>
          <c:tx>
            <c:strRef>
              <c:f>'Gray Triggerfish'!$K$3</c:f>
              <c:strCache>
                <c:ptCount val="1"/>
                <c:pt idx="0">
                  <c:v>New Wgt ABC</c:v>
                </c:pt>
              </c:strCache>
            </c:strRef>
          </c:tx>
          <c:spPr>
            <a:ln w="31750">
              <a:solidFill>
                <a:schemeClr val="tx1"/>
              </a:solidFill>
            </a:ln>
          </c:spPr>
          <c:marker>
            <c:symbol val="none"/>
          </c:marker>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Triggerfish'!$K$4:$K$35</c:f>
              <c:numCache>
                <c:formatCode>#,##0</c:formatCode>
                <c:ptCount val="32"/>
                <c:pt idx="26">
                  <c:v>735129.23249664786</c:v>
                </c:pt>
                <c:pt idx="27">
                  <c:v>735129.23249664786</c:v>
                </c:pt>
                <c:pt idx="28">
                  <c:v>735129.23249664786</c:v>
                </c:pt>
                <c:pt idx="29">
                  <c:v>1015604.9306421716</c:v>
                </c:pt>
                <c:pt idx="30">
                  <c:v>1015604.9306421716</c:v>
                </c:pt>
                <c:pt idx="31">
                  <c:v>1015604.9306421716</c:v>
                </c:pt>
              </c:numCache>
            </c:numRef>
          </c:val>
          <c:smooth val="0"/>
          <c:extLst>
            <c:ext xmlns:c16="http://schemas.microsoft.com/office/drawing/2014/chart" uri="{C3380CC4-5D6E-409C-BE32-E72D297353CC}">
              <c16:uniqueId val="{00000005-84D3-426A-BF45-86571B7CB1BD}"/>
            </c:ext>
          </c:extLst>
        </c:ser>
        <c:ser>
          <c:idx val="6"/>
          <c:order val="3"/>
          <c:tx>
            <c:strRef>
              <c:f>'Gray Triggerfish'!$L$3</c:f>
              <c:strCache>
                <c:ptCount val="1"/>
                <c:pt idx="0">
                  <c:v>Orig Rec ABC</c:v>
                </c:pt>
              </c:strCache>
            </c:strRef>
          </c:tx>
          <c:spPr>
            <a:ln w="31750">
              <a:solidFill>
                <a:srgbClr val="7030A0"/>
              </a:solidFill>
            </a:ln>
          </c:spPr>
          <c:marker>
            <c:symbol val="none"/>
          </c:marker>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Triggerfish'!$L$4:$L$35</c:f>
              <c:numCache>
                <c:formatCode>General</c:formatCode>
                <c:ptCount val="32"/>
                <c:pt idx="26" formatCode="#,##0">
                  <c:v>758414.16056882078</c:v>
                </c:pt>
                <c:pt idx="27" formatCode="#,##0">
                  <c:v>758414.16056882078</c:v>
                </c:pt>
                <c:pt idx="28" formatCode="#,##0">
                  <c:v>758414.16056882078</c:v>
                </c:pt>
                <c:pt idx="29" formatCode="#,##0">
                  <c:v>1004177.0526409463</c:v>
                </c:pt>
                <c:pt idx="30" formatCode="#,##0">
                  <c:v>1004177.0526409463</c:v>
                </c:pt>
                <c:pt idx="31" formatCode="#,##0">
                  <c:v>1004177.0526409463</c:v>
                </c:pt>
              </c:numCache>
            </c:numRef>
          </c:val>
          <c:smooth val="0"/>
          <c:extLst>
            <c:ext xmlns:c16="http://schemas.microsoft.com/office/drawing/2014/chart" uri="{C3380CC4-5D6E-409C-BE32-E72D297353CC}">
              <c16:uniqueId val="{00000000-B2BE-4DE8-8DB3-B63841252AD0}"/>
            </c:ext>
          </c:extLst>
        </c:ser>
        <c:dLbls>
          <c:showLegendKey val="0"/>
          <c:showVal val="0"/>
          <c:showCatName val="0"/>
          <c:showSerName val="0"/>
          <c:showPercent val="0"/>
          <c:showBubbleSize val="0"/>
        </c:dLbls>
        <c:marker val="1"/>
        <c:smooth val="0"/>
        <c:axId val="339444864"/>
        <c:axId val="339445440"/>
      </c:lineChart>
      <c:catAx>
        <c:axId val="339444864"/>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spPr>
          <a:ln>
            <a:solidFill>
              <a:schemeClr val="tx1"/>
            </a:solidFill>
          </a:ln>
        </c:spPr>
        <c:txPr>
          <a:bodyPr rot="-2700000"/>
          <a:lstStyle/>
          <a:p>
            <a:pPr>
              <a:defRPr/>
            </a:pPr>
            <a:endParaRPr lang="en-US"/>
          </a:p>
        </c:txPr>
        <c:crossAx val="339445440"/>
        <c:crosses val="autoZero"/>
        <c:auto val="1"/>
        <c:lblAlgn val="ctr"/>
        <c:lblOffset val="100"/>
        <c:noMultiLvlLbl val="1"/>
      </c:catAx>
      <c:valAx>
        <c:axId val="339445440"/>
        <c:scaling>
          <c:orientation val="minMax"/>
          <c:max val="1800000"/>
        </c:scaling>
        <c:delete val="0"/>
        <c:axPos val="l"/>
        <c:majorGridlines>
          <c:spPr>
            <a:ln>
              <a:solidFill>
                <a:schemeClr val="bg1">
                  <a:lumMod val="75000"/>
                </a:schemeClr>
              </a:solidFill>
            </a:ln>
          </c:spPr>
        </c:majorGridlines>
        <c:title>
          <c:tx>
            <c:rich>
              <a:bodyPr rot="-5400000" vert="horz"/>
              <a:lstStyle/>
              <a:p>
                <a:pPr>
                  <a:defRPr/>
                </a:pPr>
                <a:r>
                  <a:rPr lang="en-US"/>
                  <a:t>Pounds Whole Weight</a:t>
                </a:r>
              </a:p>
            </c:rich>
          </c:tx>
          <c:overlay val="0"/>
        </c:title>
        <c:numFmt formatCode="#,##0" sourceLinked="1"/>
        <c:majorTickMark val="out"/>
        <c:minorTickMark val="none"/>
        <c:tickLblPos val="nextTo"/>
        <c:spPr>
          <a:ln>
            <a:solidFill>
              <a:schemeClr val="tx1"/>
            </a:solidFill>
          </a:ln>
        </c:spPr>
        <c:crossAx val="3394448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4"/>
          <c:order val="2"/>
          <c:tx>
            <c:strRef>
              <c:f>'Porgy Complex'!$AC$3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Complex'!$AC$4:$AC$35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59824.154357009997</c:v>
                </c:pt>
                <c:pt idx="8">
                  <c:v>72659.084089759985</c:v>
                </c:pt>
                <c:pt idx="9">
                  <c:v>14677.695219000001</c:v>
                </c:pt>
                <c:pt idx="10">
                  <c:v>40545.225392560023</c:v>
                </c:pt>
                <c:pt idx="11">
                  <c:v>16207.256260478995</c:v>
                </c:pt>
                <c:pt idx="12">
                  <c:v>27893.645065473997</c:v>
                </c:pt>
                <c:pt idx="13">
                  <c:v>42936.566444776006</c:v>
                </c:pt>
                <c:pt idx="14">
                  <c:v>35742.90098477601</c:v>
                </c:pt>
                <c:pt idx="15">
                  <c:v>42577.099387236987</c:v>
                </c:pt>
                <c:pt idx="16">
                  <c:v>50786.141448233036</c:v>
                </c:pt>
                <c:pt idx="17">
                  <c:v>80499.230075120082</c:v>
                </c:pt>
                <c:pt idx="18">
                  <c:v>59197.84330385401</c:v>
                </c:pt>
                <c:pt idx="19">
                  <c:v>38633.382302018996</c:v>
                </c:pt>
                <c:pt idx="20">
                  <c:v>35327.339916197001</c:v>
                </c:pt>
                <c:pt idx="21">
                  <c:v>53366.003827783032</c:v>
                </c:pt>
                <c:pt idx="22">
                  <c:v>64762.909171654996</c:v>
                </c:pt>
                <c:pt idx="23">
                  <c:v>58998.331973159999</c:v>
                </c:pt>
                <c:pt idx="24">
                  <c:v>50260.577886439998</c:v>
                </c:pt>
                <c:pt idx="25">
                  <c:v>29280.545690218005</c:v>
                </c:pt>
                <c:pt idx="26">
                  <c:v>63002.704311358968</c:v>
                </c:pt>
                <c:pt idx="27">
                  <c:v>94398.159845206043</c:v>
                </c:pt>
                <c:pt idx="28">
                  <c:v>125821.80306784995</c:v>
                </c:pt>
                <c:pt idx="29">
                  <c:v>136683.32188786607</c:v>
                </c:pt>
                <c:pt idx="30">
                  <c:v>166437.37635517897</c:v>
                </c:pt>
                <c:pt idx="31">
                  <c:v>44097.398856170003</c:v>
                </c:pt>
              </c:numCache>
            </c:numRef>
          </c:yVal>
          <c:smooth val="0"/>
          <c:extLst>
            <c:ext xmlns:c16="http://schemas.microsoft.com/office/drawing/2014/chart" uri="{C3380CC4-5D6E-409C-BE32-E72D297353CC}">
              <c16:uniqueId val="{00000002-BBFC-428B-9B2B-E0193BCF0BFB}"/>
            </c:ext>
          </c:extLst>
        </c:ser>
        <c:ser>
          <c:idx val="5"/>
          <c:order val="3"/>
          <c:tx>
            <c:strRef>
              <c:f>'Porgy Complex'!$AK$3</c:f>
              <c:strCache>
                <c:ptCount val="1"/>
                <c:pt idx="0">
                  <c:v>Orig FES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Complex'!$AK$4:$AK$35</c:f>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73182.997017299975</c:v>
                </c:pt>
                <c:pt idx="8">
                  <c:v>108179.06766636002</c:v>
                </c:pt>
                <c:pt idx="9">
                  <c:v>14706.634627899999</c:v>
                </c:pt>
                <c:pt idx="10">
                  <c:v>40786.086911400023</c:v>
                </c:pt>
                <c:pt idx="11">
                  <c:v>16258.383808732995</c:v>
                </c:pt>
                <c:pt idx="12">
                  <c:v>28040.761660396998</c:v>
                </c:pt>
                <c:pt idx="13">
                  <c:v>54813.216516756023</c:v>
                </c:pt>
                <c:pt idx="14">
                  <c:v>32319.819187990004</c:v>
                </c:pt>
                <c:pt idx="15">
                  <c:v>33796.82301694397</c:v>
                </c:pt>
                <c:pt idx="16">
                  <c:v>50632.238246362031</c:v>
                </c:pt>
                <c:pt idx="17">
                  <c:v>80500.686323510075</c:v>
                </c:pt>
                <c:pt idx="18">
                  <c:v>62269.343448684012</c:v>
                </c:pt>
                <c:pt idx="19">
                  <c:v>38487.739460718993</c:v>
                </c:pt>
                <c:pt idx="20">
                  <c:v>35259.192742972991</c:v>
                </c:pt>
                <c:pt idx="21">
                  <c:v>46970.467010972017</c:v>
                </c:pt>
                <c:pt idx="22">
                  <c:v>66136.809243885014</c:v>
                </c:pt>
                <c:pt idx="23">
                  <c:v>58531.038585589988</c:v>
                </c:pt>
                <c:pt idx="24">
                  <c:v>55583.173756239987</c:v>
                </c:pt>
                <c:pt idx="25">
                  <c:v>29404.562346643008</c:v>
                </c:pt>
                <c:pt idx="26">
                  <c:v>64077.086539286953</c:v>
                </c:pt>
                <c:pt idx="27">
                  <c:v>92443.846803954046</c:v>
                </c:pt>
                <c:pt idx="28">
                  <c:v>122040.87096284996</c:v>
                </c:pt>
                <c:pt idx="29">
                  <c:v>138373.93544617807</c:v>
                </c:pt>
                <c:pt idx="30">
                  <c:v>173127.66666957899</c:v>
                </c:pt>
                <c:pt idx="31">
                  <c:v>45289.060046350009</c:v>
                </c:pt>
              </c:numCache>
            </c:numRef>
          </c:yVal>
          <c:smooth val="0"/>
          <c:extLst>
            <c:ext xmlns:c16="http://schemas.microsoft.com/office/drawing/2014/chart" uri="{C3380CC4-5D6E-409C-BE32-E72D297353CC}">
              <c16:uniqueId val="{00000003-BBFC-428B-9B2B-E0193BCF0BFB}"/>
            </c:ext>
          </c:extLst>
        </c:ser>
        <c:ser>
          <c:idx val="6"/>
          <c:order val="4"/>
          <c:tx>
            <c:strRef>
              <c:f>'Porgy Complex'!$S$106</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'Porgy Complex'!$M$107:$M$138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Complex'!$S$107:$S$138</c:f>
              <c:numCache>
                <c:formatCode>#,##0</c:formatCode>
                <c:ptCount val="32"/>
                <c:pt idx="0">
                  <c:v>296866.16348077357</c:v>
                </c:pt>
                <c:pt idx="1">
                  <c:v>41910.780655176844</c:v>
                </c:pt>
                <c:pt idx="3">
                  <c:v>30292.501810705202</c:v>
                </c:pt>
                <c:pt idx="4">
                  <c:v>24885.301166203833</c:v>
                </c:pt>
                <c:pt idx="5">
                  <c:v>20265.161178629052</c:v>
                </c:pt>
                <c:pt idx="6">
                  <c:v>23617.104144077224</c:v>
                </c:pt>
                <c:pt idx="7">
                  <c:v>53425.998683253783</c:v>
                </c:pt>
                <c:pt idx="8">
                  <c:v>74838.545870855611</c:v>
                </c:pt>
                <c:pt idx="9">
                  <c:v>14199.629398699184</c:v>
                </c:pt>
                <c:pt idx="10">
                  <c:v>41507.570368147033</c:v>
                </c:pt>
                <c:pt idx="11">
                  <c:v>22845.494453480984</c:v>
                </c:pt>
                <c:pt idx="12">
                  <c:v>44786.033404422276</c:v>
                </c:pt>
                <c:pt idx="13">
                  <c:v>41031.960950342094</c:v>
                </c:pt>
                <c:pt idx="14">
                  <c:v>29408.727507547934</c:v>
                </c:pt>
                <c:pt idx="15">
                  <c:v>43054.046869948921</c:v>
                </c:pt>
                <c:pt idx="16">
                  <c:v>42283.372335557695</c:v>
                </c:pt>
                <c:pt idx="17">
                  <c:v>82410.245416977821</c:v>
                </c:pt>
                <c:pt idx="18">
                  <c:v>53084.805277648309</c:v>
                </c:pt>
                <c:pt idx="19">
                  <c:v>38076.658600441355</c:v>
                </c:pt>
                <c:pt idx="20">
                  <c:v>34760.63034844416</c:v>
                </c:pt>
                <c:pt idx="21">
                  <c:v>56226.333831227515</c:v>
                </c:pt>
                <c:pt idx="22">
                  <c:v>66275.300833348098</c:v>
                </c:pt>
                <c:pt idx="23">
                  <c:v>62434.021623258042</c:v>
                </c:pt>
                <c:pt idx="24">
                  <c:v>49366.133568563571</c:v>
                </c:pt>
                <c:pt idx="25">
                  <c:v>30046.639828560648</c:v>
                </c:pt>
                <c:pt idx="26">
                  <c:v>63626.66752386016</c:v>
                </c:pt>
                <c:pt idx="27">
                  <c:v>99192.164888890926</c:v>
                </c:pt>
                <c:pt idx="28">
                  <c:v>120005.16227457278</c:v>
                </c:pt>
                <c:pt idx="29">
                  <c:v>141224.95856093819</c:v>
                </c:pt>
                <c:pt idx="30">
                  <c:v>158525.30009219266</c:v>
                </c:pt>
                <c:pt idx="31">
                  <c:v>36694.784457295449</c:v>
                </c:pt>
              </c:numCache>
            </c:numRef>
          </c:yVal>
          <c:smooth val="0"/>
          <c:extLst>
            <c:ext xmlns:c16="http://schemas.microsoft.com/office/drawing/2014/chart" uri="{C3380CC4-5D6E-409C-BE32-E72D297353CC}">
              <c16:uniqueId val="{00000004-BBFC-428B-9B2B-E0193BCF0BFB}"/>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0"/>
                <c:order val="0"/>
                <c:tx>
                  <c:strRef>
                    <c:extLst>
                      <c:ext uri="{02D57815-91ED-43cb-92C2-25804820EDAC}">
                        <c15:formulaRef>
                          <c15:sqref>'Porgy Complex'!$B$3</c15:sqref>
                        </c15:formulaRef>
                      </c:ext>
                    </c:extLst>
                    <c:strCache>
                      <c:ptCount val="1"/>
                      <c:pt idx="0">
                        <c:v>Total New Wgt</c:v>
                      </c:pt>
                    </c:strCache>
                  </c:strRef>
                </c:tx>
                <c:xVal>
                  <c:numRef>
                    <c:extLst>
                      <c:ext uri="{02D57815-91ED-43cb-92C2-25804820EDAC}">
                        <c15:formulaRef>
                          <c15:sqref>'Porgy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Complex'!$B$4:$B$35</c15:sqref>
                        </c15:formulaRef>
                      </c:ext>
                    </c:extLst>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62316.154357009997</c:v>
                      </c:pt>
                      <c:pt idx="8">
                        <c:v>72668.084089759985</c:v>
                      </c:pt>
                      <c:pt idx="9">
                        <c:v>15171.695219000001</c:v>
                      </c:pt>
                      <c:pt idx="10">
                        <c:v>43771.225392560023</c:v>
                      </c:pt>
                      <c:pt idx="11">
                        <c:v>20052.256260478993</c:v>
                      </c:pt>
                      <c:pt idx="12">
                        <c:v>28901.645065473997</c:v>
                      </c:pt>
                      <c:pt idx="13">
                        <c:v>43894.566444776006</c:v>
                      </c:pt>
                      <c:pt idx="14">
                        <c:v>38980.90098477601</c:v>
                      </c:pt>
                      <c:pt idx="15">
                        <c:v>43495.099387236987</c:v>
                      </c:pt>
                      <c:pt idx="16">
                        <c:v>51764.141448233036</c:v>
                      </c:pt>
                      <c:pt idx="17">
                        <c:v>83181.230075120082</c:v>
                      </c:pt>
                      <c:pt idx="18">
                        <c:v>62629.84330385401</c:v>
                      </c:pt>
                      <c:pt idx="19">
                        <c:v>42352.382302018996</c:v>
                      </c:pt>
                      <c:pt idx="20">
                        <c:v>37282.339916197001</c:v>
                      </c:pt>
                      <c:pt idx="21">
                        <c:v>54789.003827783032</c:v>
                      </c:pt>
                      <c:pt idx="22">
                        <c:v>66869.909171654988</c:v>
                      </c:pt>
                      <c:pt idx="23">
                        <c:v>61600.331973159999</c:v>
                      </c:pt>
                      <c:pt idx="24">
                        <c:v>52291.577886439998</c:v>
                      </c:pt>
                      <c:pt idx="25">
                        <c:v>34046.545690218001</c:v>
                      </c:pt>
                      <c:pt idx="26">
                        <c:v>70774.704311358975</c:v>
                      </c:pt>
                      <c:pt idx="27">
                        <c:v>102658.15984520604</c:v>
                      </c:pt>
                      <c:pt idx="28">
                        <c:v>132888.80306784995</c:v>
                      </c:pt>
                      <c:pt idx="29">
                        <c:v>148371.32188786607</c:v>
                      </c:pt>
                      <c:pt idx="30">
                        <c:v>181188.37635517897</c:v>
                      </c:pt>
                      <c:pt idx="31">
                        <c:v>51079.398856170003</c:v>
                      </c:pt>
                    </c:numCache>
                  </c:numRef>
                </c:yVal>
                <c:smooth val="0"/>
                <c:extLst>
                  <c:ext xmlns:c16="http://schemas.microsoft.com/office/drawing/2014/chart" uri="{C3380CC4-5D6E-409C-BE32-E72D297353CC}">
                    <c16:uniqueId val="{00000000-76CB-443F-A3D2-47D2A4FE673D}"/>
                  </c:ext>
                </c:extLst>
              </c15:ser>
            </c15:filteredScatterSeries>
            <c15:filteredScatterSeries>
              <c15:ser>
                <c:idx val="2"/>
                <c:order val="1"/>
                <c:tx>
                  <c:strRef>
                    <c:extLst xmlns:c15="http://schemas.microsoft.com/office/drawing/2012/chart">
                      <c:ext xmlns:c15="http://schemas.microsoft.com/office/drawing/2012/chart" uri="{02D57815-91ED-43cb-92C2-25804820EDAC}">
                        <c15:formulaRef>
                          <c15:sqref>'Porgy Complex'!$K$3</c15:sqref>
                        </c15:formulaRef>
                      </c:ext>
                    </c:extLst>
                    <c:strCache>
                      <c:ptCount val="1"/>
                      <c:pt idx="0">
                        <c:v>Total Orig FES</c:v>
                      </c:pt>
                    </c:strCache>
                  </c:strRef>
                </c:tx>
                <c:spPr>
                  <a:ln>
                    <a:solidFill>
                      <a:schemeClr val="accent5"/>
                    </a:solidFill>
                  </a:ln>
                </c:spPr>
                <c:marker>
                  <c:symbol val="x"/>
                  <c:size val="7"/>
                  <c:spPr>
                    <a:noFill/>
                    <a:ln w="12700">
                      <a:solidFill>
                        <a:schemeClr val="accent5"/>
                      </a:solidFill>
                    </a:ln>
                  </c:spPr>
                </c:marker>
                <c:xVal>
                  <c:numRef>
                    <c:extLst xmlns:c15="http://schemas.microsoft.com/office/drawing/2012/chart">
                      <c:ext xmlns:c15="http://schemas.microsoft.com/office/drawing/2012/chart" uri="{02D57815-91ED-43cb-92C2-25804820EDAC}">
                        <c15:formulaRef>
                          <c15:sqref>'Porgy Complex'!$J$4:$J$35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Complex'!$K$4:$K$35</c15:sqref>
                        </c15:formulaRef>
                      </c:ext>
                    </c:extLst>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75674.997017299975</c:v>
                      </c:pt>
                      <c:pt idx="8">
                        <c:v>108188.06766636002</c:v>
                      </c:pt>
                      <c:pt idx="9">
                        <c:v>15200.634627899999</c:v>
                      </c:pt>
                      <c:pt idx="10">
                        <c:v>44012.086911400023</c:v>
                      </c:pt>
                      <c:pt idx="11">
                        <c:v>20103.383808732993</c:v>
                      </c:pt>
                      <c:pt idx="12">
                        <c:v>29048.761660396998</c:v>
                      </c:pt>
                      <c:pt idx="13">
                        <c:v>55771.216516756023</c:v>
                      </c:pt>
                      <c:pt idx="14">
                        <c:v>35557.819187990004</c:v>
                      </c:pt>
                      <c:pt idx="15">
                        <c:v>34714.82301694397</c:v>
                      </c:pt>
                      <c:pt idx="16">
                        <c:v>51610.238246362031</c:v>
                      </c:pt>
                      <c:pt idx="17">
                        <c:v>83182.686323510075</c:v>
                      </c:pt>
                      <c:pt idx="18">
                        <c:v>65701.343448684012</c:v>
                      </c:pt>
                      <c:pt idx="19">
                        <c:v>42206.739460718993</c:v>
                      </c:pt>
                      <c:pt idx="20">
                        <c:v>37214.192742972991</c:v>
                      </c:pt>
                      <c:pt idx="21">
                        <c:v>48393.467010972017</c:v>
                      </c:pt>
                      <c:pt idx="22">
                        <c:v>68243.809243885014</c:v>
                      </c:pt>
                      <c:pt idx="23">
                        <c:v>61133.038585589988</c:v>
                      </c:pt>
                      <c:pt idx="24">
                        <c:v>57614.173756239987</c:v>
                      </c:pt>
                      <c:pt idx="25">
                        <c:v>34170.562346643012</c:v>
                      </c:pt>
                      <c:pt idx="26">
                        <c:v>71849.086539286945</c:v>
                      </c:pt>
                      <c:pt idx="27">
                        <c:v>100703.84680395405</c:v>
                      </c:pt>
                      <c:pt idx="28">
                        <c:v>129107.87096284996</c:v>
                      </c:pt>
                      <c:pt idx="29">
                        <c:v>150061.93544617807</c:v>
                      </c:pt>
                      <c:pt idx="30">
                        <c:v>187878.66666957899</c:v>
                      </c:pt>
                      <c:pt idx="31">
                        <c:v>52271.060046350009</c:v>
                      </c:pt>
                    </c:numCache>
                  </c:numRef>
                </c:yVal>
                <c:smooth val="0"/>
                <c:extLst xmlns:c15="http://schemas.microsoft.com/office/drawing/2012/chart">
                  <c:ext xmlns:c16="http://schemas.microsoft.com/office/drawing/2014/chart" uri="{C3380CC4-5D6E-409C-BE32-E72D297353CC}">
                    <c16:uniqueId val="{00000000-BBFC-428B-9B2B-E0193BCF0BFB}"/>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'Porgy Complex'!$B$42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'Porgy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Complex'!$B$43:$B$48</c15:sqref>
                        </c15:formulaRef>
                      </c:ext>
                    </c:extLst>
                    <c:numCache>
                      <c:formatCode>#,##0</c:formatCode>
                      <c:ptCount val="6"/>
                      <c:pt idx="0">
                        <c:v>54789.003827783032</c:v>
                      </c:pt>
                      <c:pt idx="1">
                        <c:v>54789.003827783032</c:v>
                      </c:pt>
                      <c:pt idx="2">
                        <c:v>54789.003827783032</c:v>
                      </c:pt>
                      <c:pt idx="3">
                        <c:v>54789.003827783032</c:v>
                      </c:pt>
                      <c:pt idx="4">
                        <c:v>54789.003827783032</c:v>
                      </c:pt>
                      <c:pt idx="5">
                        <c:v>54789.003827783032</c:v>
                      </c:pt>
                    </c:numCache>
                  </c:numRef>
                </c:yVal>
                <c:smooth val="0"/>
                <c:extLst xmlns:c15="http://schemas.microsoft.com/office/drawing/2012/chart">
                  <c:ext xmlns:c16="http://schemas.microsoft.com/office/drawing/2014/chart" uri="{C3380CC4-5D6E-409C-BE32-E72D297353CC}">
                    <c16:uniqueId val="{00000001-76CB-443F-A3D2-47D2A4FE673D}"/>
                  </c:ext>
                </c:extLst>
              </c15:ser>
            </c15:filteredScatterSeries>
            <c15:filteredScatterSeries>
              <c15:ser>
                <c:idx val="3"/>
                <c:order val="6"/>
                <c:tx>
                  <c:strRef>
                    <c:extLst xmlns:c15="http://schemas.microsoft.com/office/drawing/2012/chart">
                      <c:ext xmlns:c15="http://schemas.microsoft.com/office/drawing/2012/chart" uri="{02D57815-91ED-43cb-92C2-25804820EDAC}">
                        <c15:formulaRef>
                          <c15:sqref>'Porgy Complex'!$K$42</c15:sqref>
                        </c15:formulaRef>
                      </c:ext>
                    </c:extLst>
                    <c:strCache>
                      <c:ptCount val="1"/>
                      <c:pt idx="0">
                        <c:v>Orig FES ABC/ACL</c:v>
                      </c:pt>
                    </c:strCache>
                  </c:strRef>
                </c:tx>
                <c:spPr>
                  <a:ln w="38100">
                    <a:solidFill>
                      <a:srgbClr val="7030A0"/>
                    </a:solidFill>
                  </a:ln>
                </c:spPr>
                <c:marker>
                  <c:symbol val="none"/>
                </c:marker>
                <c:xVal>
                  <c:numRef>
                    <c:extLst xmlns:c15="http://schemas.microsoft.com/office/drawing/2012/chart">
                      <c:ext xmlns:c15="http://schemas.microsoft.com/office/drawing/2012/chart" uri="{02D57815-91ED-43cb-92C2-25804820EDAC}">
                        <c15:formulaRef>
                          <c15:sqref>'Porgy Complex'!$J$43:$J$48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Complex'!$K$43:$K$48</c15:sqref>
                        </c15:formulaRef>
                      </c:ext>
                    </c:extLst>
                    <c:numCache>
                      <c:formatCode>#,##0</c:formatCode>
                      <c:ptCount val="6"/>
                      <c:pt idx="0">
                        <c:v>55771.216516756023</c:v>
                      </c:pt>
                      <c:pt idx="1">
                        <c:v>55771.216516756023</c:v>
                      </c:pt>
                      <c:pt idx="2">
                        <c:v>55771.216516756023</c:v>
                      </c:pt>
                      <c:pt idx="3">
                        <c:v>55771.216516756023</c:v>
                      </c:pt>
                      <c:pt idx="4">
                        <c:v>55771.216516756023</c:v>
                      </c:pt>
                      <c:pt idx="5">
                        <c:v>55771.216516756023</c:v>
                      </c:pt>
                    </c:numCache>
                  </c:numRef>
                </c:yVal>
                <c:smooth val="0"/>
                <c:extLst xmlns:c15="http://schemas.microsoft.com/office/drawing/2012/chart">
                  <c:ext xmlns:c16="http://schemas.microsoft.com/office/drawing/2014/chart" uri="{C3380CC4-5D6E-409C-BE32-E72D297353CC}">
                    <c16:uniqueId val="{00000001-BBFC-428B-9B2B-E0193BCF0BFB}"/>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3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Porgy Complex Landings</a:t>
            </a:r>
          </a:p>
        </c:rich>
      </c:tx>
      <c:overlay val="0"/>
    </c:title>
    <c:autoTitleDeleted val="0"/>
    <c:plotArea>
      <c:layout/>
      <c:scatterChart>
        <c:scatterStyle val="lineMarker"/>
        <c:varyColors val="0"/>
        <c:ser>
          <c:idx val="0"/>
          <c:order val="0"/>
          <c:tx>
            <c:strRef>
              <c:f>'Porgy Complex'!$K$2</c:f>
              <c:strCache>
                <c:ptCount val="1"/>
                <c:pt idx="0">
                  <c:v>Jolthead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Complex'!$K$4:$K$35</c:f>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75674.997017299975</c:v>
                </c:pt>
                <c:pt idx="8">
                  <c:v>108188.06766636002</c:v>
                </c:pt>
                <c:pt idx="9">
                  <c:v>15200.634627899999</c:v>
                </c:pt>
                <c:pt idx="10">
                  <c:v>44012.086911400023</c:v>
                </c:pt>
                <c:pt idx="11">
                  <c:v>20103.383808732993</c:v>
                </c:pt>
                <c:pt idx="12">
                  <c:v>29048.761660396998</c:v>
                </c:pt>
                <c:pt idx="13">
                  <c:v>55771.216516756023</c:v>
                </c:pt>
                <c:pt idx="14">
                  <c:v>35557.819187990004</c:v>
                </c:pt>
                <c:pt idx="15">
                  <c:v>34714.82301694397</c:v>
                </c:pt>
                <c:pt idx="16">
                  <c:v>51610.238246362031</c:v>
                </c:pt>
                <c:pt idx="17">
                  <c:v>83182.686323510075</c:v>
                </c:pt>
                <c:pt idx="18">
                  <c:v>65701.343448684012</c:v>
                </c:pt>
                <c:pt idx="19">
                  <c:v>42206.739460718993</c:v>
                </c:pt>
                <c:pt idx="20">
                  <c:v>37214.192742972991</c:v>
                </c:pt>
                <c:pt idx="21">
                  <c:v>48393.467010972017</c:v>
                </c:pt>
                <c:pt idx="22">
                  <c:v>68243.809243885014</c:v>
                </c:pt>
                <c:pt idx="23">
                  <c:v>61133.038585589988</c:v>
                </c:pt>
                <c:pt idx="24">
                  <c:v>57614.173756239987</c:v>
                </c:pt>
                <c:pt idx="25">
                  <c:v>34170.562346643012</c:v>
                </c:pt>
                <c:pt idx="26">
                  <c:v>71849.086539286945</c:v>
                </c:pt>
                <c:pt idx="27">
                  <c:v>100703.84680395405</c:v>
                </c:pt>
                <c:pt idx="28">
                  <c:v>129107.87096284996</c:v>
                </c:pt>
                <c:pt idx="29">
                  <c:v>150061.93544617807</c:v>
                </c:pt>
                <c:pt idx="30">
                  <c:v>187878.66666957899</c:v>
                </c:pt>
                <c:pt idx="31">
                  <c:v>52271.060046350009</c:v>
                </c:pt>
              </c:numCache>
            </c:numRef>
          </c:yVal>
          <c:smooth val="0"/>
          <c:extLst>
            <c:ext xmlns:c16="http://schemas.microsoft.com/office/drawing/2014/chart" uri="{C3380CC4-5D6E-409C-BE32-E72D297353CC}">
              <c16:uniqueId val="{00000000-43D0-4227-B31A-F95D35301B02}"/>
            </c:ext>
          </c:extLst>
        </c:ser>
        <c:ser>
          <c:idx val="1"/>
          <c:order val="1"/>
          <c:tx>
            <c:strRef>
              <c:f>'Porgy Complex'!$L$2</c:f>
              <c:strCache>
                <c:ptCount val="1"/>
                <c:pt idx="0">
                  <c:v>Knobbed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Complex'!$L$4:$L$35</c:f>
              <c:numCache>
                <c:formatCode>#,##0</c:formatCode>
                <c:ptCount val="32"/>
                <c:pt idx="0">
                  <c:v>69400.25746199998</c:v>
                </c:pt>
                <c:pt idx="1">
                  <c:v>109782.49703312</c:v>
                </c:pt>
                <c:pt idx="2">
                  <c:v>195076.39382601998</c:v>
                </c:pt>
                <c:pt idx="3">
                  <c:v>82944.650229507009</c:v>
                </c:pt>
                <c:pt idx="4">
                  <c:v>163169.37712526001</c:v>
                </c:pt>
                <c:pt idx="5">
                  <c:v>84245.548733610005</c:v>
                </c:pt>
                <c:pt idx="6">
                  <c:v>83990.220186750026</c:v>
                </c:pt>
                <c:pt idx="7">
                  <c:v>107799.74682408001</c:v>
                </c:pt>
                <c:pt idx="8">
                  <c:v>106621.81004995003</c:v>
                </c:pt>
                <c:pt idx="9">
                  <c:v>99798.705880329973</c:v>
                </c:pt>
                <c:pt idx="10">
                  <c:v>71619.398264616</c:v>
                </c:pt>
                <c:pt idx="11">
                  <c:v>63450.376008896004</c:v>
                </c:pt>
                <c:pt idx="12">
                  <c:v>70127.846393400003</c:v>
                </c:pt>
                <c:pt idx="13">
                  <c:v>75872.055511729006</c:v>
                </c:pt>
                <c:pt idx="14">
                  <c:v>84230.294886588992</c:v>
                </c:pt>
                <c:pt idx="15">
                  <c:v>76155.923688684008</c:v>
                </c:pt>
                <c:pt idx="16">
                  <c:v>82822.132145634008</c:v>
                </c:pt>
                <c:pt idx="17">
                  <c:v>59730.025310161996</c:v>
                </c:pt>
                <c:pt idx="18">
                  <c:v>61310.160797154225</c:v>
                </c:pt>
                <c:pt idx="19">
                  <c:v>68679.382317030977</c:v>
                </c:pt>
                <c:pt idx="20">
                  <c:v>38971.176612061005</c:v>
                </c:pt>
                <c:pt idx="21">
                  <c:v>43282.884028027001</c:v>
                </c:pt>
                <c:pt idx="22">
                  <c:v>47508.079365105994</c:v>
                </c:pt>
                <c:pt idx="23">
                  <c:v>48964.101307354009</c:v>
                </c:pt>
                <c:pt idx="24">
                  <c:v>39751.951464341</c:v>
                </c:pt>
                <c:pt idx="25">
                  <c:v>35582.957305839998</c:v>
                </c:pt>
                <c:pt idx="26">
                  <c:v>79511.22835284</c:v>
                </c:pt>
                <c:pt idx="27">
                  <c:v>59168.070598002007</c:v>
                </c:pt>
                <c:pt idx="28">
                  <c:v>64233.804396060004</c:v>
                </c:pt>
                <c:pt idx="29">
                  <c:v>23642.698349576</c:v>
                </c:pt>
                <c:pt idx="30">
                  <c:v>15889.079866831</c:v>
                </c:pt>
                <c:pt idx="31">
                  <c:v>18815.554278540003</c:v>
                </c:pt>
              </c:numCache>
            </c:numRef>
          </c:yVal>
          <c:smooth val="0"/>
          <c:extLst>
            <c:ext xmlns:c16="http://schemas.microsoft.com/office/drawing/2014/chart" uri="{C3380CC4-5D6E-409C-BE32-E72D297353CC}">
              <c16:uniqueId val="{00000001-43D0-4227-B31A-F95D35301B02}"/>
            </c:ext>
          </c:extLst>
        </c:ser>
        <c:ser>
          <c:idx val="2"/>
          <c:order val="2"/>
          <c:tx>
            <c:strRef>
              <c:f>'Porgy Complex'!$M$2</c:f>
              <c:strCache>
                <c:ptCount val="1"/>
                <c:pt idx="0">
                  <c:v>Saucereye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Complex'!$M$4:$M$35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24597.859115310006</c:v>
                </c:pt>
                <c:pt idx="9">
                  <c:v>7370.8616677000018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122.60705220000001</c:v>
                </c:pt>
                <c:pt idx="30">
                  <c:v>227.32671899000005</c:v>
                </c:pt>
                <c:pt idx="31">
                  <c:v>3.1195089999999999</c:v>
                </c:pt>
              </c:numCache>
            </c:numRef>
          </c:yVal>
          <c:smooth val="0"/>
          <c:extLst>
            <c:ext xmlns:c16="http://schemas.microsoft.com/office/drawing/2014/chart" uri="{C3380CC4-5D6E-409C-BE32-E72D297353CC}">
              <c16:uniqueId val="{00000002-43D0-4227-B31A-F95D35301B02}"/>
            </c:ext>
          </c:extLst>
        </c:ser>
        <c:ser>
          <c:idx val="3"/>
          <c:order val="3"/>
          <c:tx>
            <c:strRef>
              <c:f>'Porgy Complex'!$N$2</c:f>
              <c:strCache>
                <c:ptCount val="1"/>
                <c:pt idx="0">
                  <c:v>Scup</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Complex'!$N$4:$N$35</c:f>
              <c:numCache>
                <c:formatCode>#,##0</c:formatCode>
                <c:ptCount val="32"/>
                <c:pt idx="0">
                  <c:v>41015.282393699999</c:v>
                </c:pt>
                <c:pt idx="1">
                  <c:v>45103.153365010003</c:v>
                </c:pt>
                <c:pt idx="2">
                  <c:v>5812.1984174699992</c:v>
                </c:pt>
                <c:pt idx="3">
                  <c:v>8577.3278204149992</c:v>
                </c:pt>
                <c:pt idx="4">
                  <c:v>3734.4780680000003</c:v>
                </c:pt>
                <c:pt idx="5">
                  <c:v>28552.498745199999</c:v>
                </c:pt>
                <c:pt idx="6">
                  <c:v>8479.4158070689973</c:v>
                </c:pt>
                <c:pt idx="7">
                  <c:v>13366.550886759998</c:v>
                </c:pt>
                <c:pt idx="8">
                  <c:v>44441.163961890001</c:v>
                </c:pt>
                <c:pt idx="9">
                  <c:v>17409.051810430996</c:v>
                </c:pt>
                <c:pt idx="10">
                  <c:v>8675.1703705339987</c:v>
                </c:pt>
                <c:pt idx="11">
                  <c:v>33655.963114734994</c:v>
                </c:pt>
                <c:pt idx="12">
                  <c:v>4626.446661392999</c:v>
                </c:pt>
                <c:pt idx="13">
                  <c:v>385.35789399999993</c:v>
                </c:pt>
                <c:pt idx="14">
                  <c:v>648.94605599999988</c:v>
                </c:pt>
                <c:pt idx="15">
                  <c:v>15623.0758618</c:v>
                </c:pt>
                <c:pt idx="16">
                  <c:v>3636.9492592700003</c:v>
                </c:pt>
                <c:pt idx="17">
                  <c:v>9231.9391079999987</c:v>
                </c:pt>
                <c:pt idx="18">
                  <c:v>8498.6262273089978</c:v>
                </c:pt>
                <c:pt idx="19">
                  <c:v>20942.297840310006</c:v>
                </c:pt>
                <c:pt idx="20">
                  <c:v>10177.172159155001</c:v>
                </c:pt>
                <c:pt idx="21">
                  <c:v>8236.380698697998</c:v>
                </c:pt>
                <c:pt idx="22">
                  <c:v>5886.4109562000003</c:v>
                </c:pt>
                <c:pt idx="23">
                  <c:v>8898.034930400001</c:v>
                </c:pt>
                <c:pt idx="24">
                  <c:v>13444.13836628</c:v>
                </c:pt>
                <c:pt idx="25">
                  <c:v>8507.5984832446993</c:v>
                </c:pt>
                <c:pt idx="26">
                  <c:v>8818.0187824419991</c:v>
                </c:pt>
                <c:pt idx="27">
                  <c:v>7171.1183265049985</c:v>
                </c:pt>
                <c:pt idx="28">
                  <c:v>12075.385292209998</c:v>
                </c:pt>
                <c:pt idx="29">
                  <c:v>11555.5630651054</c:v>
                </c:pt>
                <c:pt idx="30">
                  <c:v>7983.9571500000011</c:v>
                </c:pt>
                <c:pt idx="31">
                  <c:v>10546.021462265999</c:v>
                </c:pt>
              </c:numCache>
            </c:numRef>
          </c:yVal>
          <c:smooth val="0"/>
          <c:extLst>
            <c:ext xmlns:c16="http://schemas.microsoft.com/office/drawing/2014/chart" uri="{C3380CC4-5D6E-409C-BE32-E72D297353CC}">
              <c16:uniqueId val="{00000003-43D0-4227-B31A-F95D35301B02}"/>
            </c:ext>
          </c:extLst>
        </c:ser>
        <c:ser>
          <c:idx val="4"/>
          <c:order val="4"/>
          <c:tx>
            <c:strRef>
              <c:f>'Porgy Complex'!$O$2</c:f>
              <c:strCache>
                <c:ptCount val="1"/>
                <c:pt idx="0">
                  <c:v>Whitebone Porgy</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Complex'!$O$4:$O$35</c:f>
              <c:numCache>
                <c:formatCode>#,##0</c:formatCode>
                <c:ptCount val="32"/>
                <c:pt idx="0">
                  <c:v>26413.3026918</c:v>
                </c:pt>
                <c:pt idx="1">
                  <c:v>41839.770072209998</c:v>
                </c:pt>
                <c:pt idx="2">
                  <c:v>40617.576119963996</c:v>
                </c:pt>
                <c:pt idx="3">
                  <c:v>48892.884334030015</c:v>
                </c:pt>
                <c:pt idx="4">
                  <c:v>36463.586835690017</c:v>
                </c:pt>
                <c:pt idx="5">
                  <c:v>77713.986086136982</c:v>
                </c:pt>
                <c:pt idx="6">
                  <c:v>64879.784360109988</c:v>
                </c:pt>
                <c:pt idx="7">
                  <c:v>40378.460486153985</c:v>
                </c:pt>
                <c:pt idx="8">
                  <c:v>33251.561826719997</c:v>
                </c:pt>
                <c:pt idx="9">
                  <c:v>38658.46191237001</c:v>
                </c:pt>
                <c:pt idx="10">
                  <c:v>40099.627645379987</c:v>
                </c:pt>
                <c:pt idx="11">
                  <c:v>100781.11607759999</c:v>
                </c:pt>
                <c:pt idx="12">
                  <c:v>21366.490322449004</c:v>
                </c:pt>
                <c:pt idx="13">
                  <c:v>17509.668714033007</c:v>
                </c:pt>
                <c:pt idx="14">
                  <c:v>67263.673567558013</c:v>
                </c:pt>
                <c:pt idx="15">
                  <c:v>50359.464171726082</c:v>
                </c:pt>
                <c:pt idx="16">
                  <c:v>55133.972790232998</c:v>
                </c:pt>
                <c:pt idx="17">
                  <c:v>37155.075439093998</c:v>
                </c:pt>
                <c:pt idx="18">
                  <c:v>16705.245390252003</c:v>
                </c:pt>
                <c:pt idx="19">
                  <c:v>41386.741246906</c:v>
                </c:pt>
                <c:pt idx="20">
                  <c:v>17589.446281611494</c:v>
                </c:pt>
                <c:pt idx="21">
                  <c:v>37547.279768691995</c:v>
                </c:pt>
                <c:pt idx="22">
                  <c:v>52865.962689391999</c:v>
                </c:pt>
                <c:pt idx="23">
                  <c:v>15214.709659033997</c:v>
                </c:pt>
                <c:pt idx="24">
                  <c:v>58796.470306287265</c:v>
                </c:pt>
                <c:pt idx="25">
                  <c:v>51228.768333282009</c:v>
                </c:pt>
                <c:pt idx="26">
                  <c:v>50464.805824834293</c:v>
                </c:pt>
                <c:pt idx="27">
                  <c:v>44426.300823270001</c:v>
                </c:pt>
                <c:pt idx="28">
                  <c:v>141844.19382347894</c:v>
                </c:pt>
                <c:pt idx="29">
                  <c:v>54967.351508129992</c:v>
                </c:pt>
                <c:pt idx="30">
                  <c:v>54092.553692534028</c:v>
                </c:pt>
                <c:pt idx="31">
                  <c:v>52362.497179248021</c:v>
                </c:pt>
              </c:numCache>
            </c:numRef>
          </c:yVal>
          <c:smooth val="0"/>
          <c:extLst>
            <c:ext xmlns:c16="http://schemas.microsoft.com/office/drawing/2014/chart" uri="{C3380CC4-5D6E-409C-BE32-E72D297353CC}">
              <c16:uniqueId val="{00000004-43D0-4227-B31A-F95D35301B02}"/>
            </c:ext>
          </c:extLst>
        </c:ser>
        <c:ser>
          <c:idx val="5"/>
          <c:order val="5"/>
          <c:tx>
            <c:strRef>
              <c:f>'Porgy Complex'!$P$2</c:f>
              <c:strCache>
                <c:ptCount val="1"/>
                <c:pt idx="0">
                  <c:v>Total</c:v>
                </c:pt>
              </c:strCache>
            </c:strRef>
          </c:tx>
          <c:spPr>
            <a:ln>
              <a:solidFill>
                <a:schemeClr val="tx2"/>
              </a:solidFill>
            </a:ln>
          </c:spPr>
          <c:marker>
            <c:symbol val="star"/>
            <c:size val="7"/>
            <c:spPr>
              <a:ln>
                <a:solidFill>
                  <a:srgbClr val="FF0000"/>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Complex'!$P$4:$P$35</c:f>
              <c:numCache>
                <c:formatCode>#,##0</c:formatCode>
                <c:ptCount val="32"/>
                <c:pt idx="0">
                  <c:v>424294.98248885002</c:v>
                </c:pt>
                <c:pt idx="1">
                  <c:v>238595.11865384004</c:v>
                </c:pt>
                <c:pt idx="2">
                  <c:v>264168.94905823399</c:v>
                </c:pt>
                <c:pt idx="3">
                  <c:v>174654.42941055199</c:v>
                </c:pt>
                <c:pt idx="4">
                  <c:v>227644.82365156003</c:v>
                </c:pt>
                <c:pt idx="5">
                  <c:v>215981.80939144699</c:v>
                </c:pt>
                <c:pt idx="6">
                  <c:v>204250.14501250902</c:v>
                </c:pt>
                <c:pt idx="7">
                  <c:v>245562.43883847399</c:v>
                </c:pt>
                <c:pt idx="8">
                  <c:v>317100.46262023004</c:v>
                </c:pt>
                <c:pt idx="9">
                  <c:v>178437.71589873097</c:v>
                </c:pt>
                <c:pt idx="10">
                  <c:v>168225.59836993003</c:v>
                </c:pt>
                <c:pt idx="11">
                  <c:v>220729.61358996399</c:v>
                </c:pt>
                <c:pt idx="12">
                  <c:v>127685.35675252901</c:v>
                </c:pt>
                <c:pt idx="13">
                  <c:v>162602.59082501801</c:v>
                </c:pt>
                <c:pt idx="14">
                  <c:v>191013.61179643701</c:v>
                </c:pt>
                <c:pt idx="15">
                  <c:v>181545.26519905406</c:v>
                </c:pt>
                <c:pt idx="16">
                  <c:v>197606.61818981907</c:v>
                </c:pt>
                <c:pt idx="17">
                  <c:v>193672.48431865004</c:v>
                </c:pt>
                <c:pt idx="18">
                  <c:v>154813.75919556824</c:v>
                </c:pt>
                <c:pt idx="19">
                  <c:v>178937.42492561296</c:v>
                </c:pt>
                <c:pt idx="20">
                  <c:v>108629.2016582035</c:v>
                </c:pt>
                <c:pt idx="21">
                  <c:v>138419.29752609698</c:v>
                </c:pt>
                <c:pt idx="22">
                  <c:v>175188.83023738299</c:v>
                </c:pt>
                <c:pt idx="23">
                  <c:v>135466.43445607799</c:v>
                </c:pt>
                <c:pt idx="24">
                  <c:v>171237.70274864824</c:v>
                </c:pt>
                <c:pt idx="25">
                  <c:v>129926.50749900972</c:v>
                </c:pt>
                <c:pt idx="26">
                  <c:v>217560.04613859326</c:v>
                </c:pt>
                <c:pt idx="27">
                  <c:v>216109.25921888105</c:v>
                </c:pt>
                <c:pt idx="28">
                  <c:v>347295.22956519888</c:v>
                </c:pt>
                <c:pt idx="29">
                  <c:v>240350.1554211895</c:v>
                </c:pt>
                <c:pt idx="30">
                  <c:v>266071.58409793401</c:v>
                </c:pt>
                <c:pt idx="31">
                  <c:v>133998.25247540404</c:v>
                </c:pt>
              </c:numCache>
            </c:numRef>
          </c:yVal>
          <c:smooth val="0"/>
          <c:extLst>
            <c:ext xmlns:c16="http://schemas.microsoft.com/office/drawing/2014/chart" uri="{C3380CC4-5D6E-409C-BE32-E72D297353CC}">
              <c16:uniqueId val="{00000005-43D0-4227-B31A-F95D35301B02}"/>
            </c:ext>
          </c:extLst>
        </c:ser>
        <c:ser>
          <c:idx val="6"/>
          <c:order val="6"/>
          <c:tx>
            <c:strRef>
              <c:f>'Porgy Complex'!$Q$2</c:f>
              <c:strCache>
                <c:ptCount val="1"/>
                <c:pt idx="0">
                  <c:v>Orig FES ABC/ACL</c:v>
                </c:pt>
              </c:strCache>
            </c:strRef>
          </c:tx>
          <c:spPr>
            <a:ln w="38100">
              <a:solidFill>
                <a:schemeClr val="tx1"/>
              </a:solidFill>
            </a:ln>
          </c:spPr>
          <c:marker>
            <c:symbol val="none"/>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Complex'!$Q$4:$Q$35</c:f>
              <c:numCache>
                <c:formatCode>#,##0</c:formatCode>
                <c:ptCount val="32"/>
                <c:pt idx="26">
                  <c:v>150321.28537569108</c:v>
                </c:pt>
                <c:pt idx="27">
                  <c:v>150321.28537569108</c:v>
                </c:pt>
                <c:pt idx="28">
                  <c:v>150321.28537569108</c:v>
                </c:pt>
                <c:pt idx="29">
                  <c:v>150321.28537569108</c:v>
                </c:pt>
                <c:pt idx="30">
                  <c:v>150321.28537569108</c:v>
                </c:pt>
                <c:pt idx="31">
                  <c:v>150321.28537569108</c:v>
                </c:pt>
              </c:numCache>
            </c:numRef>
          </c:yVal>
          <c:smooth val="0"/>
          <c:extLst>
            <c:ext xmlns:c16="http://schemas.microsoft.com/office/drawing/2014/chart" uri="{C3380CC4-5D6E-409C-BE32-E72D297353CC}">
              <c16:uniqueId val="{00000006-43D0-4227-B31A-F95D35301B02}"/>
            </c:ext>
          </c:extLst>
        </c:ser>
        <c:dLbls>
          <c:showLegendKey val="0"/>
          <c:showVal val="0"/>
          <c:showCatName val="0"/>
          <c:showSerName val="0"/>
          <c:showPercent val="0"/>
          <c:showBubbleSize val="0"/>
        </c:dLbls>
        <c:axId val="345227264"/>
        <c:axId val="345227840"/>
      </c:scatterChart>
      <c:valAx>
        <c:axId val="34522726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27840"/>
        <c:crosses val="autoZero"/>
        <c:crossBetween val="midCat"/>
      </c:valAx>
      <c:valAx>
        <c:axId val="3452278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27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4"/>
          <c:order val="2"/>
          <c:tx>
            <c:strRef>
              <c:f>'Porgy Complex'!$AD$3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Complex'!$AD$4:$AD$35</c:f>
              <c:numCache>
                <c:formatCode>#,##0</c:formatCode>
                <c:ptCount val="32"/>
                <c:pt idx="0">
                  <c:v>36962.257461999987</c:v>
                </c:pt>
                <c:pt idx="1">
                  <c:v>59655.497380819987</c:v>
                </c:pt>
                <c:pt idx="2">
                  <c:v>120086.93927134997</c:v>
                </c:pt>
                <c:pt idx="3">
                  <c:v>44990.794432707007</c:v>
                </c:pt>
                <c:pt idx="4">
                  <c:v>119255.69944996004</c:v>
                </c:pt>
                <c:pt idx="5">
                  <c:v>37960.173868960002</c:v>
                </c:pt>
                <c:pt idx="6">
                  <c:v>40948.066181250004</c:v>
                </c:pt>
                <c:pt idx="7">
                  <c:v>63573.560666080011</c:v>
                </c:pt>
                <c:pt idx="8">
                  <c:v>68529.391578249953</c:v>
                </c:pt>
                <c:pt idx="9">
                  <c:v>56349.700970429971</c:v>
                </c:pt>
                <c:pt idx="10">
                  <c:v>32364.704731736001</c:v>
                </c:pt>
                <c:pt idx="11">
                  <c:v>26906.193891407005</c:v>
                </c:pt>
                <c:pt idx="12">
                  <c:v>27267.179578440002</c:v>
                </c:pt>
                <c:pt idx="13">
                  <c:v>31160.641002877001</c:v>
                </c:pt>
                <c:pt idx="14">
                  <c:v>49828.565405583009</c:v>
                </c:pt>
                <c:pt idx="15">
                  <c:v>33432.463111784004</c:v>
                </c:pt>
                <c:pt idx="16">
                  <c:v>46662.333836634018</c:v>
                </c:pt>
                <c:pt idx="17">
                  <c:v>42331.011496361993</c:v>
                </c:pt>
                <c:pt idx="18">
                  <c:v>45346.65430165422</c:v>
                </c:pt>
                <c:pt idx="19">
                  <c:v>57428.840227630993</c:v>
                </c:pt>
                <c:pt idx="20">
                  <c:v>15980.942787624999</c:v>
                </c:pt>
                <c:pt idx="21">
                  <c:v>23635.562468505006</c:v>
                </c:pt>
                <c:pt idx="22">
                  <c:v>21412.971560087997</c:v>
                </c:pt>
                <c:pt idx="23">
                  <c:v>26921.065251199012</c:v>
                </c:pt>
                <c:pt idx="24">
                  <c:v>16735.388280079995</c:v>
                </c:pt>
                <c:pt idx="25">
                  <c:v>8175.9734874799997</c:v>
                </c:pt>
                <c:pt idx="26">
                  <c:v>56167.996043520005</c:v>
                </c:pt>
                <c:pt idx="27">
                  <c:v>29990.364952081993</c:v>
                </c:pt>
                <c:pt idx="28">
                  <c:v>30071.56440452001</c:v>
                </c:pt>
                <c:pt idx="29">
                  <c:v>12718.995058327997</c:v>
                </c:pt>
                <c:pt idx="30">
                  <c:v>6905.876981763</c:v>
                </c:pt>
                <c:pt idx="31">
                  <c:v>4403.8075801850009</c:v>
                </c:pt>
              </c:numCache>
            </c:numRef>
          </c:yVal>
          <c:smooth val="0"/>
          <c:extLst>
            <c:ext xmlns:c16="http://schemas.microsoft.com/office/drawing/2014/chart" uri="{C3380CC4-5D6E-409C-BE32-E72D297353CC}">
              <c16:uniqueId val="{00000002-6BED-4DE3-BA5B-CB1719E38D6D}"/>
            </c:ext>
          </c:extLst>
        </c:ser>
        <c:ser>
          <c:idx val="5"/>
          <c:order val="3"/>
          <c:tx>
            <c:strRef>
              <c:f>'Porgy Complex'!$AL$3</c:f>
              <c:strCache>
                <c:ptCount val="1"/>
                <c:pt idx="0">
                  <c:v>Orig FES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Complex'!$AL$4:$AL$35</c:f>
              <c:numCache>
                <c:formatCode>#,##0</c:formatCode>
                <c:ptCount val="32"/>
                <c:pt idx="0">
                  <c:v>36962.257461999987</c:v>
                </c:pt>
                <c:pt idx="1">
                  <c:v>58722.497033120002</c:v>
                </c:pt>
                <c:pt idx="2">
                  <c:v>120068.39382601998</c:v>
                </c:pt>
                <c:pt idx="3">
                  <c:v>48621.650229507017</c:v>
                </c:pt>
                <c:pt idx="4">
                  <c:v>119030.37712526003</c:v>
                </c:pt>
                <c:pt idx="5">
                  <c:v>37954.548733610005</c:v>
                </c:pt>
                <c:pt idx="6">
                  <c:v>40647.220186750019</c:v>
                </c:pt>
                <c:pt idx="7">
                  <c:v>64362.746824080008</c:v>
                </c:pt>
                <c:pt idx="8">
                  <c:v>68100.810049950029</c:v>
                </c:pt>
                <c:pt idx="9">
                  <c:v>55292.705880329973</c:v>
                </c:pt>
                <c:pt idx="10">
                  <c:v>29499.398264615997</c:v>
                </c:pt>
                <c:pt idx="11">
                  <c:v>26900.376008896004</c:v>
                </c:pt>
                <c:pt idx="12">
                  <c:v>27253.846393400003</c:v>
                </c:pt>
                <c:pt idx="13">
                  <c:v>31575.055511729002</c:v>
                </c:pt>
                <c:pt idx="14">
                  <c:v>48681.294886588999</c:v>
                </c:pt>
                <c:pt idx="15">
                  <c:v>32135.923688684004</c:v>
                </c:pt>
                <c:pt idx="16">
                  <c:v>45887.132145634008</c:v>
                </c:pt>
                <c:pt idx="17">
                  <c:v>41919.025310161996</c:v>
                </c:pt>
                <c:pt idx="18">
                  <c:v>45147.160797154225</c:v>
                </c:pt>
                <c:pt idx="19">
                  <c:v>54386.382317030984</c:v>
                </c:pt>
                <c:pt idx="20">
                  <c:v>15975.176612061003</c:v>
                </c:pt>
                <c:pt idx="21">
                  <c:v>22903.884028027001</c:v>
                </c:pt>
                <c:pt idx="22">
                  <c:v>22552.079365105994</c:v>
                </c:pt>
                <c:pt idx="23">
                  <c:v>28111.101307354009</c:v>
                </c:pt>
                <c:pt idx="24">
                  <c:v>16296.951464340998</c:v>
                </c:pt>
                <c:pt idx="25">
                  <c:v>8172.9573058400001</c:v>
                </c:pt>
                <c:pt idx="26">
                  <c:v>57575.228352840008</c:v>
                </c:pt>
                <c:pt idx="27">
                  <c:v>36675.070598002007</c:v>
                </c:pt>
                <c:pt idx="28">
                  <c:v>31665.804396060008</c:v>
                </c:pt>
                <c:pt idx="29">
                  <c:v>12711.698349575998</c:v>
                </c:pt>
                <c:pt idx="30">
                  <c:v>6903.0798668309999</c:v>
                </c:pt>
                <c:pt idx="31">
                  <c:v>4403.5542785400012</c:v>
                </c:pt>
              </c:numCache>
            </c:numRef>
          </c:yVal>
          <c:smooth val="0"/>
          <c:extLst>
            <c:ext xmlns:c16="http://schemas.microsoft.com/office/drawing/2014/chart" uri="{C3380CC4-5D6E-409C-BE32-E72D297353CC}">
              <c16:uniqueId val="{00000003-6BED-4DE3-BA5B-CB1719E38D6D}"/>
            </c:ext>
          </c:extLst>
        </c:ser>
        <c:ser>
          <c:idx val="6"/>
          <c:order val="4"/>
          <c:tx>
            <c:strRef>
              <c:f>'Porgy Complex'!$AD$106</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'Porgy Complex'!$X$107:$X$138</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Complex'!$AD$107:$AD$138</c:f>
              <c:numCache>
                <c:formatCode>#,##0</c:formatCode>
                <c:ptCount val="32"/>
                <c:pt idx="0">
                  <c:v>36962.257461999987</c:v>
                </c:pt>
                <c:pt idx="1">
                  <c:v>47395.372867738413</c:v>
                </c:pt>
                <c:pt idx="3">
                  <c:v>40352.327466360293</c:v>
                </c:pt>
                <c:pt idx="4">
                  <c:v>103413.72218621774</c:v>
                </c:pt>
                <c:pt idx="5">
                  <c:v>35689.57805730695</c:v>
                </c:pt>
                <c:pt idx="6">
                  <c:v>37766.330674887664</c:v>
                </c:pt>
                <c:pt idx="7">
                  <c:v>55848.849306137337</c:v>
                </c:pt>
                <c:pt idx="8">
                  <c:v>70704.918258517049</c:v>
                </c:pt>
                <c:pt idx="9">
                  <c:v>58684.398688688438</c:v>
                </c:pt>
                <c:pt idx="10">
                  <c:v>31161.295694024142</c:v>
                </c:pt>
                <c:pt idx="11">
                  <c:v>25278.162133713828</c:v>
                </c:pt>
                <c:pt idx="12">
                  <c:v>28032.166880841694</c:v>
                </c:pt>
                <c:pt idx="13">
                  <c:v>27509.795884950294</c:v>
                </c:pt>
                <c:pt idx="14">
                  <c:v>39835.349267072248</c:v>
                </c:pt>
                <c:pt idx="15">
                  <c:v>27395.666761290566</c:v>
                </c:pt>
                <c:pt idx="16">
                  <c:v>34253.19585480247</c:v>
                </c:pt>
                <c:pt idx="17">
                  <c:v>34014.762012415609</c:v>
                </c:pt>
                <c:pt idx="18">
                  <c:v>42185.734650174425</c:v>
                </c:pt>
                <c:pt idx="19">
                  <c:v>56388.689011110451</c:v>
                </c:pt>
                <c:pt idx="20">
                  <c:v>15942.778421695908</c:v>
                </c:pt>
                <c:pt idx="21">
                  <c:v>22035.273496031161</c:v>
                </c:pt>
                <c:pt idx="22">
                  <c:v>17212.475469570127</c:v>
                </c:pt>
                <c:pt idx="23">
                  <c:v>25443.286310617252</c:v>
                </c:pt>
                <c:pt idx="24">
                  <c:v>13282.922730899198</c:v>
                </c:pt>
                <c:pt idx="25">
                  <c:v>7679.9179265175471</c:v>
                </c:pt>
                <c:pt idx="26">
                  <c:v>53559.153650154782</c:v>
                </c:pt>
                <c:pt idx="27">
                  <c:v>30937.359408802833</c:v>
                </c:pt>
                <c:pt idx="28">
                  <c:v>27425.720116190601</c:v>
                </c:pt>
                <c:pt idx="29">
                  <c:v>10466.577940543742</c:v>
                </c:pt>
                <c:pt idx="30">
                  <c:v>6239.8945970193035</c:v>
                </c:pt>
                <c:pt idx="31">
                  <c:v>4466.4494912478594</c:v>
                </c:pt>
              </c:numCache>
            </c:numRef>
          </c:yVal>
          <c:smooth val="0"/>
          <c:extLst>
            <c:ext xmlns:c16="http://schemas.microsoft.com/office/drawing/2014/chart" uri="{C3380CC4-5D6E-409C-BE32-E72D297353CC}">
              <c16:uniqueId val="{00000006-6BED-4DE3-BA5B-CB1719E38D6D}"/>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0"/>
                <c:order val="0"/>
                <c:tx>
                  <c:strRef>
                    <c:extLst>
                      <c:ext uri="{02D57815-91ED-43cb-92C2-25804820EDAC}">
                        <c15:formulaRef>
                          <c15:sqref>'Porgy Complex'!$C$3</c15:sqref>
                        </c15:formulaRef>
                      </c:ext>
                    </c:extLst>
                    <c:strCache>
                      <c:ptCount val="1"/>
                      <c:pt idx="0">
                        <c:v>Total New Wgt</c:v>
                      </c:pt>
                    </c:strCache>
                  </c:strRef>
                </c:tx>
                <c:xVal>
                  <c:numRef>
                    <c:extLst>
                      <c:ext uri="{02D57815-91ED-43cb-92C2-25804820EDAC}">
                        <c15:formulaRef>
                          <c15:sqref>'Porgy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Complex'!$C$4:$C$35</c15:sqref>
                        </c15:formulaRef>
                      </c:ext>
                    </c:extLst>
                    <c:numCache>
                      <c:formatCode>#,##0</c:formatCode>
                      <c:ptCount val="32"/>
                      <c:pt idx="0">
                        <c:v>69400.25746199998</c:v>
                      </c:pt>
                      <c:pt idx="1">
                        <c:v>110715.49738081999</c:v>
                      </c:pt>
                      <c:pt idx="2">
                        <c:v>195094.93927134998</c:v>
                      </c:pt>
                      <c:pt idx="3">
                        <c:v>79313.794432707014</c:v>
                      </c:pt>
                      <c:pt idx="4">
                        <c:v>163394.69944996003</c:v>
                      </c:pt>
                      <c:pt idx="5">
                        <c:v>84251.173868960002</c:v>
                      </c:pt>
                      <c:pt idx="6">
                        <c:v>84291.066181250004</c:v>
                      </c:pt>
                      <c:pt idx="7">
                        <c:v>107010.56066608001</c:v>
                      </c:pt>
                      <c:pt idx="8">
                        <c:v>107050.39157824995</c:v>
                      </c:pt>
                      <c:pt idx="9">
                        <c:v>100855.70097042997</c:v>
                      </c:pt>
                      <c:pt idx="10">
                        <c:v>74484.704731735997</c:v>
                      </c:pt>
                      <c:pt idx="11">
                        <c:v>63456.193891407005</c:v>
                      </c:pt>
                      <c:pt idx="12">
                        <c:v>70141.179578440002</c:v>
                      </c:pt>
                      <c:pt idx="13">
                        <c:v>75457.641002877004</c:v>
                      </c:pt>
                      <c:pt idx="14">
                        <c:v>85377.565405583009</c:v>
                      </c:pt>
                      <c:pt idx="15">
                        <c:v>77452.463111784004</c:v>
                      </c:pt>
                      <c:pt idx="16">
                        <c:v>83597.333836634018</c:v>
                      </c:pt>
                      <c:pt idx="17">
                        <c:v>60142.011496361993</c:v>
                      </c:pt>
                      <c:pt idx="18">
                        <c:v>61509.65430165422</c:v>
                      </c:pt>
                      <c:pt idx="19">
                        <c:v>71721.840227630993</c:v>
                      </c:pt>
                      <c:pt idx="20">
                        <c:v>38976.942787624997</c:v>
                      </c:pt>
                      <c:pt idx="21">
                        <c:v>44014.562468505006</c:v>
                      </c:pt>
                      <c:pt idx="22">
                        <c:v>46368.971560088001</c:v>
                      </c:pt>
                      <c:pt idx="23">
                        <c:v>47774.065251199012</c:v>
                      </c:pt>
                      <c:pt idx="24">
                        <c:v>40190.388280079991</c:v>
                      </c:pt>
                      <c:pt idx="25">
                        <c:v>35585.973487479998</c:v>
                      </c:pt>
                      <c:pt idx="26">
                        <c:v>78103.996043520005</c:v>
                      </c:pt>
                      <c:pt idx="27">
                        <c:v>52483.364952081989</c:v>
                      </c:pt>
                      <c:pt idx="28">
                        <c:v>62639.56440452001</c:v>
                      </c:pt>
                      <c:pt idx="29">
                        <c:v>23649.995058327997</c:v>
                      </c:pt>
                      <c:pt idx="30">
                        <c:v>15891.876981763</c:v>
                      </c:pt>
                      <c:pt idx="31">
                        <c:v>18815.807580184999</c:v>
                      </c:pt>
                    </c:numCache>
                  </c:numRef>
                </c:yVal>
                <c:smooth val="0"/>
                <c:extLst>
                  <c:ext xmlns:c16="http://schemas.microsoft.com/office/drawing/2014/chart" uri="{C3380CC4-5D6E-409C-BE32-E72D297353CC}">
                    <c16:uniqueId val="{00000000-6BED-4DE3-BA5B-CB1719E38D6D}"/>
                  </c:ext>
                </c:extLst>
              </c15:ser>
            </c15:filteredScatterSeries>
            <c15:filteredScatterSeries>
              <c15:ser>
                <c:idx val="2"/>
                <c:order val="1"/>
                <c:tx>
                  <c:strRef>
                    <c:extLst xmlns:c15="http://schemas.microsoft.com/office/drawing/2012/chart">
                      <c:ext xmlns:c15="http://schemas.microsoft.com/office/drawing/2012/chart" uri="{02D57815-91ED-43cb-92C2-25804820EDAC}">
                        <c15:formulaRef>
                          <c15:sqref>'Porgy Complex'!$L$3</c15:sqref>
                        </c15:formulaRef>
                      </c:ext>
                    </c:extLst>
                    <c:strCache>
                      <c:ptCount val="1"/>
                      <c:pt idx="0">
                        <c:v>Total Orig FES</c:v>
                      </c:pt>
                    </c:strCache>
                  </c:strRef>
                </c:tx>
                <c:spPr>
                  <a:ln>
                    <a:solidFill>
                      <a:schemeClr val="accent5"/>
                    </a:solidFill>
                  </a:ln>
                </c:spPr>
                <c:marker>
                  <c:symbol val="x"/>
                  <c:size val="7"/>
                  <c:spPr>
                    <a:noFill/>
                    <a:ln w="12700">
                      <a:solidFill>
                        <a:schemeClr val="accent5"/>
                      </a:solidFill>
                    </a:ln>
                  </c:spPr>
                </c:marker>
                <c:xVal>
                  <c:numRef>
                    <c:extLst xmlns:c15="http://schemas.microsoft.com/office/drawing/2012/chart">
                      <c:ext xmlns:c15="http://schemas.microsoft.com/office/drawing/2012/chart" uri="{02D57815-91ED-43cb-92C2-25804820EDAC}">
                        <c15:formulaRef>
                          <c15:sqref>'Porgy Complex'!$J$4:$J$35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Complex'!$L$4:$L$35</c15:sqref>
                        </c15:formulaRef>
                      </c:ext>
                    </c:extLst>
                    <c:numCache>
                      <c:formatCode>#,##0</c:formatCode>
                      <c:ptCount val="32"/>
                      <c:pt idx="0">
                        <c:v>69400.25746199998</c:v>
                      </c:pt>
                      <c:pt idx="1">
                        <c:v>109782.49703312</c:v>
                      </c:pt>
                      <c:pt idx="2">
                        <c:v>195076.39382601998</c:v>
                      </c:pt>
                      <c:pt idx="3">
                        <c:v>82944.650229507009</c:v>
                      </c:pt>
                      <c:pt idx="4">
                        <c:v>163169.37712526001</c:v>
                      </c:pt>
                      <c:pt idx="5">
                        <c:v>84245.548733610005</c:v>
                      </c:pt>
                      <c:pt idx="6">
                        <c:v>83990.220186750026</c:v>
                      </c:pt>
                      <c:pt idx="7">
                        <c:v>107799.74682408001</c:v>
                      </c:pt>
                      <c:pt idx="8">
                        <c:v>106621.81004995003</c:v>
                      </c:pt>
                      <c:pt idx="9">
                        <c:v>99798.705880329973</c:v>
                      </c:pt>
                      <c:pt idx="10">
                        <c:v>71619.398264616</c:v>
                      </c:pt>
                      <c:pt idx="11">
                        <c:v>63450.376008896004</c:v>
                      </c:pt>
                      <c:pt idx="12">
                        <c:v>70127.846393400003</c:v>
                      </c:pt>
                      <c:pt idx="13">
                        <c:v>75872.055511729006</c:v>
                      </c:pt>
                      <c:pt idx="14">
                        <c:v>84230.294886588992</c:v>
                      </c:pt>
                      <c:pt idx="15">
                        <c:v>76155.923688684008</c:v>
                      </c:pt>
                      <c:pt idx="16">
                        <c:v>82822.132145634008</c:v>
                      </c:pt>
                      <c:pt idx="17">
                        <c:v>59730.025310161996</c:v>
                      </c:pt>
                      <c:pt idx="18">
                        <c:v>61310.160797154225</c:v>
                      </c:pt>
                      <c:pt idx="19">
                        <c:v>68679.382317030977</c:v>
                      </c:pt>
                      <c:pt idx="20">
                        <c:v>38971.176612061005</c:v>
                      </c:pt>
                      <c:pt idx="21">
                        <c:v>43282.884028027001</c:v>
                      </c:pt>
                      <c:pt idx="22">
                        <c:v>47508.079365105994</c:v>
                      </c:pt>
                      <c:pt idx="23">
                        <c:v>48964.101307354009</c:v>
                      </c:pt>
                      <c:pt idx="24">
                        <c:v>39751.951464341</c:v>
                      </c:pt>
                      <c:pt idx="25">
                        <c:v>35582.957305839998</c:v>
                      </c:pt>
                      <c:pt idx="26">
                        <c:v>79511.22835284</c:v>
                      </c:pt>
                      <c:pt idx="27">
                        <c:v>59168.070598002007</c:v>
                      </c:pt>
                      <c:pt idx="28">
                        <c:v>64233.804396060004</c:v>
                      </c:pt>
                      <c:pt idx="29">
                        <c:v>23642.698349576</c:v>
                      </c:pt>
                      <c:pt idx="30">
                        <c:v>15889.079866831</c:v>
                      </c:pt>
                      <c:pt idx="31">
                        <c:v>18815.554278540003</c:v>
                      </c:pt>
                    </c:numCache>
                  </c:numRef>
                </c:yVal>
                <c:smooth val="0"/>
                <c:extLst xmlns:c15="http://schemas.microsoft.com/office/drawing/2012/chart">
                  <c:ext xmlns:c16="http://schemas.microsoft.com/office/drawing/2014/chart" uri="{C3380CC4-5D6E-409C-BE32-E72D297353CC}">
                    <c16:uniqueId val="{00000001-6BED-4DE3-BA5B-CB1719E38D6D}"/>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'Porgy Complex'!$C$42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'Porgy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Complex'!$C$43:$C$48</c15:sqref>
                        </c15:formulaRef>
                      </c:ext>
                    </c:extLst>
                    <c:numCache>
                      <c:formatCode>#,##0</c:formatCode>
                      <c:ptCount val="6"/>
                      <c:pt idx="0">
                        <c:v>31000</c:v>
                      </c:pt>
                      <c:pt idx="1">
                        <c:v>31000</c:v>
                      </c:pt>
                      <c:pt idx="2">
                        <c:v>31000</c:v>
                      </c:pt>
                      <c:pt idx="3">
                        <c:v>31000</c:v>
                      </c:pt>
                      <c:pt idx="4">
                        <c:v>31000</c:v>
                      </c:pt>
                      <c:pt idx="5">
                        <c:v>31000</c:v>
                      </c:pt>
                    </c:numCache>
                  </c:numRef>
                </c:yVal>
                <c:smooth val="0"/>
                <c:extLst xmlns:c15="http://schemas.microsoft.com/office/drawing/2012/chart">
                  <c:ext xmlns:c16="http://schemas.microsoft.com/office/drawing/2014/chart" uri="{C3380CC4-5D6E-409C-BE32-E72D297353CC}">
                    <c16:uniqueId val="{00000004-6BED-4DE3-BA5B-CB1719E38D6D}"/>
                  </c:ext>
                </c:extLst>
              </c15:ser>
            </c15:filteredScatterSeries>
            <c15:filteredScatterSeries>
              <c15:ser>
                <c:idx val="3"/>
                <c:order val="6"/>
                <c:tx>
                  <c:strRef>
                    <c:extLst xmlns:c15="http://schemas.microsoft.com/office/drawing/2012/chart">
                      <c:ext xmlns:c15="http://schemas.microsoft.com/office/drawing/2012/chart" uri="{02D57815-91ED-43cb-92C2-25804820EDAC}">
                        <c15:formulaRef>
                          <c15:sqref>'Porgy Complex'!$L$42</c15:sqref>
                        </c15:formulaRef>
                      </c:ext>
                    </c:extLst>
                    <c:strCache>
                      <c:ptCount val="1"/>
                      <c:pt idx="0">
                        <c:v>Orig FES ABC/ACL</c:v>
                      </c:pt>
                    </c:strCache>
                  </c:strRef>
                </c:tx>
                <c:spPr>
                  <a:ln w="38100">
                    <a:solidFill>
                      <a:srgbClr val="7030A0"/>
                    </a:solidFill>
                  </a:ln>
                </c:spPr>
                <c:marker>
                  <c:symbol val="none"/>
                </c:marker>
                <c:xVal>
                  <c:numRef>
                    <c:extLst xmlns:c15="http://schemas.microsoft.com/office/drawing/2012/chart">
                      <c:ext xmlns:c15="http://schemas.microsoft.com/office/drawing/2012/chart" uri="{02D57815-91ED-43cb-92C2-25804820EDAC}">
                        <c15:formulaRef>
                          <c15:sqref>'Porgy Complex'!$J$43:$J$48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Complex'!$L$43:$L$48</c15:sqref>
                        </c15:formulaRef>
                      </c:ext>
                    </c:extLst>
                    <c:numCache>
                      <c:formatCode>#,##0</c:formatCode>
                      <c:ptCount val="6"/>
                      <c:pt idx="0">
                        <c:v>31000</c:v>
                      </c:pt>
                      <c:pt idx="1">
                        <c:v>31000</c:v>
                      </c:pt>
                      <c:pt idx="2">
                        <c:v>31000</c:v>
                      </c:pt>
                      <c:pt idx="3">
                        <c:v>31000</c:v>
                      </c:pt>
                      <c:pt idx="4">
                        <c:v>31000</c:v>
                      </c:pt>
                      <c:pt idx="5">
                        <c:v>31000</c:v>
                      </c:pt>
                    </c:numCache>
                  </c:numRef>
                </c:yVal>
                <c:smooth val="0"/>
                <c:extLst xmlns:c15="http://schemas.microsoft.com/office/drawing/2012/chart">
                  <c:ext xmlns:c16="http://schemas.microsoft.com/office/drawing/2014/chart" uri="{C3380CC4-5D6E-409C-BE32-E72D297353CC}">
                    <c16:uniqueId val="{00000005-6BED-4DE3-BA5B-CB1719E38D6D}"/>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130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4"/>
          <c:order val="2"/>
          <c:tx>
            <c:strRef>
              <c:f>'Porgy Complex'!$AE$3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Complex'!$AE$4:$AE$35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24596.859115310002</c:v>
                </c:pt>
                <c:pt idx="9">
                  <c:v>7364.8616677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120.60705220000001</c:v>
                </c:pt>
                <c:pt idx="30">
                  <c:v>227.32671899000002</c:v>
                </c:pt>
                <c:pt idx="31">
                  <c:v>3.1195089999999999</c:v>
                </c:pt>
              </c:numCache>
            </c:numRef>
          </c:yVal>
          <c:smooth val="0"/>
          <c:extLst>
            <c:ext xmlns:c16="http://schemas.microsoft.com/office/drawing/2014/chart" uri="{C3380CC4-5D6E-409C-BE32-E72D297353CC}">
              <c16:uniqueId val="{00000002-C44B-4242-BD2A-7D4EDD11C23D}"/>
            </c:ext>
          </c:extLst>
        </c:ser>
        <c:ser>
          <c:idx val="5"/>
          <c:order val="3"/>
          <c:tx>
            <c:strRef>
              <c:f>'Porgy Complex'!$AM$3</c:f>
              <c:strCache>
                <c:ptCount val="1"/>
                <c:pt idx="0">
                  <c:v>Orig FES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Complex'!$AM$4:$AM$35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24596.859115310006</c:v>
                </c:pt>
                <c:pt idx="9">
                  <c:v>7364.8616677000018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120.60705220000001</c:v>
                </c:pt>
                <c:pt idx="30">
                  <c:v>227.32671899000005</c:v>
                </c:pt>
                <c:pt idx="31">
                  <c:v>3.1195089999999999</c:v>
                </c:pt>
              </c:numCache>
            </c:numRef>
          </c:yVal>
          <c:smooth val="0"/>
          <c:extLst>
            <c:ext xmlns:c16="http://schemas.microsoft.com/office/drawing/2014/chart" uri="{C3380CC4-5D6E-409C-BE32-E72D297353CC}">
              <c16:uniqueId val="{00000003-C44B-4242-BD2A-7D4EDD11C23D}"/>
            </c:ext>
          </c:extLst>
        </c:ser>
        <c:ser>
          <c:idx val="6"/>
          <c:order val="4"/>
          <c:tx>
            <c:strRef>
              <c:f>'Porgy Complex'!$AO$79</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'Porgy Complex'!$AI$80:$AI$111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Complex'!$AO$80:$AO$111</c:f>
              <c:numCache>
                <c:formatCode>#,##0</c:formatCode>
                <c:ptCount val="32"/>
                <c:pt idx="0">
                  <c:v>762.27792819999991</c:v>
                </c:pt>
                <c:pt idx="1">
                  <c:v>396.35842020000001</c:v>
                </c:pt>
                <c:pt idx="2">
                  <c:v>1141.4338546000001</c:v>
                </c:pt>
                <c:pt idx="3">
                  <c:v>218.87268800000001</c:v>
                </c:pt>
                <c:pt idx="4">
                  <c:v>929.19615042931127</c:v>
                </c:pt>
                <c:pt idx="5">
                  <c:v>1438.5015000000001</c:v>
                </c:pt>
                <c:pt idx="6">
                  <c:v>11384.808545866723</c:v>
                </c:pt>
                <c:pt idx="7">
                  <c:v>10446.780599811547</c:v>
                </c:pt>
                <c:pt idx="8">
                  <c:v>73779.01609139111</c:v>
                </c:pt>
                <c:pt idx="9">
                  <c:v>29912.196035921654</c:v>
                </c:pt>
                <c:pt idx="10">
                  <c:v>3819.3151780000003</c:v>
                </c:pt>
                <c:pt idx="11">
                  <c:v>2738.7745800000002</c:v>
                </c:pt>
                <c:pt idx="12">
                  <c:v>3033.3622054735292</c:v>
                </c:pt>
                <c:pt idx="13">
                  <c:v>21872.29674815046</c:v>
                </c:pt>
                <c:pt idx="14">
                  <c:v>4093.8001150739628</c:v>
                </c:pt>
                <c:pt idx="15">
                  <c:v>4448.1516652777236</c:v>
                </c:pt>
                <c:pt idx="16">
                  <c:v>4489.1275108567634</c:v>
                </c:pt>
                <c:pt idx="17">
                  <c:v>5390.8493478486998</c:v>
                </c:pt>
                <c:pt idx="18">
                  <c:v>2645.7610481035676</c:v>
                </c:pt>
                <c:pt idx="19">
                  <c:v>8743.3820713785844</c:v>
                </c:pt>
                <c:pt idx="20">
                  <c:v>5033.7694864074429</c:v>
                </c:pt>
                <c:pt idx="21">
                  <c:v>988.6504041719819</c:v>
                </c:pt>
                <c:pt idx="22">
                  <c:v>684.56798279999998</c:v>
                </c:pt>
                <c:pt idx="23">
                  <c:v>874.41823728316217</c:v>
                </c:pt>
                <c:pt idx="24">
                  <c:v>1586.6641808716486</c:v>
                </c:pt>
                <c:pt idx="25">
                  <c:v>436.62103000000002</c:v>
                </c:pt>
                <c:pt idx="26">
                  <c:v>7954.015834118808</c:v>
                </c:pt>
                <c:pt idx="27">
                  <c:v>5090.9029518207371</c:v>
                </c:pt>
                <c:pt idx="28">
                  <c:v>33.975090600000001</c:v>
                </c:pt>
                <c:pt idx="29">
                  <c:v>120.60705220000001</c:v>
                </c:pt>
                <c:pt idx="30">
                  <c:v>225.55658613594051</c:v>
                </c:pt>
                <c:pt idx="31">
                  <c:v>3.1195089999999999</c:v>
                </c:pt>
              </c:numCache>
            </c:numRef>
          </c:yVal>
          <c:smooth val="0"/>
          <c:extLst>
            <c:ext xmlns:c16="http://schemas.microsoft.com/office/drawing/2014/chart" uri="{C3380CC4-5D6E-409C-BE32-E72D297353CC}">
              <c16:uniqueId val="{00000006-C44B-4242-BD2A-7D4EDD11C23D}"/>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0"/>
                <c:order val="0"/>
                <c:tx>
                  <c:strRef>
                    <c:extLst>
                      <c:ext uri="{02D57815-91ED-43cb-92C2-25804820EDAC}">
                        <c15:formulaRef>
                          <c15:sqref>'Porgy Complex'!$D$3</c15:sqref>
                        </c15:formulaRef>
                      </c:ext>
                    </c:extLst>
                    <c:strCache>
                      <c:ptCount val="1"/>
                      <c:pt idx="0">
                        <c:v>Total New Wgt</c:v>
                      </c:pt>
                    </c:strCache>
                  </c:strRef>
                </c:tx>
                <c:xVal>
                  <c:numRef>
                    <c:extLst>
                      <c:ext uri="{02D57815-91ED-43cb-92C2-25804820EDAC}">
                        <c15:formulaRef>
                          <c15:sqref>'Porgy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Complex'!$D$4:$D$35</c15:sqref>
                        </c15:formulaRef>
                      </c:ext>
                    </c:extLst>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24597.859115310002</c:v>
                      </c:pt>
                      <c:pt idx="9">
                        <c:v>7370.8616677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122.60705220000001</c:v>
                      </c:pt>
                      <c:pt idx="30">
                        <c:v>227.32671899000002</c:v>
                      </c:pt>
                      <c:pt idx="31">
                        <c:v>3.1195089999999999</c:v>
                      </c:pt>
                    </c:numCache>
                  </c:numRef>
                </c:yVal>
                <c:smooth val="0"/>
                <c:extLst>
                  <c:ext xmlns:c16="http://schemas.microsoft.com/office/drawing/2014/chart" uri="{C3380CC4-5D6E-409C-BE32-E72D297353CC}">
                    <c16:uniqueId val="{00000000-C44B-4242-BD2A-7D4EDD11C23D}"/>
                  </c:ext>
                </c:extLst>
              </c15:ser>
            </c15:filteredScatterSeries>
            <c15:filteredScatterSeries>
              <c15:ser>
                <c:idx val="2"/>
                <c:order val="1"/>
                <c:tx>
                  <c:strRef>
                    <c:extLst xmlns:c15="http://schemas.microsoft.com/office/drawing/2012/chart">
                      <c:ext xmlns:c15="http://schemas.microsoft.com/office/drawing/2012/chart" uri="{02D57815-91ED-43cb-92C2-25804820EDAC}">
                        <c15:formulaRef>
                          <c15:sqref>'Porgy Complex'!$M$3</c15:sqref>
                        </c15:formulaRef>
                      </c:ext>
                    </c:extLst>
                    <c:strCache>
                      <c:ptCount val="1"/>
                      <c:pt idx="0">
                        <c:v>Total Orig FES</c:v>
                      </c:pt>
                    </c:strCache>
                  </c:strRef>
                </c:tx>
                <c:spPr>
                  <a:ln>
                    <a:solidFill>
                      <a:schemeClr val="accent5"/>
                    </a:solidFill>
                  </a:ln>
                </c:spPr>
                <c:marker>
                  <c:symbol val="x"/>
                  <c:size val="7"/>
                  <c:spPr>
                    <a:noFill/>
                    <a:ln w="12700">
                      <a:solidFill>
                        <a:schemeClr val="accent5"/>
                      </a:solidFill>
                    </a:ln>
                  </c:spPr>
                </c:marker>
                <c:xVal>
                  <c:numRef>
                    <c:extLst xmlns:c15="http://schemas.microsoft.com/office/drawing/2012/chart">
                      <c:ext xmlns:c15="http://schemas.microsoft.com/office/drawing/2012/chart" uri="{02D57815-91ED-43cb-92C2-25804820EDAC}">
                        <c15:formulaRef>
                          <c15:sqref>'Porgy Complex'!$J$4:$J$35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Complex'!$M$4:$M$35</c15:sqref>
                        </c15:formulaRef>
                      </c:ext>
                    </c:extLst>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24597.859115310006</c:v>
                      </c:pt>
                      <c:pt idx="9">
                        <c:v>7370.8616677000018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122.60705220000001</c:v>
                      </c:pt>
                      <c:pt idx="30">
                        <c:v>227.32671899000005</c:v>
                      </c:pt>
                      <c:pt idx="31">
                        <c:v>3.1195089999999999</c:v>
                      </c:pt>
                    </c:numCache>
                  </c:numRef>
                </c:yVal>
                <c:smooth val="0"/>
                <c:extLst xmlns:c15="http://schemas.microsoft.com/office/drawing/2012/chart">
                  <c:ext xmlns:c16="http://schemas.microsoft.com/office/drawing/2014/chart" uri="{C3380CC4-5D6E-409C-BE32-E72D297353CC}">
                    <c16:uniqueId val="{00000001-C44B-4242-BD2A-7D4EDD11C23D}"/>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'Porgy Complex'!$D$42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'Porgy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Complex'!$D$43:$D$48</c15:sqref>
                        </c15:formulaRef>
                      </c:ext>
                    </c:extLst>
                    <c:numCache>
                      <c:formatCode>#,##0</c:formatCode>
                      <c:ptCount val="6"/>
                      <c:pt idx="0">
                        <c:v>4691.9784599000004</c:v>
                      </c:pt>
                      <c:pt idx="1">
                        <c:v>4691.9784599000004</c:v>
                      </c:pt>
                      <c:pt idx="2">
                        <c:v>4691.9784599000004</c:v>
                      </c:pt>
                      <c:pt idx="3">
                        <c:v>4691.9784599000004</c:v>
                      </c:pt>
                      <c:pt idx="4">
                        <c:v>4691.9784599000004</c:v>
                      </c:pt>
                      <c:pt idx="5">
                        <c:v>4691.9784599000004</c:v>
                      </c:pt>
                    </c:numCache>
                  </c:numRef>
                </c:yVal>
                <c:smooth val="0"/>
                <c:extLst xmlns:c15="http://schemas.microsoft.com/office/drawing/2012/chart">
                  <c:ext xmlns:c16="http://schemas.microsoft.com/office/drawing/2014/chart" uri="{C3380CC4-5D6E-409C-BE32-E72D297353CC}">
                    <c16:uniqueId val="{00000004-C44B-4242-BD2A-7D4EDD11C23D}"/>
                  </c:ext>
                </c:extLst>
              </c15:ser>
            </c15:filteredScatterSeries>
            <c15:filteredScatterSeries>
              <c15:ser>
                <c:idx val="3"/>
                <c:order val="6"/>
                <c:tx>
                  <c:strRef>
                    <c:extLst xmlns:c15="http://schemas.microsoft.com/office/drawing/2012/chart">
                      <c:ext xmlns:c15="http://schemas.microsoft.com/office/drawing/2012/chart" uri="{02D57815-91ED-43cb-92C2-25804820EDAC}">
                        <c15:formulaRef>
                          <c15:sqref>'Porgy Complex'!$M$42</c15:sqref>
                        </c15:formulaRef>
                      </c:ext>
                    </c:extLst>
                    <c:strCache>
                      <c:ptCount val="1"/>
                      <c:pt idx="0">
                        <c:v>Orig FES ABC/ACL</c:v>
                      </c:pt>
                    </c:strCache>
                  </c:strRef>
                </c:tx>
                <c:spPr>
                  <a:ln w="38100">
                    <a:solidFill>
                      <a:srgbClr val="7030A0"/>
                    </a:solidFill>
                  </a:ln>
                </c:spPr>
                <c:marker>
                  <c:symbol val="none"/>
                </c:marker>
                <c:xVal>
                  <c:numRef>
                    <c:extLst xmlns:c15="http://schemas.microsoft.com/office/drawing/2012/chart">
                      <c:ext xmlns:c15="http://schemas.microsoft.com/office/drawing/2012/chart" uri="{02D57815-91ED-43cb-92C2-25804820EDAC}">
                        <c15:formulaRef>
                          <c15:sqref>'Porgy Complex'!$J$43:$J$48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Complex'!$M$43:$M$48</c15:sqref>
                        </c15:formulaRef>
                      </c:ext>
                    </c:extLst>
                    <c:numCache>
                      <c:formatCode>#,##0</c:formatCode>
                      <c:ptCount val="6"/>
                      <c:pt idx="0">
                        <c:v>4691.9784599000013</c:v>
                      </c:pt>
                      <c:pt idx="1">
                        <c:v>4691.9784599000013</c:v>
                      </c:pt>
                      <c:pt idx="2">
                        <c:v>4691.9784599000013</c:v>
                      </c:pt>
                      <c:pt idx="3">
                        <c:v>4691.9784599000013</c:v>
                      </c:pt>
                      <c:pt idx="4">
                        <c:v>4691.9784599000013</c:v>
                      </c:pt>
                      <c:pt idx="5">
                        <c:v>4691.9784599000013</c:v>
                      </c:pt>
                    </c:numCache>
                  </c:numRef>
                </c:yVal>
                <c:smooth val="0"/>
                <c:extLst xmlns:c15="http://schemas.microsoft.com/office/drawing/2012/chart">
                  <c:ext xmlns:c16="http://schemas.microsoft.com/office/drawing/2014/chart" uri="{C3380CC4-5D6E-409C-BE32-E72D297353CC}">
                    <c16:uniqueId val="{00000005-C44B-4242-BD2A-7D4EDD11C23D}"/>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4"/>
          <c:order val="2"/>
          <c:tx>
            <c:strRef>
              <c:f>'Porgy Complex'!$AF$3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Complex'!$AF$4:$AF$35</c:f>
              <c:numCache>
                <c:formatCode>#,##0</c:formatCode>
                <c:ptCount val="32"/>
                <c:pt idx="0">
                  <c:v>4043.4068160000006</c:v>
                </c:pt>
                <c:pt idx="1">
                  <c:v>3150.8860592199999</c:v>
                </c:pt>
                <c:pt idx="2">
                  <c:v>3659.8237005500005</c:v>
                </c:pt>
                <c:pt idx="3">
                  <c:v>5696.8391843549998</c:v>
                </c:pt>
                <c:pt idx="4">
                  <c:v>3139.1855986199998</c:v>
                </c:pt>
                <c:pt idx="5">
                  <c:v>20135.251835629999</c:v>
                </c:pt>
                <c:pt idx="6">
                  <c:v>51123.9720055</c:v>
                </c:pt>
                <c:pt idx="7">
                  <c:v>15089.979177190999</c:v>
                </c:pt>
                <c:pt idx="8">
                  <c:v>38121.599390789997</c:v>
                </c:pt>
                <c:pt idx="9">
                  <c:v>9051.6747326989989</c:v>
                </c:pt>
                <c:pt idx="10">
                  <c:v>10554.130679370799</c:v>
                </c:pt>
                <c:pt idx="11">
                  <c:v>32443.527719534002</c:v>
                </c:pt>
                <c:pt idx="12">
                  <c:v>5839.9249247670004</c:v>
                </c:pt>
                <c:pt idx="13">
                  <c:v>383.35789399999993</c:v>
                </c:pt>
                <c:pt idx="14">
                  <c:v>789.8160330799999</c:v>
                </c:pt>
                <c:pt idx="15">
                  <c:v>15614.4960164</c:v>
                </c:pt>
                <c:pt idx="16">
                  <c:v>3635.4983757200007</c:v>
                </c:pt>
                <c:pt idx="17">
                  <c:v>9219.7309589699998</c:v>
                </c:pt>
                <c:pt idx="18">
                  <c:v>8497.0973780599998</c:v>
                </c:pt>
                <c:pt idx="19">
                  <c:v>20120.552779129997</c:v>
                </c:pt>
                <c:pt idx="20">
                  <c:v>9534.5081015239994</c:v>
                </c:pt>
                <c:pt idx="21">
                  <c:v>8095.1813396429989</c:v>
                </c:pt>
                <c:pt idx="22">
                  <c:v>5716.4109562000003</c:v>
                </c:pt>
                <c:pt idx="23">
                  <c:v>8551.034930400001</c:v>
                </c:pt>
                <c:pt idx="24">
                  <c:v>13333.407745367998</c:v>
                </c:pt>
                <c:pt idx="25">
                  <c:v>8600.9657303870972</c:v>
                </c:pt>
                <c:pt idx="26">
                  <c:v>9788.1842041640011</c:v>
                </c:pt>
                <c:pt idx="27">
                  <c:v>6829.031052944998</c:v>
                </c:pt>
                <c:pt idx="28">
                  <c:v>12359.912919289001</c:v>
                </c:pt>
                <c:pt idx="29">
                  <c:v>13766.8254511901</c:v>
                </c:pt>
                <c:pt idx="30">
                  <c:v>7959.1571500000009</c:v>
                </c:pt>
                <c:pt idx="31">
                  <c:v>10542.224473061002</c:v>
                </c:pt>
              </c:numCache>
            </c:numRef>
          </c:yVal>
          <c:smooth val="0"/>
          <c:extLst>
            <c:ext xmlns:c16="http://schemas.microsoft.com/office/drawing/2014/chart" uri="{C3380CC4-5D6E-409C-BE32-E72D297353CC}">
              <c16:uniqueId val="{00000002-CFAF-4272-92A1-A416039D5913}"/>
            </c:ext>
          </c:extLst>
        </c:ser>
        <c:ser>
          <c:idx val="5"/>
          <c:order val="3"/>
          <c:tx>
            <c:strRef>
              <c:f>'Porgy Complex'!$AN$3</c:f>
              <c:strCache>
                <c:ptCount val="1"/>
                <c:pt idx="0">
                  <c:v>Orig FES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Complex'!$AN$4:$AN$35</c:f>
              <c:numCache>
                <c:formatCode>#,##0</c:formatCode>
                <c:ptCount val="32"/>
                <c:pt idx="0">
                  <c:v>4045.2823937000003</c:v>
                </c:pt>
                <c:pt idx="1">
                  <c:v>3152.1533650100009</c:v>
                </c:pt>
                <c:pt idx="2">
                  <c:v>3661.1984174699996</c:v>
                </c:pt>
                <c:pt idx="3">
                  <c:v>5574.3278204149992</c:v>
                </c:pt>
                <c:pt idx="4">
                  <c:v>1630.4780680000001</c:v>
                </c:pt>
                <c:pt idx="5">
                  <c:v>27559.498745199999</c:v>
                </c:pt>
                <c:pt idx="6">
                  <c:v>8472.4158070689973</c:v>
                </c:pt>
                <c:pt idx="7">
                  <c:v>11930.550886759998</c:v>
                </c:pt>
                <c:pt idx="8">
                  <c:v>37392.163961890001</c:v>
                </c:pt>
                <c:pt idx="9">
                  <c:v>10117.051810430998</c:v>
                </c:pt>
                <c:pt idx="10">
                  <c:v>8305.1703705339987</c:v>
                </c:pt>
                <c:pt idx="11">
                  <c:v>33582.963114734994</c:v>
                </c:pt>
                <c:pt idx="12">
                  <c:v>4413.446661392999</c:v>
                </c:pt>
                <c:pt idx="13">
                  <c:v>383.35789399999993</c:v>
                </c:pt>
                <c:pt idx="14">
                  <c:v>648.94605599999988</c:v>
                </c:pt>
                <c:pt idx="15">
                  <c:v>15623.0758618</c:v>
                </c:pt>
                <c:pt idx="16">
                  <c:v>3635.9492592700003</c:v>
                </c:pt>
                <c:pt idx="17">
                  <c:v>9223.9391079999987</c:v>
                </c:pt>
                <c:pt idx="18">
                  <c:v>8498.6262273089978</c:v>
                </c:pt>
                <c:pt idx="19">
                  <c:v>20129.297840310006</c:v>
                </c:pt>
                <c:pt idx="20">
                  <c:v>9535.1721591550013</c:v>
                </c:pt>
                <c:pt idx="21">
                  <c:v>8096.3806986979989</c:v>
                </c:pt>
                <c:pt idx="22">
                  <c:v>5716.4109562000003</c:v>
                </c:pt>
                <c:pt idx="23">
                  <c:v>8551.034930400001</c:v>
                </c:pt>
                <c:pt idx="24">
                  <c:v>13336.13836628</c:v>
                </c:pt>
                <c:pt idx="25">
                  <c:v>8483.5984832446993</c:v>
                </c:pt>
                <c:pt idx="26">
                  <c:v>8767.0187824419991</c:v>
                </c:pt>
                <c:pt idx="27">
                  <c:v>6831.1183265049985</c:v>
                </c:pt>
                <c:pt idx="28">
                  <c:v>11966.385292209998</c:v>
                </c:pt>
                <c:pt idx="29">
                  <c:v>11523.5630651054</c:v>
                </c:pt>
                <c:pt idx="30">
                  <c:v>7959.1571500000009</c:v>
                </c:pt>
                <c:pt idx="31">
                  <c:v>10545.021462265999</c:v>
                </c:pt>
              </c:numCache>
            </c:numRef>
          </c:yVal>
          <c:smooth val="0"/>
          <c:extLst>
            <c:ext xmlns:c16="http://schemas.microsoft.com/office/drawing/2014/chart" uri="{C3380CC4-5D6E-409C-BE32-E72D297353CC}">
              <c16:uniqueId val="{00000003-CFAF-4272-92A1-A416039D5913}"/>
            </c:ext>
          </c:extLst>
        </c:ser>
        <c:ser>
          <c:idx val="6"/>
          <c:order val="4"/>
          <c:tx>
            <c:strRef>
              <c:f>'Porgy Complex'!$S$142</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'Porgy Complex'!$M$143:$M$174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Complex'!$S$143:$S$174</c:f>
              <c:numCache>
                <c:formatCode>#,##0</c:formatCode>
                <c:ptCount val="32"/>
                <c:pt idx="0">
                  <c:v>9013.0807797055331</c:v>
                </c:pt>
                <c:pt idx="1">
                  <c:v>3288.6506294511737</c:v>
                </c:pt>
                <c:pt idx="3">
                  <c:v>7350.9820553747286</c:v>
                </c:pt>
                <c:pt idx="4">
                  <c:v>1630.4780680000001</c:v>
                </c:pt>
                <c:pt idx="5">
                  <c:v>19620.297110075102</c:v>
                </c:pt>
                <c:pt idx="6">
                  <c:v>10312.650534067607</c:v>
                </c:pt>
                <c:pt idx="7">
                  <c:v>13679.814332043505</c:v>
                </c:pt>
                <c:pt idx="8">
                  <c:v>31526.925792477177</c:v>
                </c:pt>
                <c:pt idx="9">
                  <c:v>9089.2736636168956</c:v>
                </c:pt>
                <c:pt idx="10">
                  <c:v>8070.0037083794505</c:v>
                </c:pt>
                <c:pt idx="11">
                  <c:v>30716.007409033773</c:v>
                </c:pt>
                <c:pt idx="12">
                  <c:v>6129.3886820194257</c:v>
                </c:pt>
                <c:pt idx="13">
                  <c:v>383.35789399999993</c:v>
                </c:pt>
                <c:pt idx="14">
                  <c:v>648.94605599999988</c:v>
                </c:pt>
                <c:pt idx="15">
                  <c:v>23321.069161064068</c:v>
                </c:pt>
                <c:pt idx="16">
                  <c:v>3740.4312940956952</c:v>
                </c:pt>
                <c:pt idx="18">
                  <c:v>8222.0750923675805</c:v>
                </c:pt>
                <c:pt idx="19">
                  <c:v>19394.240798549592</c:v>
                </c:pt>
                <c:pt idx="20">
                  <c:v>9898.168869399904</c:v>
                </c:pt>
                <c:pt idx="21">
                  <c:v>8071.7938012234627</c:v>
                </c:pt>
                <c:pt idx="22">
                  <c:v>5716.4109562000003</c:v>
                </c:pt>
                <c:pt idx="23">
                  <c:v>8551.034930400001</c:v>
                </c:pt>
                <c:pt idx="24">
                  <c:v>14391.249874289835</c:v>
                </c:pt>
                <c:pt idx="25">
                  <c:v>8426.9986171069104</c:v>
                </c:pt>
                <c:pt idx="26">
                  <c:v>9272.4614413789077</c:v>
                </c:pt>
                <c:pt idx="27">
                  <c:v>6851.4010967985187</c:v>
                </c:pt>
                <c:pt idx="28">
                  <c:v>14338.621187618937</c:v>
                </c:pt>
                <c:pt idx="29">
                  <c:v>11531.113235534827</c:v>
                </c:pt>
                <c:pt idx="30">
                  <c:v>7959.1571500000009</c:v>
                </c:pt>
                <c:pt idx="31">
                  <c:v>15994.58377663294</c:v>
                </c:pt>
              </c:numCache>
            </c:numRef>
          </c:yVal>
          <c:smooth val="0"/>
          <c:extLst>
            <c:ext xmlns:c16="http://schemas.microsoft.com/office/drawing/2014/chart" uri="{C3380CC4-5D6E-409C-BE32-E72D297353CC}">
              <c16:uniqueId val="{00000006-CFAF-4272-92A1-A416039D5913}"/>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0"/>
                <c:order val="0"/>
                <c:tx>
                  <c:strRef>
                    <c:extLst>
                      <c:ext uri="{02D57815-91ED-43cb-92C2-25804820EDAC}">
                        <c15:formulaRef>
                          <c15:sqref>'Porgy Complex'!$E$3</c15:sqref>
                        </c15:formulaRef>
                      </c:ext>
                    </c:extLst>
                    <c:strCache>
                      <c:ptCount val="1"/>
                      <c:pt idx="0">
                        <c:v>Total New Wgt</c:v>
                      </c:pt>
                    </c:strCache>
                  </c:strRef>
                </c:tx>
                <c:xVal>
                  <c:numRef>
                    <c:extLst>
                      <c:ext uri="{02D57815-91ED-43cb-92C2-25804820EDAC}">
                        <c15:formulaRef>
                          <c15:sqref>'Porgy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Complex'!$E$4:$E$35</c15:sqref>
                        </c15:formulaRef>
                      </c:ext>
                    </c:extLst>
                    <c:numCache>
                      <c:formatCode>#,##0</c:formatCode>
                      <c:ptCount val="32"/>
                      <c:pt idx="0">
                        <c:v>41013.406816000002</c:v>
                      </c:pt>
                      <c:pt idx="1">
                        <c:v>45101.88605922</c:v>
                      </c:pt>
                      <c:pt idx="2">
                        <c:v>5810.8237005500005</c:v>
                      </c:pt>
                      <c:pt idx="3">
                        <c:v>8699.8391843549998</c:v>
                      </c:pt>
                      <c:pt idx="4">
                        <c:v>5243.1855986199998</c:v>
                      </c:pt>
                      <c:pt idx="5">
                        <c:v>21128.251835629999</c:v>
                      </c:pt>
                      <c:pt idx="6">
                        <c:v>51130.9720055</c:v>
                      </c:pt>
                      <c:pt idx="7">
                        <c:v>16525.979177190999</c:v>
                      </c:pt>
                      <c:pt idx="8">
                        <c:v>45170.599390789997</c:v>
                      </c:pt>
                      <c:pt idx="9">
                        <c:v>16343.674732698999</c:v>
                      </c:pt>
                      <c:pt idx="10">
                        <c:v>10924.130679370799</c:v>
                      </c:pt>
                      <c:pt idx="11">
                        <c:v>32516.527719534002</c:v>
                      </c:pt>
                      <c:pt idx="12">
                        <c:v>6052.9249247670004</c:v>
                      </c:pt>
                      <c:pt idx="13">
                        <c:v>385.35789399999993</c:v>
                      </c:pt>
                      <c:pt idx="14">
                        <c:v>789.8160330799999</c:v>
                      </c:pt>
                      <c:pt idx="15">
                        <c:v>15614.4960164</c:v>
                      </c:pt>
                      <c:pt idx="16">
                        <c:v>3636.4983757200007</c:v>
                      </c:pt>
                      <c:pt idx="17">
                        <c:v>9227.7309589699998</c:v>
                      </c:pt>
                      <c:pt idx="18">
                        <c:v>8497.0973780599998</c:v>
                      </c:pt>
                      <c:pt idx="19">
                        <c:v>20933.552779129997</c:v>
                      </c:pt>
                      <c:pt idx="20">
                        <c:v>10176.508101523999</c:v>
                      </c:pt>
                      <c:pt idx="21">
                        <c:v>8235.1813396429989</c:v>
                      </c:pt>
                      <c:pt idx="22">
                        <c:v>5886.4109562000003</c:v>
                      </c:pt>
                      <c:pt idx="23">
                        <c:v>8898.034930400001</c:v>
                      </c:pt>
                      <c:pt idx="24">
                        <c:v>13441.407745367998</c:v>
                      </c:pt>
                      <c:pt idx="25">
                        <c:v>8624.9657303870972</c:v>
                      </c:pt>
                      <c:pt idx="26">
                        <c:v>9839.1842041640011</c:v>
                      </c:pt>
                      <c:pt idx="27">
                        <c:v>7169.031052944998</c:v>
                      </c:pt>
                      <c:pt idx="28">
                        <c:v>12468.912919289001</c:v>
                      </c:pt>
                      <c:pt idx="29">
                        <c:v>13798.8254511901</c:v>
                      </c:pt>
                      <c:pt idx="30">
                        <c:v>7983.9571500000011</c:v>
                      </c:pt>
                      <c:pt idx="31">
                        <c:v>10543.224473061002</c:v>
                      </c:pt>
                    </c:numCache>
                  </c:numRef>
                </c:yVal>
                <c:smooth val="0"/>
                <c:extLst>
                  <c:ext xmlns:c16="http://schemas.microsoft.com/office/drawing/2014/chart" uri="{C3380CC4-5D6E-409C-BE32-E72D297353CC}">
                    <c16:uniqueId val="{00000000-CFAF-4272-92A1-A416039D5913}"/>
                  </c:ext>
                </c:extLst>
              </c15:ser>
            </c15:filteredScatterSeries>
            <c15:filteredScatterSeries>
              <c15:ser>
                <c:idx val="2"/>
                <c:order val="1"/>
                <c:tx>
                  <c:strRef>
                    <c:extLst xmlns:c15="http://schemas.microsoft.com/office/drawing/2012/chart">
                      <c:ext xmlns:c15="http://schemas.microsoft.com/office/drawing/2012/chart" uri="{02D57815-91ED-43cb-92C2-25804820EDAC}">
                        <c15:formulaRef>
                          <c15:sqref>'Porgy Complex'!$N$3</c15:sqref>
                        </c15:formulaRef>
                      </c:ext>
                    </c:extLst>
                    <c:strCache>
                      <c:ptCount val="1"/>
                      <c:pt idx="0">
                        <c:v>Total Orig FES</c:v>
                      </c:pt>
                    </c:strCache>
                  </c:strRef>
                </c:tx>
                <c:spPr>
                  <a:ln>
                    <a:solidFill>
                      <a:schemeClr val="accent5"/>
                    </a:solidFill>
                  </a:ln>
                </c:spPr>
                <c:marker>
                  <c:symbol val="x"/>
                  <c:size val="7"/>
                  <c:spPr>
                    <a:noFill/>
                    <a:ln w="12700">
                      <a:solidFill>
                        <a:schemeClr val="accent5"/>
                      </a:solidFill>
                    </a:ln>
                  </c:spPr>
                </c:marker>
                <c:xVal>
                  <c:numRef>
                    <c:extLst xmlns:c15="http://schemas.microsoft.com/office/drawing/2012/chart">
                      <c:ext xmlns:c15="http://schemas.microsoft.com/office/drawing/2012/chart" uri="{02D57815-91ED-43cb-92C2-25804820EDAC}">
                        <c15:formulaRef>
                          <c15:sqref>'Porgy Complex'!$J$4:$J$35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Complex'!$N$4:$N$35</c15:sqref>
                        </c15:formulaRef>
                      </c:ext>
                    </c:extLst>
                    <c:numCache>
                      <c:formatCode>#,##0</c:formatCode>
                      <c:ptCount val="32"/>
                      <c:pt idx="0">
                        <c:v>41015.282393699999</c:v>
                      </c:pt>
                      <c:pt idx="1">
                        <c:v>45103.153365010003</c:v>
                      </c:pt>
                      <c:pt idx="2">
                        <c:v>5812.1984174699992</c:v>
                      </c:pt>
                      <c:pt idx="3">
                        <c:v>8577.3278204149992</c:v>
                      </c:pt>
                      <c:pt idx="4">
                        <c:v>3734.4780680000003</c:v>
                      </c:pt>
                      <c:pt idx="5">
                        <c:v>28552.498745199999</c:v>
                      </c:pt>
                      <c:pt idx="6">
                        <c:v>8479.4158070689973</c:v>
                      </c:pt>
                      <c:pt idx="7">
                        <c:v>13366.550886759998</c:v>
                      </c:pt>
                      <c:pt idx="8">
                        <c:v>44441.163961890001</c:v>
                      </c:pt>
                      <c:pt idx="9">
                        <c:v>17409.051810430996</c:v>
                      </c:pt>
                      <c:pt idx="10">
                        <c:v>8675.1703705339987</c:v>
                      </c:pt>
                      <c:pt idx="11">
                        <c:v>33655.963114734994</c:v>
                      </c:pt>
                      <c:pt idx="12">
                        <c:v>4626.446661392999</c:v>
                      </c:pt>
                      <c:pt idx="13">
                        <c:v>385.35789399999993</c:v>
                      </c:pt>
                      <c:pt idx="14">
                        <c:v>648.94605599999988</c:v>
                      </c:pt>
                      <c:pt idx="15">
                        <c:v>15623.0758618</c:v>
                      </c:pt>
                      <c:pt idx="16">
                        <c:v>3636.9492592700003</c:v>
                      </c:pt>
                      <c:pt idx="17">
                        <c:v>9231.9391079999987</c:v>
                      </c:pt>
                      <c:pt idx="18">
                        <c:v>8498.6262273089978</c:v>
                      </c:pt>
                      <c:pt idx="19">
                        <c:v>20942.297840310006</c:v>
                      </c:pt>
                      <c:pt idx="20">
                        <c:v>10177.172159155001</c:v>
                      </c:pt>
                      <c:pt idx="21">
                        <c:v>8236.380698697998</c:v>
                      </c:pt>
                      <c:pt idx="22">
                        <c:v>5886.4109562000003</c:v>
                      </c:pt>
                      <c:pt idx="23">
                        <c:v>8898.034930400001</c:v>
                      </c:pt>
                      <c:pt idx="24">
                        <c:v>13444.13836628</c:v>
                      </c:pt>
                      <c:pt idx="25">
                        <c:v>8507.5984832446993</c:v>
                      </c:pt>
                      <c:pt idx="26">
                        <c:v>8818.0187824419991</c:v>
                      </c:pt>
                      <c:pt idx="27">
                        <c:v>7171.1183265049985</c:v>
                      </c:pt>
                      <c:pt idx="28">
                        <c:v>12075.385292209998</c:v>
                      </c:pt>
                      <c:pt idx="29">
                        <c:v>11555.5630651054</c:v>
                      </c:pt>
                      <c:pt idx="30">
                        <c:v>7983.9571500000011</c:v>
                      </c:pt>
                      <c:pt idx="31">
                        <c:v>10546.021462265999</c:v>
                      </c:pt>
                    </c:numCache>
                  </c:numRef>
                </c:yVal>
                <c:smooth val="0"/>
                <c:extLst xmlns:c15="http://schemas.microsoft.com/office/drawing/2012/chart">
                  <c:ext xmlns:c16="http://schemas.microsoft.com/office/drawing/2014/chart" uri="{C3380CC4-5D6E-409C-BE32-E72D297353CC}">
                    <c16:uniqueId val="{00000001-CFAF-4272-92A1-A416039D5913}"/>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'Porgy Complex'!$E$42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'Porgy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Complex'!$E$43:$E$48</c15:sqref>
                        </c15:formulaRef>
                      </c:ext>
                    </c:extLst>
                    <c:numCache>
                      <c:formatCode>#,##0</c:formatCode>
                      <c:ptCount val="6"/>
                      <c:pt idx="0">
                        <c:v>8497.0973780599998</c:v>
                      </c:pt>
                      <c:pt idx="1">
                        <c:v>8497.0973780599998</c:v>
                      </c:pt>
                      <c:pt idx="2">
                        <c:v>8497.0973780599998</c:v>
                      </c:pt>
                      <c:pt idx="3">
                        <c:v>8497.0973780599998</c:v>
                      </c:pt>
                      <c:pt idx="4">
                        <c:v>8497.0973780599998</c:v>
                      </c:pt>
                      <c:pt idx="5">
                        <c:v>8497.0973780599998</c:v>
                      </c:pt>
                    </c:numCache>
                  </c:numRef>
                </c:yVal>
                <c:smooth val="0"/>
                <c:extLst xmlns:c15="http://schemas.microsoft.com/office/drawing/2012/chart">
                  <c:ext xmlns:c16="http://schemas.microsoft.com/office/drawing/2014/chart" uri="{C3380CC4-5D6E-409C-BE32-E72D297353CC}">
                    <c16:uniqueId val="{00000004-CFAF-4272-92A1-A416039D5913}"/>
                  </c:ext>
                </c:extLst>
              </c15:ser>
            </c15:filteredScatterSeries>
            <c15:filteredScatterSeries>
              <c15:ser>
                <c:idx val="3"/>
                <c:order val="6"/>
                <c:tx>
                  <c:strRef>
                    <c:extLst xmlns:c15="http://schemas.microsoft.com/office/drawing/2012/chart">
                      <c:ext xmlns:c15="http://schemas.microsoft.com/office/drawing/2012/chart" uri="{02D57815-91ED-43cb-92C2-25804820EDAC}">
                        <c15:formulaRef>
                          <c15:sqref>'Porgy Complex'!$N$42</c15:sqref>
                        </c15:formulaRef>
                      </c:ext>
                    </c:extLst>
                    <c:strCache>
                      <c:ptCount val="1"/>
                      <c:pt idx="0">
                        <c:v>Orig FES ABC/ACL</c:v>
                      </c:pt>
                    </c:strCache>
                  </c:strRef>
                </c:tx>
                <c:spPr>
                  <a:ln w="38100">
                    <a:solidFill>
                      <a:srgbClr val="7030A0"/>
                    </a:solidFill>
                  </a:ln>
                </c:spPr>
                <c:marker>
                  <c:symbol val="none"/>
                </c:marker>
                <c:xVal>
                  <c:numRef>
                    <c:extLst xmlns:c15="http://schemas.microsoft.com/office/drawing/2012/chart">
                      <c:ext xmlns:c15="http://schemas.microsoft.com/office/drawing/2012/chart" uri="{02D57815-91ED-43cb-92C2-25804820EDAC}">
                        <c15:formulaRef>
                          <c15:sqref>'Porgy Complex'!$J$43:$J$48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Complex'!$N$43:$N$48</c15:sqref>
                        </c15:formulaRef>
                      </c:ext>
                    </c:extLst>
                    <c:numCache>
                      <c:formatCode>#,##0</c:formatCode>
                      <c:ptCount val="6"/>
                      <c:pt idx="0">
                        <c:v>8498.6262273089978</c:v>
                      </c:pt>
                      <c:pt idx="1">
                        <c:v>8498.6262273089978</c:v>
                      </c:pt>
                      <c:pt idx="2">
                        <c:v>8498.6262273089978</c:v>
                      </c:pt>
                      <c:pt idx="3">
                        <c:v>8498.6262273089978</c:v>
                      </c:pt>
                      <c:pt idx="4">
                        <c:v>8498.6262273089978</c:v>
                      </c:pt>
                      <c:pt idx="5">
                        <c:v>8498.6262273089978</c:v>
                      </c:pt>
                    </c:numCache>
                  </c:numRef>
                </c:yVal>
                <c:smooth val="0"/>
                <c:extLst xmlns:c15="http://schemas.microsoft.com/office/drawing/2012/chart">
                  <c:ext xmlns:c16="http://schemas.microsoft.com/office/drawing/2014/chart" uri="{C3380CC4-5D6E-409C-BE32-E72D297353CC}">
                    <c16:uniqueId val="{00000005-CFAF-4272-92A1-A416039D5913}"/>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4"/>
          <c:order val="2"/>
          <c:tx>
            <c:strRef>
              <c:f>'Porgy Complex'!$AG$3</c:f>
              <c:strCache>
                <c:ptCount val="1"/>
                <c:pt idx="0">
                  <c:v>New Wgt Rec</c:v>
                </c:pt>
              </c:strCache>
            </c:strRef>
          </c:tx>
          <c:spPr>
            <a:ln>
              <a:solidFill>
                <a:schemeClr val="accent5"/>
              </a:solidFill>
            </a:ln>
          </c:spPr>
          <c:marker>
            <c:symbol val="square"/>
            <c:size val="7"/>
            <c:spPr>
              <a:solidFill>
                <a:schemeClr val="accent5"/>
              </a:solidFill>
              <a:ln>
                <a:solidFill>
                  <a:schemeClr val="accent5"/>
                </a:solidFill>
              </a:ln>
            </c:spPr>
          </c:marker>
          <c:xVal>
            <c:numRef>
              <c:f>'Porgy Complex'!$AB$4:$AB$35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Complex'!$AG$4:$AG$35</c:f>
              <c:numCache>
                <c:formatCode>#,##0</c:formatCode>
                <c:ptCount val="32"/>
                <c:pt idx="0">
                  <c:v>26306.292353099991</c:v>
                </c:pt>
                <c:pt idx="1">
                  <c:v>44062.676998140007</c:v>
                </c:pt>
                <c:pt idx="2">
                  <c:v>31419.249314315002</c:v>
                </c:pt>
                <c:pt idx="3">
                  <c:v>41712.341330410003</c:v>
                </c:pt>
                <c:pt idx="4">
                  <c:v>25061.670221086995</c:v>
                </c:pt>
                <c:pt idx="5">
                  <c:v>72008.46220749701</c:v>
                </c:pt>
                <c:pt idx="6">
                  <c:v>64843.784360110003</c:v>
                </c:pt>
                <c:pt idx="7">
                  <c:v>38483.903101094991</c:v>
                </c:pt>
                <c:pt idx="8">
                  <c:v>32600.021798909995</c:v>
                </c:pt>
                <c:pt idx="9">
                  <c:v>38201.796931020006</c:v>
                </c:pt>
                <c:pt idx="10">
                  <c:v>39976.328815390007</c:v>
                </c:pt>
                <c:pt idx="11">
                  <c:v>100212.39915660003</c:v>
                </c:pt>
                <c:pt idx="12">
                  <c:v>20767.428854713999</c:v>
                </c:pt>
                <c:pt idx="13">
                  <c:v>17753.001834956998</c:v>
                </c:pt>
                <c:pt idx="14">
                  <c:v>62422.495876548004</c:v>
                </c:pt>
                <c:pt idx="15">
                  <c:v>50770.739054819082</c:v>
                </c:pt>
                <c:pt idx="16">
                  <c:v>65099.126187476009</c:v>
                </c:pt>
                <c:pt idx="17">
                  <c:v>37260.054427973992</c:v>
                </c:pt>
                <c:pt idx="18">
                  <c:v>17541.610075537003</c:v>
                </c:pt>
                <c:pt idx="19">
                  <c:v>42615.617095886999</c:v>
                </c:pt>
                <c:pt idx="20">
                  <c:v>17320.378538904297</c:v>
                </c:pt>
                <c:pt idx="21">
                  <c:v>39267.744894709991</c:v>
                </c:pt>
                <c:pt idx="22">
                  <c:v>52860.962689392014</c:v>
                </c:pt>
                <c:pt idx="23">
                  <c:v>13458.923454627</c:v>
                </c:pt>
                <c:pt idx="24">
                  <c:v>58622.8844816973</c:v>
                </c:pt>
                <c:pt idx="25">
                  <c:v>50191.718176651993</c:v>
                </c:pt>
                <c:pt idx="26">
                  <c:v>51605.314539015308</c:v>
                </c:pt>
                <c:pt idx="27">
                  <c:v>43963.337950239002</c:v>
                </c:pt>
                <c:pt idx="28">
                  <c:v>141736.19382347897</c:v>
                </c:pt>
                <c:pt idx="29">
                  <c:v>55565.714840288005</c:v>
                </c:pt>
                <c:pt idx="30">
                  <c:v>55677.068094964015</c:v>
                </c:pt>
                <c:pt idx="31">
                  <c:v>45456.815979586994</c:v>
                </c:pt>
              </c:numCache>
            </c:numRef>
          </c:yVal>
          <c:smooth val="0"/>
          <c:extLst>
            <c:ext xmlns:c16="http://schemas.microsoft.com/office/drawing/2014/chart" uri="{C3380CC4-5D6E-409C-BE32-E72D297353CC}">
              <c16:uniqueId val="{00000002-4B92-4FCE-B8A7-5755D484F061}"/>
            </c:ext>
          </c:extLst>
        </c:ser>
        <c:ser>
          <c:idx val="5"/>
          <c:order val="3"/>
          <c:tx>
            <c:strRef>
              <c:f>'Porgy Complex'!$AO$3</c:f>
              <c:strCache>
                <c:ptCount val="1"/>
                <c:pt idx="0">
                  <c:v>Orig FES Rec</c:v>
                </c:pt>
              </c:strCache>
            </c:strRef>
          </c:tx>
          <c:xVal>
            <c:numRef>
              <c:f>'Porgy Complex'!$AJ$4:$AJ$35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Complex'!$AO$4:$AO$35</c:f>
              <c:numCache>
                <c:formatCode>#,##0</c:formatCode>
                <c:ptCount val="32"/>
                <c:pt idx="0">
                  <c:v>26324.3026918</c:v>
                </c:pt>
                <c:pt idx="1">
                  <c:v>41624.770072209998</c:v>
                </c:pt>
                <c:pt idx="2">
                  <c:v>31439.576119963993</c:v>
                </c:pt>
                <c:pt idx="3">
                  <c:v>48615.884334030015</c:v>
                </c:pt>
                <c:pt idx="4">
                  <c:v>35597.586835690017</c:v>
                </c:pt>
                <c:pt idx="5">
                  <c:v>76848.986086136982</c:v>
                </c:pt>
                <c:pt idx="6">
                  <c:v>64843.784360109988</c:v>
                </c:pt>
                <c:pt idx="7">
                  <c:v>40230.460486153985</c:v>
                </c:pt>
                <c:pt idx="8">
                  <c:v>33218.561826719997</c:v>
                </c:pt>
                <c:pt idx="9">
                  <c:v>38618.46191237001</c:v>
                </c:pt>
                <c:pt idx="10">
                  <c:v>40052.627645379987</c:v>
                </c:pt>
                <c:pt idx="11">
                  <c:v>100362.11607759999</c:v>
                </c:pt>
                <c:pt idx="12">
                  <c:v>21176.490322449004</c:v>
                </c:pt>
                <c:pt idx="13">
                  <c:v>17509.668714033007</c:v>
                </c:pt>
                <c:pt idx="14">
                  <c:v>67263.673567558013</c:v>
                </c:pt>
                <c:pt idx="15">
                  <c:v>50359.464171726082</c:v>
                </c:pt>
                <c:pt idx="16">
                  <c:v>55132.972790232998</c:v>
                </c:pt>
                <c:pt idx="17">
                  <c:v>37155.075439093998</c:v>
                </c:pt>
                <c:pt idx="18">
                  <c:v>16676.245390252003</c:v>
                </c:pt>
                <c:pt idx="19">
                  <c:v>41386.741246906</c:v>
                </c:pt>
                <c:pt idx="20">
                  <c:v>17589.446281611494</c:v>
                </c:pt>
                <c:pt idx="21">
                  <c:v>37547.279768691995</c:v>
                </c:pt>
                <c:pt idx="22">
                  <c:v>52860.962689391999</c:v>
                </c:pt>
                <c:pt idx="23">
                  <c:v>15184.709659033997</c:v>
                </c:pt>
                <c:pt idx="24">
                  <c:v>58796.470306287265</c:v>
                </c:pt>
                <c:pt idx="25">
                  <c:v>51212.768333282009</c:v>
                </c:pt>
                <c:pt idx="26">
                  <c:v>50461.805824834293</c:v>
                </c:pt>
                <c:pt idx="27">
                  <c:v>44409.300823270001</c:v>
                </c:pt>
                <c:pt idx="28">
                  <c:v>141736.19382347894</c:v>
                </c:pt>
                <c:pt idx="29">
                  <c:v>54947.351508129992</c:v>
                </c:pt>
                <c:pt idx="30">
                  <c:v>53972.553692534028</c:v>
                </c:pt>
                <c:pt idx="31">
                  <c:v>47418.497179248021</c:v>
                </c:pt>
              </c:numCache>
            </c:numRef>
          </c:yVal>
          <c:smooth val="0"/>
          <c:extLst>
            <c:ext xmlns:c16="http://schemas.microsoft.com/office/drawing/2014/chart" uri="{C3380CC4-5D6E-409C-BE32-E72D297353CC}">
              <c16:uniqueId val="{00000003-4B92-4FCE-B8A7-5755D484F061}"/>
            </c:ext>
          </c:extLst>
        </c:ser>
        <c:ser>
          <c:idx val="6"/>
          <c:order val="4"/>
          <c:tx>
            <c:strRef>
              <c:f>'Porgy Complex'!$AD$142</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f>'Porgy Complex'!$X$143:$X$174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Complex'!$AD$143:$AD$174</c:f>
              <c:numCache>
                <c:formatCode>#,##0</c:formatCode>
                <c:ptCount val="32"/>
                <c:pt idx="0">
                  <c:v>25532.138454181579</c:v>
                </c:pt>
                <c:pt idx="1">
                  <c:v>43944.28815640814</c:v>
                </c:pt>
                <c:pt idx="3">
                  <c:v>40760.8518236089</c:v>
                </c:pt>
                <c:pt idx="4">
                  <c:v>27732.004649455739</c:v>
                </c:pt>
                <c:pt idx="5">
                  <c:v>74211.038975698437</c:v>
                </c:pt>
                <c:pt idx="6">
                  <c:v>40765.120023562951</c:v>
                </c:pt>
                <c:pt idx="7">
                  <c:v>36776.713152627737</c:v>
                </c:pt>
                <c:pt idx="8">
                  <c:v>37402.061909876895</c:v>
                </c:pt>
                <c:pt idx="9">
                  <c:v>41061.567836503411</c:v>
                </c:pt>
                <c:pt idx="10">
                  <c:v>32958.577033732341</c:v>
                </c:pt>
                <c:pt idx="11">
                  <c:v>95526.038690676083</c:v>
                </c:pt>
                <c:pt idx="12">
                  <c:v>21258.004373290019</c:v>
                </c:pt>
                <c:pt idx="13">
                  <c:v>18705.394867649236</c:v>
                </c:pt>
                <c:pt idx="14">
                  <c:v>57757.410857320516</c:v>
                </c:pt>
                <c:pt idx="15">
                  <c:v>43821.858881675027</c:v>
                </c:pt>
                <c:pt idx="16">
                  <c:v>65705.186473020338</c:v>
                </c:pt>
                <c:pt idx="17">
                  <c:v>31676.563834805034</c:v>
                </c:pt>
                <c:pt idx="18">
                  <c:v>18234.106810982703</c:v>
                </c:pt>
                <c:pt idx="19">
                  <c:v>47956.378096784319</c:v>
                </c:pt>
                <c:pt idx="20">
                  <c:v>16952.187690239978</c:v>
                </c:pt>
                <c:pt idx="21">
                  <c:v>32258.107383279264</c:v>
                </c:pt>
                <c:pt idx="22">
                  <c:v>59909.498882701439</c:v>
                </c:pt>
                <c:pt idx="23">
                  <c:v>12068.158028983929</c:v>
                </c:pt>
                <c:pt idx="24">
                  <c:v>52758.217550952737</c:v>
                </c:pt>
                <c:pt idx="25">
                  <c:v>51057.511686603713</c:v>
                </c:pt>
                <c:pt idx="26">
                  <c:v>51152.110543241201</c:v>
                </c:pt>
                <c:pt idx="27">
                  <c:v>40776.65206351821</c:v>
                </c:pt>
                <c:pt idx="28">
                  <c:v>143486.02153243244</c:v>
                </c:pt>
                <c:pt idx="29">
                  <c:v>57652.893228452747</c:v>
                </c:pt>
                <c:pt idx="30">
                  <c:v>53501.631235131274</c:v>
                </c:pt>
                <c:pt idx="31">
                  <c:v>46623.569709799398</c:v>
                </c:pt>
              </c:numCache>
            </c:numRef>
          </c:yVal>
          <c:smooth val="0"/>
          <c:extLst>
            <c:ext xmlns:c16="http://schemas.microsoft.com/office/drawing/2014/chart" uri="{C3380CC4-5D6E-409C-BE32-E72D297353CC}">
              <c16:uniqueId val="{00000006-4B92-4FCE-B8A7-5755D484F061}"/>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0"/>
                <c:order val="0"/>
                <c:tx>
                  <c:strRef>
                    <c:extLst>
                      <c:ext uri="{02D57815-91ED-43cb-92C2-25804820EDAC}">
                        <c15:formulaRef>
                          <c15:sqref>'Porgy Complex'!$F$3</c15:sqref>
                        </c15:formulaRef>
                      </c:ext>
                    </c:extLst>
                    <c:strCache>
                      <c:ptCount val="1"/>
                      <c:pt idx="0">
                        <c:v>Total Old</c:v>
                      </c:pt>
                    </c:strCache>
                  </c:strRef>
                </c:tx>
                <c:xVal>
                  <c:numRef>
                    <c:extLst>
                      <c:ext uri="{02D57815-91ED-43cb-92C2-25804820EDAC}">
                        <c15:formulaRef>
                          <c15:sqref>'Porgy Complex'!$A$4:$A$35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Complex'!$F$4:$F$35</c15:sqref>
                        </c15:formulaRef>
                      </c:ext>
                    </c:extLst>
                    <c:numCache>
                      <c:formatCode>#,##0</c:formatCode>
                      <c:ptCount val="32"/>
                      <c:pt idx="0">
                        <c:v>26395.292353099991</c:v>
                      </c:pt>
                      <c:pt idx="1">
                        <c:v>44277.676998140007</c:v>
                      </c:pt>
                      <c:pt idx="2">
                        <c:v>40597.249314315006</c:v>
                      </c:pt>
                      <c:pt idx="3">
                        <c:v>41989.341330410003</c:v>
                      </c:pt>
                      <c:pt idx="4">
                        <c:v>25927.670221086995</c:v>
                      </c:pt>
                      <c:pt idx="5">
                        <c:v>72873.46220749701</c:v>
                      </c:pt>
                      <c:pt idx="6">
                        <c:v>64879.784360110003</c:v>
                      </c:pt>
                      <c:pt idx="7">
                        <c:v>38631.903101094991</c:v>
                      </c:pt>
                      <c:pt idx="8">
                        <c:v>32633.021798909995</c:v>
                      </c:pt>
                      <c:pt idx="9">
                        <c:v>38241.796931020006</c:v>
                      </c:pt>
                      <c:pt idx="10">
                        <c:v>40023.328815390007</c:v>
                      </c:pt>
                      <c:pt idx="11">
                        <c:v>100631.39915660003</c:v>
                      </c:pt>
                      <c:pt idx="12">
                        <c:v>20957.428854713999</c:v>
                      </c:pt>
                      <c:pt idx="13">
                        <c:v>17753.001834956998</c:v>
                      </c:pt>
                      <c:pt idx="14">
                        <c:v>62422.495876548004</c:v>
                      </c:pt>
                      <c:pt idx="15">
                        <c:v>50770.739054819082</c:v>
                      </c:pt>
                      <c:pt idx="16">
                        <c:v>65100.126187476009</c:v>
                      </c:pt>
                      <c:pt idx="17">
                        <c:v>37260.054427973992</c:v>
                      </c:pt>
                      <c:pt idx="18">
                        <c:v>17570.610075537003</c:v>
                      </c:pt>
                      <c:pt idx="19">
                        <c:v>42615.617095886999</c:v>
                      </c:pt>
                      <c:pt idx="20">
                        <c:v>17320.378538904297</c:v>
                      </c:pt>
                      <c:pt idx="21">
                        <c:v>39267.744894709991</c:v>
                      </c:pt>
                      <c:pt idx="22">
                        <c:v>52865.962689392014</c:v>
                      </c:pt>
                      <c:pt idx="23">
                        <c:v>13488.923454627</c:v>
                      </c:pt>
                      <c:pt idx="24">
                        <c:v>58622.8844816973</c:v>
                      </c:pt>
                      <c:pt idx="25">
                        <c:v>50207.718176651993</c:v>
                      </c:pt>
                      <c:pt idx="26">
                        <c:v>51608.314539015308</c:v>
                      </c:pt>
                      <c:pt idx="27">
                        <c:v>43980.337950239002</c:v>
                      </c:pt>
                      <c:pt idx="28">
                        <c:v>141844.19382347897</c:v>
                      </c:pt>
                      <c:pt idx="29">
                        <c:v>55585.714840288005</c:v>
                      </c:pt>
                      <c:pt idx="30">
                        <c:v>55797.068094964015</c:v>
                      </c:pt>
                      <c:pt idx="31">
                        <c:v>50400.815979586994</c:v>
                      </c:pt>
                    </c:numCache>
                  </c:numRef>
                </c:yVal>
                <c:smooth val="0"/>
                <c:extLst>
                  <c:ext xmlns:c16="http://schemas.microsoft.com/office/drawing/2014/chart" uri="{C3380CC4-5D6E-409C-BE32-E72D297353CC}">
                    <c16:uniqueId val="{00000000-4B92-4FCE-B8A7-5755D484F061}"/>
                  </c:ext>
                </c:extLst>
              </c15:ser>
            </c15:filteredScatterSeries>
            <c15:filteredScatterSeries>
              <c15:ser>
                <c:idx val="2"/>
                <c:order val="1"/>
                <c:tx>
                  <c:strRef>
                    <c:extLst xmlns:c15="http://schemas.microsoft.com/office/drawing/2012/chart">
                      <c:ext xmlns:c15="http://schemas.microsoft.com/office/drawing/2012/chart" uri="{02D57815-91ED-43cb-92C2-25804820EDAC}">
                        <c15:formulaRef>
                          <c15:sqref>'Porgy Complex'!$O$3</c15:sqref>
                        </c15:formulaRef>
                      </c:ext>
                    </c:extLst>
                    <c:strCache>
                      <c:ptCount val="1"/>
                      <c:pt idx="0">
                        <c:v>Total Orig FES</c:v>
                      </c:pt>
                    </c:strCache>
                  </c:strRef>
                </c:tx>
                <c:spPr>
                  <a:ln>
                    <a:solidFill>
                      <a:schemeClr val="accent5"/>
                    </a:solidFill>
                  </a:ln>
                </c:spPr>
                <c:marker>
                  <c:symbol val="x"/>
                  <c:size val="7"/>
                  <c:spPr>
                    <a:noFill/>
                    <a:ln w="12700">
                      <a:solidFill>
                        <a:schemeClr val="accent5"/>
                      </a:solidFill>
                    </a:ln>
                  </c:spPr>
                </c:marker>
                <c:xVal>
                  <c:numRef>
                    <c:extLst xmlns:c15="http://schemas.microsoft.com/office/drawing/2012/chart">
                      <c:ext xmlns:c15="http://schemas.microsoft.com/office/drawing/2012/chart" uri="{02D57815-91ED-43cb-92C2-25804820EDAC}">
                        <c15:formulaRef>
                          <c15:sqref>'Porgy Complex'!$J$4:$J$35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Complex'!$O$4:$O$35</c15:sqref>
                        </c15:formulaRef>
                      </c:ext>
                    </c:extLst>
                    <c:numCache>
                      <c:formatCode>#,##0</c:formatCode>
                      <c:ptCount val="32"/>
                      <c:pt idx="0">
                        <c:v>26413.3026918</c:v>
                      </c:pt>
                      <c:pt idx="1">
                        <c:v>41839.770072209998</c:v>
                      </c:pt>
                      <c:pt idx="2">
                        <c:v>40617.576119963996</c:v>
                      </c:pt>
                      <c:pt idx="3">
                        <c:v>48892.884334030015</c:v>
                      </c:pt>
                      <c:pt idx="4">
                        <c:v>36463.586835690017</c:v>
                      </c:pt>
                      <c:pt idx="5">
                        <c:v>77713.986086136982</c:v>
                      </c:pt>
                      <c:pt idx="6">
                        <c:v>64879.784360109988</c:v>
                      </c:pt>
                      <c:pt idx="7">
                        <c:v>40378.460486153985</c:v>
                      </c:pt>
                      <c:pt idx="8">
                        <c:v>33251.561826719997</c:v>
                      </c:pt>
                      <c:pt idx="9">
                        <c:v>38658.46191237001</c:v>
                      </c:pt>
                      <c:pt idx="10">
                        <c:v>40099.627645379987</c:v>
                      </c:pt>
                      <c:pt idx="11">
                        <c:v>100781.11607759999</c:v>
                      </c:pt>
                      <c:pt idx="12">
                        <c:v>21366.490322449004</c:v>
                      </c:pt>
                      <c:pt idx="13">
                        <c:v>17509.668714033007</c:v>
                      </c:pt>
                      <c:pt idx="14">
                        <c:v>67263.673567558013</c:v>
                      </c:pt>
                      <c:pt idx="15">
                        <c:v>50359.464171726082</c:v>
                      </c:pt>
                      <c:pt idx="16">
                        <c:v>55133.972790232998</c:v>
                      </c:pt>
                      <c:pt idx="17">
                        <c:v>37155.075439093998</c:v>
                      </c:pt>
                      <c:pt idx="18">
                        <c:v>16705.245390252003</c:v>
                      </c:pt>
                      <c:pt idx="19">
                        <c:v>41386.741246906</c:v>
                      </c:pt>
                      <c:pt idx="20">
                        <c:v>17589.446281611494</c:v>
                      </c:pt>
                      <c:pt idx="21">
                        <c:v>37547.279768691995</c:v>
                      </c:pt>
                      <c:pt idx="22">
                        <c:v>52865.962689391999</c:v>
                      </c:pt>
                      <c:pt idx="23">
                        <c:v>15214.709659033997</c:v>
                      </c:pt>
                      <c:pt idx="24">
                        <c:v>58796.470306287265</c:v>
                      </c:pt>
                      <c:pt idx="25">
                        <c:v>51228.768333282009</c:v>
                      </c:pt>
                      <c:pt idx="26">
                        <c:v>50464.805824834293</c:v>
                      </c:pt>
                      <c:pt idx="27">
                        <c:v>44426.300823270001</c:v>
                      </c:pt>
                      <c:pt idx="28">
                        <c:v>141844.19382347894</c:v>
                      </c:pt>
                      <c:pt idx="29">
                        <c:v>54967.351508129992</c:v>
                      </c:pt>
                      <c:pt idx="30">
                        <c:v>54092.553692534028</c:v>
                      </c:pt>
                      <c:pt idx="31">
                        <c:v>52362.497179248021</c:v>
                      </c:pt>
                    </c:numCache>
                  </c:numRef>
                </c:yVal>
                <c:smooth val="0"/>
                <c:extLst xmlns:c15="http://schemas.microsoft.com/office/drawing/2012/chart">
                  <c:ext xmlns:c16="http://schemas.microsoft.com/office/drawing/2014/chart" uri="{C3380CC4-5D6E-409C-BE32-E72D297353CC}">
                    <c16:uniqueId val="{00000001-4B92-4FCE-B8A7-5755D484F061}"/>
                  </c:ext>
                </c:extLst>
              </c15:ser>
            </c15:filteredScatterSeries>
            <c15:filteredScatterSeries>
              <c15:ser>
                <c:idx val="1"/>
                <c:order val="5"/>
                <c:tx>
                  <c:strRef>
                    <c:extLst xmlns:c15="http://schemas.microsoft.com/office/drawing/2012/chart">
                      <c:ext xmlns:c15="http://schemas.microsoft.com/office/drawing/2012/chart" uri="{02D57815-91ED-43cb-92C2-25804820EDAC}">
                        <c15:formulaRef>
                          <c15:sqref>'Porgy Complex'!$F$42</c15:sqref>
                        </c15:formulaRef>
                      </c:ext>
                    </c:extLst>
                    <c:strCache>
                      <c:ptCount val="1"/>
                      <c:pt idx="0">
                        <c:v>New Wgt ABC/ACL</c:v>
                      </c:pt>
                    </c:strCache>
                  </c:strRef>
                </c:tx>
                <c:spPr>
                  <a:ln w="38100">
                    <a:solidFill>
                      <a:schemeClr val="tx1"/>
                    </a:solidFill>
                  </a:ln>
                </c:spPr>
                <c:marker>
                  <c:symbol val="none"/>
                </c:marker>
                <c:xVal>
                  <c:numRef>
                    <c:extLst xmlns:c15="http://schemas.microsoft.com/office/drawing/2012/chart">
                      <c:ext xmlns:c15="http://schemas.microsoft.com/office/drawing/2012/chart" uri="{02D57815-91ED-43cb-92C2-25804820EDAC}">
                        <c15:formulaRef>
                          <c15:sqref>'Porgy Complex'!$A$43:$A$48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Complex'!$F$43:$F$48</c15:sqref>
                        </c15:formulaRef>
                      </c:ext>
                    </c:extLst>
                    <c:numCache>
                      <c:formatCode>#,##0</c:formatCode>
                      <c:ptCount val="6"/>
                      <c:pt idx="0">
                        <c:v>50770.739054819082</c:v>
                      </c:pt>
                      <c:pt idx="1">
                        <c:v>50770.739054819082</c:v>
                      </c:pt>
                      <c:pt idx="2">
                        <c:v>50770.739054819082</c:v>
                      </c:pt>
                      <c:pt idx="3">
                        <c:v>50770.739054819082</c:v>
                      </c:pt>
                      <c:pt idx="4">
                        <c:v>50770.739054819082</c:v>
                      </c:pt>
                      <c:pt idx="5">
                        <c:v>50770.739054819082</c:v>
                      </c:pt>
                    </c:numCache>
                  </c:numRef>
                </c:yVal>
                <c:smooth val="0"/>
                <c:extLst xmlns:c15="http://schemas.microsoft.com/office/drawing/2012/chart">
                  <c:ext xmlns:c16="http://schemas.microsoft.com/office/drawing/2014/chart" uri="{C3380CC4-5D6E-409C-BE32-E72D297353CC}">
                    <c16:uniqueId val="{00000004-4B92-4FCE-B8A7-5755D484F061}"/>
                  </c:ext>
                </c:extLst>
              </c15:ser>
            </c15:filteredScatterSeries>
            <c15:filteredScatterSeries>
              <c15:ser>
                <c:idx val="3"/>
                <c:order val="6"/>
                <c:tx>
                  <c:strRef>
                    <c:extLst xmlns:c15="http://schemas.microsoft.com/office/drawing/2012/chart">
                      <c:ext xmlns:c15="http://schemas.microsoft.com/office/drawing/2012/chart" uri="{02D57815-91ED-43cb-92C2-25804820EDAC}">
                        <c15:formulaRef>
                          <c15:sqref>'Porgy Complex'!$O$42</c15:sqref>
                        </c15:formulaRef>
                      </c:ext>
                    </c:extLst>
                    <c:strCache>
                      <c:ptCount val="1"/>
                      <c:pt idx="0">
                        <c:v>Orig FES ABC/ACL</c:v>
                      </c:pt>
                    </c:strCache>
                  </c:strRef>
                </c:tx>
                <c:spPr>
                  <a:ln w="38100">
                    <a:solidFill>
                      <a:srgbClr val="7030A0"/>
                    </a:solidFill>
                  </a:ln>
                </c:spPr>
                <c:marker>
                  <c:symbol val="none"/>
                </c:marker>
                <c:xVal>
                  <c:numRef>
                    <c:extLst xmlns:c15="http://schemas.microsoft.com/office/drawing/2012/chart">
                      <c:ext xmlns:c15="http://schemas.microsoft.com/office/drawing/2012/chart" uri="{02D57815-91ED-43cb-92C2-25804820EDAC}">
                        <c15:formulaRef>
                          <c15:sqref>'Porgy Complex'!$J$43:$J$48</c15:sqref>
                        </c15:formulaRef>
                      </c:ext>
                    </c:extLst>
                    <c:numCache>
                      <c:formatCode>General</c:formatCode>
                      <c:ptCount val="6"/>
                      <c:pt idx="0">
                        <c:v>2012</c:v>
                      </c:pt>
                      <c:pt idx="1">
                        <c:v>2013</c:v>
                      </c:pt>
                      <c:pt idx="2">
                        <c:v>2014</c:v>
                      </c:pt>
                      <c:pt idx="3">
                        <c:v>2015</c:v>
                      </c:pt>
                      <c:pt idx="4">
                        <c:v>2016</c:v>
                      </c:pt>
                      <c:pt idx="5">
                        <c:v>2017</c:v>
                      </c:pt>
                    </c:numCache>
                  </c:numRef>
                </c:xVal>
                <c:yVal>
                  <c:numRef>
                    <c:extLst xmlns:c15="http://schemas.microsoft.com/office/drawing/2012/chart">
                      <c:ext xmlns:c15="http://schemas.microsoft.com/office/drawing/2012/chart" uri="{02D57815-91ED-43cb-92C2-25804820EDAC}">
                        <c15:formulaRef>
                          <c15:sqref>'Porgy Complex'!$O$43:$O$48</c15:sqref>
                        </c15:formulaRef>
                      </c:ext>
                    </c:extLst>
                    <c:numCache>
                      <c:formatCode>#,##0</c:formatCode>
                      <c:ptCount val="6"/>
                      <c:pt idx="0">
                        <c:v>50359.464171726082</c:v>
                      </c:pt>
                      <c:pt idx="1">
                        <c:v>50359.464171726082</c:v>
                      </c:pt>
                      <c:pt idx="2">
                        <c:v>50359.464171726082</c:v>
                      </c:pt>
                      <c:pt idx="3">
                        <c:v>50359.464171726082</c:v>
                      </c:pt>
                      <c:pt idx="4">
                        <c:v>50359.464171726082</c:v>
                      </c:pt>
                      <c:pt idx="5">
                        <c:v>50359.464171726082</c:v>
                      </c:pt>
                    </c:numCache>
                  </c:numRef>
                </c:yVal>
                <c:smooth val="0"/>
                <c:extLst xmlns:c15="http://schemas.microsoft.com/office/drawing/2012/chart">
                  <c:ext xmlns:c16="http://schemas.microsoft.com/office/drawing/2014/chart" uri="{C3380CC4-5D6E-409C-BE32-E72D297353CC}">
                    <c16:uniqueId val="{00000005-4B92-4FCE-B8A7-5755D484F061}"/>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150000"/>
          <c:min val="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majorUnit val="15000"/>
      </c:valAx>
    </c:plotArea>
    <c:legend>
      <c:legendPos val="b"/>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0"/>
          <c:order val="0"/>
          <c:tx>
            <c:strRef>
              <c:f>'Porgy Complex'!$B$3</c:f>
              <c:strCache>
                <c:ptCount val="1"/>
                <c:pt idx="0">
                  <c:v>Total New Wgt</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Complex'!$B$4:$B$35</c:f>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62316.154357009997</c:v>
                </c:pt>
                <c:pt idx="8">
                  <c:v>72668.084089759985</c:v>
                </c:pt>
                <c:pt idx="9">
                  <c:v>15171.695219000001</c:v>
                </c:pt>
                <c:pt idx="10">
                  <c:v>43771.225392560023</c:v>
                </c:pt>
                <c:pt idx="11">
                  <c:v>20052.256260478993</c:v>
                </c:pt>
                <c:pt idx="12">
                  <c:v>28901.645065473997</c:v>
                </c:pt>
                <c:pt idx="13">
                  <c:v>43894.566444776006</c:v>
                </c:pt>
                <c:pt idx="14">
                  <c:v>38980.90098477601</c:v>
                </c:pt>
                <c:pt idx="15">
                  <c:v>43495.099387236987</c:v>
                </c:pt>
                <c:pt idx="16">
                  <c:v>51764.141448233036</c:v>
                </c:pt>
                <c:pt idx="17">
                  <c:v>83181.230075120082</c:v>
                </c:pt>
                <c:pt idx="18">
                  <c:v>62629.84330385401</c:v>
                </c:pt>
                <c:pt idx="19">
                  <c:v>42352.382302018996</c:v>
                </c:pt>
                <c:pt idx="20">
                  <c:v>37282.339916197001</c:v>
                </c:pt>
                <c:pt idx="21">
                  <c:v>54789.003827783032</c:v>
                </c:pt>
                <c:pt idx="22">
                  <c:v>66869.909171654988</c:v>
                </c:pt>
                <c:pt idx="23">
                  <c:v>61600.331973159999</c:v>
                </c:pt>
                <c:pt idx="24">
                  <c:v>52291.577886439998</c:v>
                </c:pt>
                <c:pt idx="25">
                  <c:v>34046.545690218001</c:v>
                </c:pt>
                <c:pt idx="26">
                  <c:v>70774.704311358975</c:v>
                </c:pt>
                <c:pt idx="27">
                  <c:v>102658.15984520604</c:v>
                </c:pt>
                <c:pt idx="28">
                  <c:v>132888.80306784995</c:v>
                </c:pt>
                <c:pt idx="29">
                  <c:v>148371.32188786607</c:v>
                </c:pt>
                <c:pt idx="30">
                  <c:v>181188.37635517897</c:v>
                </c:pt>
                <c:pt idx="31">
                  <c:v>51079.398856170003</c:v>
                </c:pt>
              </c:numCache>
            </c:numRef>
          </c:yVal>
          <c:smooth val="0"/>
          <c:extLst>
            <c:ext xmlns:c16="http://schemas.microsoft.com/office/drawing/2014/chart" uri="{C3380CC4-5D6E-409C-BE32-E72D297353CC}">
              <c16:uniqueId val="{00000000-31BE-4F78-A09C-CA6E258CA556}"/>
            </c:ext>
          </c:extLst>
        </c:ser>
        <c:ser>
          <c:idx val="2"/>
          <c:order val="1"/>
          <c:tx>
            <c:strRef>
              <c:f>'Porgy Complex'!$K$3</c:f>
              <c:strCache>
                <c:ptCount val="1"/>
                <c:pt idx="0">
                  <c:v>Total Orig FES</c:v>
                </c:pt>
              </c:strCache>
            </c:strRef>
          </c:tx>
          <c:spPr>
            <a:ln>
              <a:solidFill>
                <a:schemeClr val="accent2"/>
              </a:solidFill>
            </a:ln>
          </c:spPr>
          <c:marker>
            <c:symbol val="x"/>
            <c:size val="7"/>
            <c:spPr>
              <a:noFill/>
              <a:ln w="12700">
                <a:solidFill>
                  <a:schemeClr val="accent2"/>
                </a:solidFill>
              </a:ln>
            </c:spPr>
          </c:marker>
          <c:xVal>
            <c:numRef>
              <c:f>'Porgy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Complex'!$K$4:$K$35</c:f>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75674.997017299975</c:v>
                </c:pt>
                <c:pt idx="8">
                  <c:v>108188.06766636002</c:v>
                </c:pt>
                <c:pt idx="9">
                  <c:v>15200.634627899999</c:v>
                </c:pt>
                <c:pt idx="10">
                  <c:v>44012.086911400023</c:v>
                </c:pt>
                <c:pt idx="11">
                  <c:v>20103.383808732993</c:v>
                </c:pt>
                <c:pt idx="12">
                  <c:v>29048.761660396998</c:v>
                </c:pt>
                <c:pt idx="13">
                  <c:v>55771.216516756023</c:v>
                </c:pt>
                <c:pt idx="14">
                  <c:v>35557.819187990004</c:v>
                </c:pt>
                <c:pt idx="15">
                  <c:v>34714.82301694397</c:v>
                </c:pt>
                <c:pt idx="16">
                  <c:v>51610.238246362031</c:v>
                </c:pt>
                <c:pt idx="17">
                  <c:v>83182.686323510075</c:v>
                </c:pt>
                <c:pt idx="18">
                  <c:v>65701.343448684012</c:v>
                </c:pt>
                <c:pt idx="19">
                  <c:v>42206.739460718993</c:v>
                </c:pt>
                <c:pt idx="20">
                  <c:v>37214.192742972991</c:v>
                </c:pt>
                <c:pt idx="21">
                  <c:v>48393.467010972017</c:v>
                </c:pt>
                <c:pt idx="22">
                  <c:v>68243.809243885014</c:v>
                </c:pt>
                <c:pt idx="23">
                  <c:v>61133.038585589988</c:v>
                </c:pt>
                <c:pt idx="24">
                  <c:v>57614.173756239987</c:v>
                </c:pt>
                <c:pt idx="25">
                  <c:v>34170.562346643012</c:v>
                </c:pt>
                <c:pt idx="26">
                  <c:v>71849.086539286945</c:v>
                </c:pt>
                <c:pt idx="27">
                  <c:v>100703.84680395405</c:v>
                </c:pt>
                <c:pt idx="28">
                  <c:v>129107.87096284996</c:v>
                </c:pt>
                <c:pt idx="29">
                  <c:v>150061.93544617807</c:v>
                </c:pt>
                <c:pt idx="30">
                  <c:v>187878.66666957899</c:v>
                </c:pt>
                <c:pt idx="31">
                  <c:v>52271.060046350009</c:v>
                </c:pt>
              </c:numCache>
            </c:numRef>
          </c:yVal>
          <c:smooth val="0"/>
          <c:extLst>
            <c:ext xmlns:c16="http://schemas.microsoft.com/office/drawing/2014/chart" uri="{C3380CC4-5D6E-409C-BE32-E72D297353CC}">
              <c16:uniqueId val="{00000001-31BE-4F78-A09C-CA6E258CA556}"/>
            </c:ext>
          </c:extLst>
        </c:ser>
        <c:ser>
          <c:idx val="1"/>
          <c:order val="5"/>
          <c:tx>
            <c:strRef>
              <c:f>'Porgy Complex'!$B$42</c:f>
              <c:strCache>
                <c:ptCount val="1"/>
                <c:pt idx="0">
                  <c:v>New Wgt ABC/ACL</c:v>
                </c:pt>
              </c:strCache>
            </c:strRef>
          </c:tx>
          <c:spPr>
            <a:ln w="38100">
              <a:solidFill>
                <a:schemeClr val="tx1"/>
              </a:solidFill>
            </a:ln>
          </c:spPr>
          <c:marker>
            <c:symbol val="none"/>
          </c:marker>
          <c:xVal>
            <c:numRef>
              <c:f>'Porgy Complex'!$A$43:$A$48</c:f>
              <c:numCache>
                <c:formatCode>General</c:formatCode>
                <c:ptCount val="6"/>
                <c:pt idx="0">
                  <c:v>2012</c:v>
                </c:pt>
                <c:pt idx="1">
                  <c:v>2013</c:v>
                </c:pt>
                <c:pt idx="2">
                  <c:v>2014</c:v>
                </c:pt>
                <c:pt idx="3">
                  <c:v>2015</c:v>
                </c:pt>
                <c:pt idx="4">
                  <c:v>2016</c:v>
                </c:pt>
                <c:pt idx="5">
                  <c:v>2017</c:v>
                </c:pt>
              </c:numCache>
            </c:numRef>
          </c:xVal>
          <c:yVal>
            <c:numRef>
              <c:f>'Porgy Complex'!$B$43:$B$48</c:f>
              <c:numCache>
                <c:formatCode>#,##0</c:formatCode>
                <c:ptCount val="6"/>
                <c:pt idx="0">
                  <c:v>54789.003827783032</c:v>
                </c:pt>
                <c:pt idx="1">
                  <c:v>54789.003827783032</c:v>
                </c:pt>
                <c:pt idx="2">
                  <c:v>54789.003827783032</c:v>
                </c:pt>
                <c:pt idx="3">
                  <c:v>54789.003827783032</c:v>
                </c:pt>
                <c:pt idx="4">
                  <c:v>54789.003827783032</c:v>
                </c:pt>
                <c:pt idx="5">
                  <c:v>54789.003827783032</c:v>
                </c:pt>
              </c:numCache>
            </c:numRef>
          </c:yVal>
          <c:smooth val="0"/>
          <c:extLst>
            <c:ext xmlns:c16="http://schemas.microsoft.com/office/drawing/2014/chart" uri="{C3380CC4-5D6E-409C-BE32-E72D297353CC}">
              <c16:uniqueId val="{00000005-31BE-4F78-A09C-CA6E258CA556}"/>
            </c:ext>
          </c:extLst>
        </c:ser>
        <c:ser>
          <c:idx val="3"/>
          <c:order val="6"/>
          <c:tx>
            <c:strRef>
              <c:f>'Porgy Complex'!$K$42</c:f>
              <c:strCache>
                <c:ptCount val="1"/>
                <c:pt idx="0">
                  <c:v>Orig FES ABC/ACL</c:v>
                </c:pt>
              </c:strCache>
            </c:strRef>
          </c:tx>
          <c:spPr>
            <a:ln w="38100">
              <a:solidFill>
                <a:srgbClr val="7030A0"/>
              </a:solidFill>
            </a:ln>
          </c:spPr>
          <c:marker>
            <c:symbol val="none"/>
          </c:marker>
          <c:xVal>
            <c:numRef>
              <c:f>'Porgy Complex'!$J$43:$J$48</c:f>
              <c:numCache>
                <c:formatCode>General</c:formatCode>
                <c:ptCount val="6"/>
                <c:pt idx="0">
                  <c:v>2012</c:v>
                </c:pt>
                <c:pt idx="1">
                  <c:v>2013</c:v>
                </c:pt>
                <c:pt idx="2">
                  <c:v>2014</c:v>
                </c:pt>
                <c:pt idx="3">
                  <c:v>2015</c:v>
                </c:pt>
                <c:pt idx="4">
                  <c:v>2016</c:v>
                </c:pt>
                <c:pt idx="5">
                  <c:v>2017</c:v>
                </c:pt>
              </c:numCache>
            </c:numRef>
          </c:xVal>
          <c:yVal>
            <c:numRef>
              <c:f>'Porgy Complex'!$K$43:$K$48</c:f>
              <c:numCache>
                <c:formatCode>#,##0</c:formatCode>
                <c:ptCount val="6"/>
                <c:pt idx="0">
                  <c:v>55771.216516756023</c:v>
                </c:pt>
                <c:pt idx="1">
                  <c:v>55771.216516756023</c:v>
                </c:pt>
                <c:pt idx="2">
                  <c:v>55771.216516756023</c:v>
                </c:pt>
                <c:pt idx="3">
                  <c:v>55771.216516756023</c:v>
                </c:pt>
                <c:pt idx="4">
                  <c:v>55771.216516756023</c:v>
                </c:pt>
                <c:pt idx="5">
                  <c:v>55771.216516756023</c:v>
                </c:pt>
              </c:numCache>
            </c:numRef>
          </c:yVal>
          <c:smooth val="0"/>
          <c:extLst>
            <c:ext xmlns:c16="http://schemas.microsoft.com/office/drawing/2014/chart" uri="{C3380CC4-5D6E-409C-BE32-E72D297353CC}">
              <c16:uniqueId val="{00000006-31BE-4F78-A09C-CA6E258CA556}"/>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4"/>
                <c:order val="2"/>
                <c:tx>
                  <c:strRef>
                    <c:extLst>
                      <c:ext uri="{02D57815-91ED-43cb-92C2-25804820EDAC}">
                        <c15:formulaRef>
                          <c15:sqref>'Porgy Complex'!$AC$3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'Porgy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Complex'!$AC$4:$AC$35</c15:sqref>
                        </c15:formulaRef>
                      </c:ext>
                    </c:extLst>
                    <c:numCache>
                      <c:formatCode>#,##0</c:formatCode>
                      <c:ptCount val="32"/>
                      <c:pt idx="0">
                        <c:v>275849.42785315</c:v>
                      </c:pt>
                      <c:pt idx="1">
                        <c:v>41301.958126500016</c:v>
                      </c:pt>
                      <c:pt idx="2">
                        <c:v>21491.947943559997</c:v>
                      </c:pt>
                      <c:pt idx="3">
                        <c:v>33877.50283719998</c:v>
                      </c:pt>
                      <c:pt idx="4">
                        <c:v>23804.095298040003</c:v>
                      </c:pt>
                      <c:pt idx="5">
                        <c:v>23911.604017600002</c:v>
                      </c:pt>
                      <c:pt idx="6">
                        <c:v>36727.144194359971</c:v>
                      </c:pt>
                      <c:pt idx="7">
                        <c:v>59824.154357009997</c:v>
                      </c:pt>
                      <c:pt idx="8">
                        <c:v>72659.084089759985</c:v>
                      </c:pt>
                      <c:pt idx="9">
                        <c:v>14677.695219000001</c:v>
                      </c:pt>
                      <c:pt idx="10">
                        <c:v>40545.225392560023</c:v>
                      </c:pt>
                      <c:pt idx="11">
                        <c:v>16207.256260478995</c:v>
                      </c:pt>
                      <c:pt idx="12">
                        <c:v>27893.645065473997</c:v>
                      </c:pt>
                      <c:pt idx="13">
                        <c:v>42936.566444776006</c:v>
                      </c:pt>
                      <c:pt idx="14">
                        <c:v>35742.90098477601</c:v>
                      </c:pt>
                      <c:pt idx="15">
                        <c:v>42577.099387236987</c:v>
                      </c:pt>
                      <c:pt idx="16">
                        <c:v>50786.141448233036</c:v>
                      </c:pt>
                      <c:pt idx="17">
                        <c:v>80499.230075120082</c:v>
                      </c:pt>
                      <c:pt idx="18">
                        <c:v>59197.84330385401</c:v>
                      </c:pt>
                      <c:pt idx="19">
                        <c:v>38633.382302018996</c:v>
                      </c:pt>
                      <c:pt idx="20">
                        <c:v>35327.339916197001</c:v>
                      </c:pt>
                      <c:pt idx="21">
                        <c:v>53366.003827783032</c:v>
                      </c:pt>
                      <c:pt idx="22">
                        <c:v>64762.909171654996</c:v>
                      </c:pt>
                      <c:pt idx="23">
                        <c:v>58998.331973159999</c:v>
                      </c:pt>
                      <c:pt idx="24">
                        <c:v>50260.577886439998</c:v>
                      </c:pt>
                      <c:pt idx="25">
                        <c:v>29280.545690218005</c:v>
                      </c:pt>
                      <c:pt idx="26">
                        <c:v>63002.704311358968</c:v>
                      </c:pt>
                      <c:pt idx="27">
                        <c:v>94398.159845206043</c:v>
                      </c:pt>
                      <c:pt idx="28">
                        <c:v>125821.80306784995</c:v>
                      </c:pt>
                      <c:pt idx="29">
                        <c:v>136683.32188786607</c:v>
                      </c:pt>
                      <c:pt idx="30">
                        <c:v>166437.37635517897</c:v>
                      </c:pt>
                      <c:pt idx="31">
                        <c:v>44097.398856170003</c:v>
                      </c:pt>
                    </c:numCache>
                  </c:numRef>
                </c:yVal>
                <c:smooth val="0"/>
                <c:extLst>
                  <c:ext xmlns:c16="http://schemas.microsoft.com/office/drawing/2014/chart" uri="{C3380CC4-5D6E-409C-BE32-E72D297353CC}">
                    <c16:uniqueId val="{00000002-31BE-4F78-A09C-CA6E258CA556}"/>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'Porgy Complex'!$AK$3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'Porgy Complex'!$AJ$4:$AJ$35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Complex'!$AK$4:$AK$35</c15:sqref>
                        </c15:formulaRef>
                      </c:ext>
                    </c:extLst>
                    <c:numCache>
                      <c:formatCode>#,##0</c:formatCode>
                      <c:ptCount val="32"/>
                      <c:pt idx="0">
                        <c:v>286703.86201315001</c:v>
                      </c:pt>
                      <c:pt idx="1">
                        <c:v>41473.339763300013</c:v>
                      </c:pt>
                      <c:pt idx="2">
                        <c:v>21521.346840179998</c:v>
                      </c:pt>
                      <c:pt idx="3">
                        <c:v>34020.694338599977</c:v>
                      </c:pt>
                      <c:pt idx="4">
                        <c:v>23835.628395590003</c:v>
                      </c:pt>
                      <c:pt idx="5">
                        <c:v>24031.274326500003</c:v>
                      </c:pt>
                      <c:pt idx="6">
                        <c:v>36180.502266679978</c:v>
                      </c:pt>
                      <c:pt idx="7">
                        <c:v>73182.997017299975</c:v>
                      </c:pt>
                      <c:pt idx="8">
                        <c:v>108179.06766636002</c:v>
                      </c:pt>
                      <c:pt idx="9">
                        <c:v>14706.634627899999</c:v>
                      </c:pt>
                      <c:pt idx="10">
                        <c:v>40786.086911400023</c:v>
                      </c:pt>
                      <c:pt idx="11">
                        <c:v>16258.383808732995</c:v>
                      </c:pt>
                      <c:pt idx="12">
                        <c:v>28040.761660396998</c:v>
                      </c:pt>
                      <c:pt idx="13">
                        <c:v>54813.216516756023</c:v>
                      </c:pt>
                      <c:pt idx="14">
                        <c:v>32319.819187990004</c:v>
                      </c:pt>
                      <c:pt idx="15">
                        <c:v>33796.82301694397</c:v>
                      </c:pt>
                      <c:pt idx="16">
                        <c:v>50632.238246362031</c:v>
                      </c:pt>
                      <c:pt idx="17">
                        <c:v>80500.686323510075</c:v>
                      </c:pt>
                      <c:pt idx="18">
                        <c:v>62269.343448684012</c:v>
                      </c:pt>
                      <c:pt idx="19">
                        <c:v>38487.739460718993</c:v>
                      </c:pt>
                      <c:pt idx="20">
                        <c:v>35259.192742972991</c:v>
                      </c:pt>
                      <c:pt idx="21">
                        <c:v>46970.467010972017</c:v>
                      </c:pt>
                      <c:pt idx="22">
                        <c:v>66136.809243885014</c:v>
                      </c:pt>
                      <c:pt idx="23">
                        <c:v>58531.038585589988</c:v>
                      </c:pt>
                      <c:pt idx="24">
                        <c:v>55583.173756239987</c:v>
                      </c:pt>
                      <c:pt idx="25">
                        <c:v>29404.562346643008</c:v>
                      </c:pt>
                      <c:pt idx="26">
                        <c:v>64077.086539286953</c:v>
                      </c:pt>
                      <c:pt idx="27">
                        <c:v>92443.846803954046</c:v>
                      </c:pt>
                      <c:pt idx="28">
                        <c:v>122040.87096284996</c:v>
                      </c:pt>
                      <c:pt idx="29">
                        <c:v>138373.93544617807</c:v>
                      </c:pt>
                      <c:pt idx="30">
                        <c:v>173127.66666957899</c:v>
                      </c:pt>
                      <c:pt idx="31">
                        <c:v>45289.060046350009</c:v>
                      </c:pt>
                    </c:numCache>
                  </c:numRef>
                </c:yVal>
                <c:smooth val="0"/>
                <c:extLst xmlns:c15="http://schemas.microsoft.com/office/drawing/2012/chart">
                  <c:ext xmlns:c16="http://schemas.microsoft.com/office/drawing/2014/chart" uri="{C3380CC4-5D6E-409C-BE32-E72D297353CC}">
                    <c16:uniqueId val="{00000003-31BE-4F78-A09C-CA6E258CA556}"/>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'Porgy Complex'!$S$106</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('Porgy Complex'!$M$107:$M$108,'Porgy Complex'!$M$110:$M$138)</c15:sqref>
                        </c15:formulaRef>
                      </c:ext>
                    </c:extLst>
                    <c:numCache>
                      <c:formatCode>General</c:formatCode>
                      <c:ptCount val="31"/>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xVal>
                <c:yVal>
                  <c:numRef>
                    <c:extLst xmlns:c15="http://schemas.microsoft.com/office/drawing/2012/chart">
                      <c:ext xmlns:c15="http://schemas.microsoft.com/office/drawing/2012/chart" uri="{02D57815-91ED-43cb-92C2-25804820EDAC}">
                        <c15:formulaRef>
                          <c15:sqref>('Porgy Complex'!$S$107:$S$108,'Porgy Complex'!$S$110:$S$138)</c15:sqref>
                        </c15:formulaRef>
                      </c:ext>
                    </c:extLst>
                    <c:numCache>
                      <c:formatCode>#,##0</c:formatCode>
                      <c:ptCount val="31"/>
                      <c:pt idx="0">
                        <c:v>296866.16348077357</c:v>
                      </c:pt>
                      <c:pt idx="1">
                        <c:v>41910.780655176844</c:v>
                      </c:pt>
                      <c:pt idx="2">
                        <c:v>30292.501810705202</c:v>
                      </c:pt>
                      <c:pt idx="3">
                        <c:v>24885.301166203833</c:v>
                      </c:pt>
                      <c:pt idx="4">
                        <c:v>20265.161178629052</c:v>
                      </c:pt>
                      <c:pt idx="5">
                        <c:v>23617.104144077224</c:v>
                      </c:pt>
                      <c:pt idx="6">
                        <c:v>53425.998683253783</c:v>
                      </c:pt>
                      <c:pt idx="7">
                        <c:v>74838.545870855611</c:v>
                      </c:pt>
                      <c:pt idx="8">
                        <c:v>14199.629398699184</c:v>
                      </c:pt>
                      <c:pt idx="9">
                        <c:v>41507.570368147033</c:v>
                      </c:pt>
                      <c:pt idx="10">
                        <c:v>22845.494453480984</c:v>
                      </c:pt>
                      <c:pt idx="11">
                        <c:v>44786.033404422276</c:v>
                      </c:pt>
                      <c:pt idx="12">
                        <c:v>41031.960950342094</c:v>
                      </c:pt>
                      <c:pt idx="13">
                        <c:v>29408.727507547934</c:v>
                      </c:pt>
                      <c:pt idx="14">
                        <c:v>43054.046869948921</c:v>
                      </c:pt>
                      <c:pt idx="15">
                        <c:v>42283.372335557695</c:v>
                      </c:pt>
                      <c:pt idx="16">
                        <c:v>82410.245416977821</c:v>
                      </c:pt>
                      <c:pt idx="17">
                        <c:v>53084.805277648309</c:v>
                      </c:pt>
                      <c:pt idx="18">
                        <c:v>38076.658600441355</c:v>
                      </c:pt>
                      <c:pt idx="19">
                        <c:v>34760.63034844416</c:v>
                      </c:pt>
                      <c:pt idx="20">
                        <c:v>56226.333831227515</c:v>
                      </c:pt>
                      <c:pt idx="21">
                        <c:v>66275.300833348098</c:v>
                      </c:pt>
                      <c:pt idx="22">
                        <c:v>62434.021623258042</c:v>
                      </c:pt>
                      <c:pt idx="23">
                        <c:v>49366.133568563571</c:v>
                      </c:pt>
                      <c:pt idx="24">
                        <c:v>30046.639828560648</c:v>
                      </c:pt>
                      <c:pt idx="25">
                        <c:v>63626.66752386016</c:v>
                      </c:pt>
                      <c:pt idx="26">
                        <c:v>99192.164888890926</c:v>
                      </c:pt>
                      <c:pt idx="27">
                        <c:v>120005.16227457278</c:v>
                      </c:pt>
                      <c:pt idx="28">
                        <c:v>141224.95856093819</c:v>
                      </c:pt>
                      <c:pt idx="29">
                        <c:v>158525.30009219266</c:v>
                      </c:pt>
                      <c:pt idx="30">
                        <c:v>36694.784457295449</c:v>
                      </c:pt>
                    </c:numCache>
                  </c:numRef>
                </c:yVal>
                <c:smooth val="0"/>
                <c:extLst xmlns:c15="http://schemas.microsoft.com/office/drawing/2012/chart">
                  <c:ext xmlns:c16="http://schemas.microsoft.com/office/drawing/2014/chart" uri="{C3380CC4-5D6E-409C-BE32-E72D297353CC}">
                    <c16:uniqueId val="{00000004-31BE-4F78-A09C-CA6E258CA556}"/>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3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0"/>
          <c:order val="0"/>
          <c:tx>
            <c:strRef>
              <c:f>'Porgy Complex'!$C$3</c:f>
              <c:strCache>
                <c:ptCount val="1"/>
                <c:pt idx="0">
                  <c:v>Total New Wgt</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Complex'!$C$4:$C$35</c:f>
              <c:numCache>
                <c:formatCode>#,##0</c:formatCode>
                <c:ptCount val="32"/>
                <c:pt idx="0">
                  <c:v>69400.25746199998</c:v>
                </c:pt>
                <c:pt idx="1">
                  <c:v>110715.49738081999</c:v>
                </c:pt>
                <c:pt idx="2">
                  <c:v>195094.93927134998</c:v>
                </c:pt>
                <c:pt idx="3">
                  <c:v>79313.794432707014</c:v>
                </c:pt>
                <c:pt idx="4">
                  <c:v>163394.69944996003</c:v>
                </c:pt>
                <c:pt idx="5">
                  <c:v>84251.173868960002</c:v>
                </c:pt>
                <c:pt idx="6">
                  <c:v>84291.066181250004</c:v>
                </c:pt>
                <c:pt idx="7">
                  <c:v>107010.56066608001</c:v>
                </c:pt>
                <c:pt idx="8">
                  <c:v>107050.39157824995</c:v>
                </c:pt>
                <c:pt idx="9">
                  <c:v>100855.70097042997</c:v>
                </c:pt>
                <c:pt idx="10">
                  <c:v>74484.704731735997</c:v>
                </c:pt>
                <c:pt idx="11">
                  <c:v>63456.193891407005</c:v>
                </c:pt>
                <c:pt idx="12">
                  <c:v>70141.179578440002</c:v>
                </c:pt>
                <c:pt idx="13">
                  <c:v>75457.641002877004</c:v>
                </c:pt>
                <c:pt idx="14">
                  <c:v>85377.565405583009</c:v>
                </c:pt>
                <c:pt idx="15">
                  <c:v>77452.463111784004</c:v>
                </c:pt>
                <c:pt idx="16">
                  <c:v>83597.333836634018</c:v>
                </c:pt>
                <c:pt idx="17">
                  <c:v>60142.011496361993</c:v>
                </c:pt>
                <c:pt idx="18">
                  <c:v>61509.65430165422</c:v>
                </c:pt>
                <c:pt idx="19">
                  <c:v>71721.840227630993</c:v>
                </c:pt>
                <c:pt idx="20">
                  <c:v>38976.942787624997</c:v>
                </c:pt>
                <c:pt idx="21">
                  <c:v>44014.562468505006</c:v>
                </c:pt>
                <c:pt idx="22">
                  <c:v>46368.971560088001</c:v>
                </c:pt>
                <c:pt idx="23">
                  <c:v>47774.065251199012</c:v>
                </c:pt>
                <c:pt idx="24">
                  <c:v>40190.388280079991</c:v>
                </c:pt>
                <c:pt idx="25">
                  <c:v>35585.973487479998</c:v>
                </c:pt>
                <c:pt idx="26">
                  <c:v>78103.996043520005</c:v>
                </c:pt>
                <c:pt idx="27">
                  <c:v>52483.364952081989</c:v>
                </c:pt>
                <c:pt idx="28">
                  <c:v>62639.56440452001</c:v>
                </c:pt>
                <c:pt idx="29">
                  <c:v>23649.995058327997</c:v>
                </c:pt>
                <c:pt idx="30">
                  <c:v>15891.876981763</c:v>
                </c:pt>
                <c:pt idx="31">
                  <c:v>18815.807580184999</c:v>
                </c:pt>
              </c:numCache>
            </c:numRef>
          </c:yVal>
          <c:smooth val="0"/>
          <c:extLst>
            <c:ext xmlns:c16="http://schemas.microsoft.com/office/drawing/2014/chart" uri="{C3380CC4-5D6E-409C-BE32-E72D297353CC}">
              <c16:uniqueId val="{00000000-F4EB-43BD-8E8C-F85E1998498F}"/>
            </c:ext>
          </c:extLst>
        </c:ser>
        <c:ser>
          <c:idx val="2"/>
          <c:order val="1"/>
          <c:tx>
            <c:strRef>
              <c:f>'Porgy Complex'!$L$3</c:f>
              <c:strCache>
                <c:ptCount val="1"/>
                <c:pt idx="0">
                  <c:v>Total Orig FES</c:v>
                </c:pt>
              </c:strCache>
            </c:strRef>
          </c:tx>
          <c:spPr>
            <a:ln>
              <a:solidFill>
                <a:schemeClr val="accent2"/>
              </a:solidFill>
            </a:ln>
          </c:spPr>
          <c:marker>
            <c:symbol val="x"/>
            <c:size val="7"/>
            <c:spPr>
              <a:noFill/>
              <a:ln w="12700">
                <a:solidFill>
                  <a:schemeClr val="accent2"/>
                </a:solidFill>
              </a:ln>
            </c:spPr>
          </c:marker>
          <c:xVal>
            <c:numRef>
              <c:f>'Porgy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Complex'!$L$4:$L$35</c:f>
              <c:numCache>
                <c:formatCode>#,##0</c:formatCode>
                <c:ptCount val="32"/>
                <c:pt idx="0">
                  <c:v>69400.25746199998</c:v>
                </c:pt>
                <c:pt idx="1">
                  <c:v>109782.49703312</c:v>
                </c:pt>
                <c:pt idx="2">
                  <c:v>195076.39382601998</c:v>
                </c:pt>
                <c:pt idx="3">
                  <c:v>82944.650229507009</c:v>
                </c:pt>
                <c:pt idx="4">
                  <c:v>163169.37712526001</c:v>
                </c:pt>
                <c:pt idx="5">
                  <c:v>84245.548733610005</c:v>
                </c:pt>
                <c:pt idx="6">
                  <c:v>83990.220186750026</c:v>
                </c:pt>
                <c:pt idx="7">
                  <c:v>107799.74682408001</c:v>
                </c:pt>
                <c:pt idx="8">
                  <c:v>106621.81004995003</c:v>
                </c:pt>
                <c:pt idx="9">
                  <c:v>99798.705880329973</c:v>
                </c:pt>
                <c:pt idx="10">
                  <c:v>71619.398264616</c:v>
                </c:pt>
                <c:pt idx="11">
                  <c:v>63450.376008896004</c:v>
                </c:pt>
                <c:pt idx="12">
                  <c:v>70127.846393400003</c:v>
                </c:pt>
                <c:pt idx="13">
                  <c:v>75872.055511729006</c:v>
                </c:pt>
                <c:pt idx="14">
                  <c:v>84230.294886588992</c:v>
                </c:pt>
                <c:pt idx="15">
                  <c:v>76155.923688684008</c:v>
                </c:pt>
                <c:pt idx="16">
                  <c:v>82822.132145634008</c:v>
                </c:pt>
                <c:pt idx="17">
                  <c:v>59730.025310161996</c:v>
                </c:pt>
                <c:pt idx="18">
                  <c:v>61310.160797154225</c:v>
                </c:pt>
                <c:pt idx="19">
                  <c:v>68679.382317030977</c:v>
                </c:pt>
                <c:pt idx="20">
                  <c:v>38971.176612061005</c:v>
                </c:pt>
                <c:pt idx="21">
                  <c:v>43282.884028027001</c:v>
                </c:pt>
                <c:pt idx="22">
                  <c:v>47508.079365105994</c:v>
                </c:pt>
                <c:pt idx="23">
                  <c:v>48964.101307354009</c:v>
                </c:pt>
                <c:pt idx="24">
                  <c:v>39751.951464341</c:v>
                </c:pt>
                <c:pt idx="25">
                  <c:v>35582.957305839998</c:v>
                </c:pt>
                <c:pt idx="26">
                  <c:v>79511.22835284</c:v>
                </c:pt>
                <c:pt idx="27">
                  <c:v>59168.070598002007</c:v>
                </c:pt>
                <c:pt idx="28">
                  <c:v>64233.804396060004</c:v>
                </c:pt>
                <c:pt idx="29">
                  <c:v>23642.698349576</c:v>
                </c:pt>
                <c:pt idx="30">
                  <c:v>15889.079866831</c:v>
                </c:pt>
                <c:pt idx="31">
                  <c:v>18815.554278540003</c:v>
                </c:pt>
              </c:numCache>
            </c:numRef>
          </c:yVal>
          <c:smooth val="0"/>
          <c:extLst>
            <c:ext xmlns:c16="http://schemas.microsoft.com/office/drawing/2014/chart" uri="{C3380CC4-5D6E-409C-BE32-E72D297353CC}">
              <c16:uniqueId val="{00000001-F4EB-43BD-8E8C-F85E1998498F}"/>
            </c:ext>
          </c:extLst>
        </c:ser>
        <c:ser>
          <c:idx val="1"/>
          <c:order val="5"/>
          <c:tx>
            <c:strRef>
              <c:f>'Porgy Complex'!$C$42</c:f>
              <c:strCache>
                <c:ptCount val="1"/>
                <c:pt idx="0">
                  <c:v>New Wgt ABC/ACL</c:v>
                </c:pt>
              </c:strCache>
            </c:strRef>
          </c:tx>
          <c:spPr>
            <a:ln w="38100">
              <a:solidFill>
                <a:schemeClr val="tx1"/>
              </a:solidFill>
            </a:ln>
          </c:spPr>
          <c:marker>
            <c:symbol val="none"/>
          </c:marker>
          <c:xVal>
            <c:numRef>
              <c:f>'Porgy Complex'!$A$43:$A$48</c:f>
              <c:numCache>
                <c:formatCode>General</c:formatCode>
                <c:ptCount val="6"/>
                <c:pt idx="0">
                  <c:v>2012</c:v>
                </c:pt>
                <c:pt idx="1">
                  <c:v>2013</c:v>
                </c:pt>
                <c:pt idx="2">
                  <c:v>2014</c:v>
                </c:pt>
                <c:pt idx="3">
                  <c:v>2015</c:v>
                </c:pt>
                <c:pt idx="4">
                  <c:v>2016</c:v>
                </c:pt>
                <c:pt idx="5">
                  <c:v>2017</c:v>
                </c:pt>
              </c:numCache>
            </c:numRef>
          </c:xVal>
          <c:yVal>
            <c:numRef>
              <c:f>'Porgy Complex'!$C$43:$C$48</c:f>
              <c:numCache>
                <c:formatCode>#,##0</c:formatCode>
                <c:ptCount val="6"/>
                <c:pt idx="0">
                  <c:v>31000</c:v>
                </c:pt>
                <c:pt idx="1">
                  <c:v>31000</c:v>
                </c:pt>
                <c:pt idx="2">
                  <c:v>31000</c:v>
                </c:pt>
                <c:pt idx="3">
                  <c:v>31000</c:v>
                </c:pt>
                <c:pt idx="4">
                  <c:v>31000</c:v>
                </c:pt>
                <c:pt idx="5">
                  <c:v>31000</c:v>
                </c:pt>
              </c:numCache>
            </c:numRef>
          </c:yVal>
          <c:smooth val="0"/>
          <c:extLst>
            <c:ext xmlns:c16="http://schemas.microsoft.com/office/drawing/2014/chart" uri="{C3380CC4-5D6E-409C-BE32-E72D297353CC}">
              <c16:uniqueId val="{00000005-F4EB-43BD-8E8C-F85E1998498F}"/>
            </c:ext>
          </c:extLst>
        </c:ser>
        <c:ser>
          <c:idx val="3"/>
          <c:order val="6"/>
          <c:tx>
            <c:strRef>
              <c:f>'Porgy Complex'!$L$42</c:f>
              <c:strCache>
                <c:ptCount val="1"/>
                <c:pt idx="0">
                  <c:v>Orig FES ABC/ACL</c:v>
                </c:pt>
              </c:strCache>
            </c:strRef>
          </c:tx>
          <c:spPr>
            <a:ln w="38100">
              <a:solidFill>
                <a:srgbClr val="7030A0"/>
              </a:solidFill>
            </a:ln>
          </c:spPr>
          <c:marker>
            <c:symbol val="none"/>
          </c:marker>
          <c:xVal>
            <c:numRef>
              <c:f>'Porgy Complex'!$J$43:$J$48</c:f>
              <c:numCache>
                <c:formatCode>General</c:formatCode>
                <c:ptCount val="6"/>
                <c:pt idx="0">
                  <c:v>2012</c:v>
                </c:pt>
                <c:pt idx="1">
                  <c:v>2013</c:v>
                </c:pt>
                <c:pt idx="2">
                  <c:v>2014</c:v>
                </c:pt>
                <c:pt idx="3">
                  <c:v>2015</c:v>
                </c:pt>
                <c:pt idx="4">
                  <c:v>2016</c:v>
                </c:pt>
                <c:pt idx="5">
                  <c:v>2017</c:v>
                </c:pt>
              </c:numCache>
            </c:numRef>
          </c:xVal>
          <c:yVal>
            <c:numRef>
              <c:f>'Porgy Complex'!$L$43:$L$48</c:f>
              <c:numCache>
                <c:formatCode>#,##0</c:formatCode>
                <c:ptCount val="6"/>
                <c:pt idx="0">
                  <c:v>31000</c:v>
                </c:pt>
                <c:pt idx="1">
                  <c:v>31000</c:v>
                </c:pt>
                <c:pt idx="2">
                  <c:v>31000</c:v>
                </c:pt>
                <c:pt idx="3">
                  <c:v>31000</c:v>
                </c:pt>
                <c:pt idx="4">
                  <c:v>31000</c:v>
                </c:pt>
                <c:pt idx="5">
                  <c:v>31000</c:v>
                </c:pt>
              </c:numCache>
            </c:numRef>
          </c:yVal>
          <c:smooth val="0"/>
          <c:extLst>
            <c:ext xmlns:c16="http://schemas.microsoft.com/office/drawing/2014/chart" uri="{C3380CC4-5D6E-409C-BE32-E72D297353CC}">
              <c16:uniqueId val="{00000006-F4EB-43BD-8E8C-F85E1998498F}"/>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4"/>
                <c:order val="2"/>
                <c:tx>
                  <c:strRef>
                    <c:extLst>
                      <c:ext uri="{02D57815-91ED-43cb-92C2-25804820EDAC}">
                        <c15:formulaRef>
                          <c15:sqref>'Porgy Complex'!$AD$3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'Porgy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Complex'!$AD$4:$AD$35</c15:sqref>
                        </c15:formulaRef>
                      </c:ext>
                    </c:extLst>
                    <c:numCache>
                      <c:formatCode>#,##0</c:formatCode>
                      <c:ptCount val="32"/>
                      <c:pt idx="0">
                        <c:v>36962.257461999987</c:v>
                      </c:pt>
                      <c:pt idx="1">
                        <c:v>59655.497380819987</c:v>
                      </c:pt>
                      <c:pt idx="2">
                        <c:v>120086.93927134997</c:v>
                      </c:pt>
                      <c:pt idx="3">
                        <c:v>44990.794432707007</c:v>
                      </c:pt>
                      <c:pt idx="4">
                        <c:v>119255.69944996004</c:v>
                      </c:pt>
                      <c:pt idx="5">
                        <c:v>37960.173868960002</c:v>
                      </c:pt>
                      <c:pt idx="6">
                        <c:v>40948.066181250004</c:v>
                      </c:pt>
                      <c:pt idx="7">
                        <c:v>63573.560666080011</c:v>
                      </c:pt>
                      <c:pt idx="8">
                        <c:v>68529.391578249953</c:v>
                      </c:pt>
                      <c:pt idx="9">
                        <c:v>56349.700970429971</c:v>
                      </c:pt>
                      <c:pt idx="10">
                        <c:v>32364.704731736001</c:v>
                      </c:pt>
                      <c:pt idx="11">
                        <c:v>26906.193891407005</c:v>
                      </c:pt>
                      <c:pt idx="12">
                        <c:v>27267.179578440002</c:v>
                      </c:pt>
                      <c:pt idx="13">
                        <c:v>31160.641002877001</c:v>
                      </c:pt>
                      <c:pt idx="14">
                        <c:v>49828.565405583009</c:v>
                      </c:pt>
                      <c:pt idx="15">
                        <c:v>33432.463111784004</c:v>
                      </c:pt>
                      <c:pt idx="16">
                        <c:v>46662.333836634018</c:v>
                      </c:pt>
                      <c:pt idx="17">
                        <c:v>42331.011496361993</c:v>
                      </c:pt>
                      <c:pt idx="18">
                        <c:v>45346.65430165422</c:v>
                      </c:pt>
                      <c:pt idx="19">
                        <c:v>57428.840227630993</c:v>
                      </c:pt>
                      <c:pt idx="20">
                        <c:v>15980.942787624999</c:v>
                      </c:pt>
                      <c:pt idx="21">
                        <c:v>23635.562468505006</c:v>
                      </c:pt>
                      <c:pt idx="22">
                        <c:v>21412.971560087997</c:v>
                      </c:pt>
                      <c:pt idx="23">
                        <c:v>26921.065251199012</c:v>
                      </c:pt>
                      <c:pt idx="24">
                        <c:v>16735.388280079995</c:v>
                      </c:pt>
                      <c:pt idx="25">
                        <c:v>8175.9734874799997</c:v>
                      </c:pt>
                      <c:pt idx="26">
                        <c:v>56167.996043520005</c:v>
                      </c:pt>
                      <c:pt idx="27">
                        <c:v>29990.364952081993</c:v>
                      </c:pt>
                      <c:pt idx="28">
                        <c:v>30071.56440452001</c:v>
                      </c:pt>
                      <c:pt idx="29">
                        <c:v>12718.995058327997</c:v>
                      </c:pt>
                      <c:pt idx="30">
                        <c:v>6905.876981763</c:v>
                      </c:pt>
                      <c:pt idx="31">
                        <c:v>4403.8075801850009</c:v>
                      </c:pt>
                    </c:numCache>
                  </c:numRef>
                </c:yVal>
                <c:smooth val="0"/>
                <c:extLst>
                  <c:ext xmlns:c16="http://schemas.microsoft.com/office/drawing/2014/chart" uri="{C3380CC4-5D6E-409C-BE32-E72D297353CC}">
                    <c16:uniqueId val="{00000002-F4EB-43BD-8E8C-F85E1998498F}"/>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'Porgy Complex'!$AL$3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'Porgy Complex'!$AJ$4:$AJ$35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Complex'!$AL$4:$AL$35</c15:sqref>
                        </c15:formulaRef>
                      </c:ext>
                    </c:extLst>
                    <c:numCache>
                      <c:formatCode>#,##0</c:formatCode>
                      <c:ptCount val="32"/>
                      <c:pt idx="0">
                        <c:v>36962.257461999987</c:v>
                      </c:pt>
                      <c:pt idx="1">
                        <c:v>58722.497033120002</c:v>
                      </c:pt>
                      <c:pt idx="2">
                        <c:v>120068.39382601998</c:v>
                      </c:pt>
                      <c:pt idx="3">
                        <c:v>48621.650229507017</c:v>
                      </c:pt>
                      <c:pt idx="4">
                        <c:v>119030.37712526003</c:v>
                      </c:pt>
                      <c:pt idx="5">
                        <c:v>37954.548733610005</c:v>
                      </c:pt>
                      <c:pt idx="6">
                        <c:v>40647.220186750019</c:v>
                      </c:pt>
                      <c:pt idx="7">
                        <c:v>64362.746824080008</c:v>
                      </c:pt>
                      <c:pt idx="8">
                        <c:v>68100.810049950029</c:v>
                      </c:pt>
                      <c:pt idx="9">
                        <c:v>55292.705880329973</c:v>
                      </c:pt>
                      <c:pt idx="10">
                        <c:v>29499.398264615997</c:v>
                      </c:pt>
                      <c:pt idx="11">
                        <c:v>26900.376008896004</c:v>
                      </c:pt>
                      <c:pt idx="12">
                        <c:v>27253.846393400003</c:v>
                      </c:pt>
                      <c:pt idx="13">
                        <c:v>31575.055511729002</c:v>
                      </c:pt>
                      <c:pt idx="14">
                        <c:v>48681.294886588999</c:v>
                      </c:pt>
                      <c:pt idx="15">
                        <c:v>32135.923688684004</c:v>
                      </c:pt>
                      <c:pt idx="16">
                        <c:v>45887.132145634008</c:v>
                      </c:pt>
                      <c:pt idx="17">
                        <c:v>41919.025310161996</c:v>
                      </c:pt>
                      <c:pt idx="18">
                        <c:v>45147.160797154225</c:v>
                      </c:pt>
                      <c:pt idx="19">
                        <c:v>54386.382317030984</c:v>
                      </c:pt>
                      <c:pt idx="20">
                        <c:v>15975.176612061003</c:v>
                      </c:pt>
                      <c:pt idx="21">
                        <c:v>22903.884028027001</c:v>
                      </c:pt>
                      <c:pt idx="22">
                        <c:v>22552.079365105994</c:v>
                      </c:pt>
                      <c:pt idx="23">
                        <c:v>28111.101307354009</c:v>
                      </c:pt>
                      <c:pt idx="24">
                        <c:v>16296.951464340998</c:v>
                      </c:pt>
                      <c:pt idx="25">
                        <c:v>8172.9573058400001</c:v>
                      </c:pt>
                      <c:pt idx="26">
                        <c:v>57575.228352840008</c:v>
                      </c:pt>
                      <c:pt idx="27">
                        <c:v>36675.070598002007</c:v>
                      </c:pt>
                      <c:pt idx="28">
                        <c:v>31665.804396060008</c:v>
                      </c:pt>
                      <c:pt idx="29">
                        <c:v>12711.698349575998</c:v>
                      </c:pt>
                      <c:pt idx="30">
                        <c:v>6903.0798668309999</c:v>
                      </c:pt>
                      <c:pt idx="31">
                        <c:v>4403.5542785400012</c:v>
                      </c:pt>
                    </c:numCache>
                  </c:numRef>
                </c:yVal>
                <c:smooth val="0"/>
                <c:extLst xmlns:c15="http://schemas.microsoft.com/office/drawing/2012/chart">
                  <c:ext xmlns:c16="http://schemas.microsoft.com/office/drawing/2014/chart" uri="{C3380CC4-5D6E-409C-BE32-E72D297353CC}">
                    <c16:uniqueId val="{00000003-F4EB-43BD-8E8C-F85E1998498F}"/>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'Porgy Complex'!$AD$106</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('Porgy Complex'!$X$107:$X$108,'Porgy Complex'!$X$110:$X$138)</c15:sqref>
                        </c15:formulaRef>
                      </c:ext>
                    </c:extLst>
                    <c:numCache>
                      <c:formatCode>General</c:formatCode>
                      <c:ptCount val="31"/>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xVal>
                <c:yVal>
                  <c:numRef>
                    <c:extLst xmlns:c15="http://schemas.microsoft.com/office/drawing/2012/chart">
                      <c:ext xmlns:c15="http://schemas.microsoft.com/office/drawing/2012/chart" uri="{02D57815-91ED-43cb-92C2-25804820EDAC}">
                        <c15:formulaRef>
                          <c15:sqref>('Porgy Complex'!$AD$107:$AD$108,'Porgy Complex'!$AD$110:$AD$138)</c15:sqref>
                        </c15:formulaRef>
                      </c:ext>
                    </c:extLst>
                    <c:numCache>
                      <c:formatCode>#,##0</c:formatCode>
                      <c:ptCount val="31"/>
                      <c:pt idx="0">
                        <c:v>36962.257461999987</c:v>
                      </c:pt>
                      <c:pt idx="1">
                        <c:v>47395.372867738413</c:v>
                      </c:pt>
                      <c:pt idx="2">
                        <c:v>40352.327466360293</c:v>
                      </c:pt>
                      <c:pt idx="3">
                        <c:v>103413.72218621774</c:v>
                      </c:pt>
                      <c:pt idx="4">
                        <c:v>35689.57805730695</c:v>
                      </c:pt>
                      <c:pt idx="5">
                        <c:v>37766.330674887664</c:v>
                      </c:pt>
                      <c:pt idx="6">
                        <c:v>55848.849306137337</c:v>
                      </c:pt>
                      <c:pt idx="7">
                        <c:v>70704.918258517049</c:v>
                      </c:pt>
                      <c:pt idx="8">
                        <c:v>58684.398688688438</c:v>
                      </c:pt>
                      <c:pt idx="9">
                        <c:v>31161.295694024142</c:v>
                      </c:pt>
                      <c:pt idx="10">
                        <c:v>25278.162133713828</c:v>
                      </c:pt>
                      <c:pt idx="11">
                        <c:v>28032.166880841694</c:v>
                      </c:pt>
                      <c:pt idx="12">
                        <c:v>27509.795884950294</c:v>
                      </c:pt>
                      <c:pt idx="13">
                        <c:v>39835.349267072248</c:v>
                      </c:pt>
                      <c:pt idx="14">
                        <c:v>27395.666761290566</c:v>
                      </c:pt>
                      <c:pt idx="15">
                        <c:v>34253.19585480247</c:v>
                      </c:pt>
                      <c:pt idx="16">
                        <c:v>34014.762012415609</c:v>
                      </c:pt>
                      <c:pt idx="17">
                        <c:v>42185.734650174425</c:v>
                      </c:pt>
                      <c:pt idx="18">
                        <c:v>56388.689011110451</c:v>
                      </c:pt>
                      <c:pt idx="19">
                        <c:v>15942.778421695908</c:v>
                      </c:pt>
                      <c:pt idx="20">
                        <c:v>22035.273496031161</c:v>
                      </c:pt>
                      <c:pt idx="21">
                        <c:v>17212.475469570127</c:v>
                      </c:pt>
                      <c:pt idx="22">
                        <c:v>25443.286310617252</c:v>
                      </c:pt>
                      <c:pt idx="23">
                        <c:v>13282.922730899198</c:v>
                      </c:pt>
                      <c:pt idx="24">
                        <c:v>7679.9179265175471</c:v>
                      </c:pt>
                      <c:pt idx="25">
                        <c:v>53559.153650154782</c:v>
                      </c:pt>
                      <c:pt idx="26">
                        <c:v>30937.359408802833</c:v>
                      </c:pt>
                      <c:pt idx="27">
                        <c:v>27425.720116190601</c:v>
                      </c:pt>
                      <c:pt idx="28">
                        <c:v>10466.577940543742</c:v>
                      </c:pt>
                      <c:pt idx="29">
                        <c:v>6239.8945970193035</c:v>
                      </c:pt>
                      <c:pt idx="30">
                        <c:v>4466.4494912478594</c:v>
                      </c:pt>
                    </c:numCache>
                  </c:numRef>
                </c:yVal>
                <c:smooth val="0"/>
                <c:extLst xmlns:c15="http://schemas.microsoft.com/office/drawing/2012/chart">
                  <c:ext xmlns:c16="http://schemas.microsoft.com/office/drawing/2014/chart" uri="{C3380CC4-5D6E-409C-BE32-E72D297353CC}">
                    <c16:uniqueId val="{00000004-F4EB-43BD-8E8C-F85E1998498F}"/>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200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0"/>
          <c:order val="0"/>
          <c:tx>
            <c:strRef>
              <c:f>'Porgy Complex'!$D$3</c:f>
              <c:strCache>
                <c:ptCount val="1"/>
                <c:pt idx="0">
                  <c:v>Total New Wgt</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Complex'!$D$4:$D$35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24597.859115310002</c:v>
                </c:pt>
                <c:pt idx="9">
                  <c:v>7370.8616677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122.60705220000001</c:v>
                </c:pt>
                <c:pt idx="30">
                  <c:v>227.32671899000002</c:v>
                </c:pt>
                <c:pt idx="31">
                  <c:v>3.1195089999999999</c:v>
                </c:pt>
              </c:numCache>
            </c:numRef>
          </c:yVal>
          <c:smooth val="0"/>
          <c:extLst>
            <c:ext xmlns:c16="http://schemas.microsoft.com/office/drawing/2014/chart" uri="{C3380CC4-5D6E-409C-BE32-E72D297353CC}">
              <c16:uniqueId val="{00000000-3CDD-4CC9-8647-7DA83DEAFE0C}"/>
            </c:ext>
          </c:extLst>
        </c:ser>
        <c:ser>
          <c:idx val="2"/>
          <c:order val="1"/>
          <c:tx>
            <c:strRef>
              <c:f>'Porgy Complex'!$M$3</c:f>
              <c:strCache>
                <c:ptCount val="1"/>
                <c:pt idx="0">
                  <c:v>Total Orig FES</c:v>
                </c:pt>
              </c:strCache>
            </c:strRef>
          </c:tx>
          <c:spPr>
            <a:ln>
              <a:solidFill>
                <a:schemeClr val="accent2"/>
              </a:solidFill>
            </a:ln>
          </c:spPr>
          <c:marker>
            <c:symbol val="x"/>
            <c:size val="7"/>
            <c:spPr>
              <a:noFill/>
              <a:ln w="12700">
                <a:solidFill>
                  <a:schemeClr val="accent2"/>
                </a:solidFill>
              </a:ln>
            </c:spPr>
          </c:marker>
          <c:xVal>
            <c:numRef>
              <c:f>'Porgy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Complex'!$M$4:$M$35</c:f>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24597.859115310006</c:v>
                </c:pt>
                <c:pt idx="9">
                  <c:v>7370.8616677000018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122.60705220000001</c:v>
                </c:pt>
                <c:pt idx="30">
                  <c:v>227.32671899000005</c:v>
                </c:pt>
                <c:pt idx="31">
                  <c:v>3.1195089999999999</c:v>
                </c:pt>
              </c:numCache>
            </c:numRef>
          </c:yVal>
          <c:smooth val="0"/>
          <c:extLst>
            <c:ext xmlns:c16="http://schemas.microsoft.com/office/drawing/2014/chart" uri="{C3380CC4-5D6E-409C-BE32-E72D297353CC}">
              <c16:uniqueId val="{00000001-3CDD-4CC9-8647-7DA83DEAFE0C}"/>
            </c:ext>
          </c:extLst>
        </c:ser>
        <c:ser>
          <c:idx val="1"/>
          <c:order val="5"/>
          <c:tx>
            <c:strRef>
              <c:f>'Porgy Complex'!$D$42</c:f>
              <c:strCache>
                <c:ptCount val="1"/>
                <c:pt idx="0">
                  <c:v>New Wgt ABC/ACL</c:v>
                </c:pt>
              </c:strCache>
            </c:strRef>
          </c:tx>
          <c:spPr>
            <a:ln w="38100">
              <a:solidFill>
                <a:schemeClr val="tx1"/>
              </a:solidFill>
            </a:ln>
          </c:spPr>
          <c:marker>
            <c:symbol val="none"/>
          </c:marker>
          <c:xVal>
            <c:numRef>
              <c:f>'Porgy Complex'!$A$43:$A$48</c:f>
              <c:numCache>
                <c:formatCode>General</c:formatCode>
                <c:ptCount val="6"/>
                <c:pt idx="0">
                  <c:v>2012</c:v>
                </c:pt>
                <c:pt idx="1">
                  <c:v>2013</c:v>
                </c:pt>
                <c:pt idx="2">
                  <c:v>2014</c:v>
                </c:pt>
                <c:pt idx="3">
                  <c:v>2015</c:v>
                </c:pt>
                <c:pt idx="4">
                  <c:v>2016</c:v>
                </c:pt>
                <c:pt idx="5">
                  <c:v>2017</c:v>
                </c:pt>
              </c:numCache>
            </c:numRef>
          </c:xVal>
          <c:yVal>
            <c:numRef>
              <c:f>'Porgy Complex'!$D$43:$D$48</c:f>
              <c:numCache>
                <c:formatCode>#,##0</c:formatCode>
                <c:ptCount val="6"/>
                <c:pt idx="0">
                  <c:v>4691.9784599000004</c:v>
                </c:pt>
                <c:pt idx="1">
                  <c:v>4691.9784599000004</c:v>
                </c:pt>
                <c:pt idx="2">
                  <c:v>4691.9784599000004</c:v>
                </c:pt>
                <c:pt idx="3">
                  <c:v>4691.9784599000004</c:v>
                </c:pt>
                <c:pt idx="4">
                  <c:v>4691.9784599000004</c:v>
                </c:pt>
                <c:pt idx="5">
                  <c:v>4691.9784599000004</c:v>
                </c:pt>
              </c:numCache>
            </c:numRef>
          </c:yVal>
          <c:smooth val="0"/>
          <c:extLst>
            <c:ext xmlns:c16="http://schemas.microsoft.com/office/drawing/2014/chart" uri="{C3380CC4-5D6E-409C-BE32-E72D297353CC}">
              <c16:uniqueId val="{00000005-3CDD-4CC9-8647-7DA83DEAFE0C}"/>
            </c:ext>
          </c:extLst>
        </c:ser>
        <c:ser>
          <c:idx val="3"/>
          <c:order val="6"/>
          <c:tx>
            <c:strRef>
              <c:f>'Porgy Complex'!$M$42</c:f>
              <c:strCache>
                <c:ptCount val="1"/>
                <c:pt idx="0">
                  <c:v>Orig FES ABC/ACL</c:v>
                </c:pt>
              </c:strCache>
            </c:strRef>
          </c:tx>
          <c:spPr>
            <a:ln w="38100">
              <a:solidFill>
                <a:srgbClr val="7030A0"/>
              </a:solidFill>
            </a:ln>
          </c:spPr>
          <c:marker>
            <c:symbol val="none"/>
          </c:marker>
          <c:xVal>
            <c:numRef>
              <c:f>'Porgy Complex'!$J$43:$J$48</c:f>
              <c:numCache>
                <c:formatCode>General</c:formatCode>
                <c:ptCount val="6"/>
                <c:pt idx="0">
                  <c:v>2012</c:v>
                </c:pt>
                <c:pt idx="1">
                  <c:v>2013</c:v>
                </c:pt>
                <c:pt idx="2">
                  <c:v>2014</c:v>
                </c:pt>
                <c:pt idx="3">
                  <c:v>2015</c:v>
                </c:pt>
                <c:pt idx="4">
                  <c:v>2016</c:v>
                </c:pt>
                <c:pt idx="5">
                  <c:v>2017</c:v>
                </c:pt>
              </c:numCache>
            </c:numRef>
          </c:xVal>
          <c:yVal>
            <c:numRef>
              <c:f>'Porgy Complex'!$M$43:$M$48</c:f>
              <c:numCache>
                <c:formatCode>#,##0</c:formatCode>
                <c:ptCount val="6"/>
                <c:pt idx="0">
                  <c:v>4691.9784599000013</c:v>
                </c:pt>
                <c:pt idx="1">
                  <c:v>4691.9784599000013</c:v>
                </c:pt>
                <c:pt idx="2">
                  <c:v>4691.9784599000013</c:v>
                </c:pt>
                <c:pt idx="3">
                  <c:v>4691.9784599000013</c:v>
                </c:pt>
                <c:pt idx="4">
                  <c:v>4691.9784599000013</c:v>
                </c:pt>
                <c:pt idx="5">
                  <c:v>4691.9784599000013</c:v>
                </c:pt>
              </c:numCache>
            </c:numRef>
          </c:yVal>
          <c:smooth val="0"/>
          <c:extLst>
            <c:ext xmlns:c16="http://schemas.microsoft.com/office/drawing/2014/chart" uri="{C3380CC4-5D6E-409C-BE32-E72D297353CC}">
              <c16:uniqueId val="{00000006-3CDD-4CC9-8647-7DA83DEAFE0C}"/>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4"/>
                <c:order val="2"/>
                <c:tx>
                  <c:strRef>
                    <c:extLst>
                      <c:ext uri="{02D57815-91ED-43cb-92C2-25804820EDAC}">
                        <c15:formulaRef>
                          <c15:sqref>'Porgy Complex'!$AE$3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'Porgy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Complex'!$AE$4:$AE$35</c15:sqref>
                        </c15:formulaRef>
                      </c:ext>
                    </c:extLst>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10720.222391900001</c:v>
                      </c:pt>
                      <c:pt idx="7">
                        <c:v>8342.6836241800011</c:v>
                      </c:pt>
                      <c:pt idx="8">
                        <c:v>24596.859115310002</c:v>
                      </c:pt>
                      <c:pt idx="9">
                        <c:v>7364.8616677</c:v>
                      </c:pt>
                      <c:pt idx="10">
                        <c:v>3819.3151780000003</c:v>
                      </c:pt>
                      <c:pt idx="11">
                        <c:v>2738.7745800000002</c:v>
                      </c:pt>
                      <c:pt idx="12">
                        <c:v>2515.8117148899996</c:v>
                      </c:pt>
                      <c:pt idx="13">
                        <c:v>13064.2921885</c:v>
                      </c:pt>
                      <c:pt idx="14">
                        <c:v>3312.8780983000006</c:v>
                      </c:pt>
                      <c:pt idx="15">
                        <c:v>4691.9784599000004</c:v>
                      </c:pt>
                      <c:pt idx="16">
                        <c:v>4403.3257483200005</c:v>
                      </c:pt>
                      <c:pt idx="17">
                        <c:v>4372.7581378840005</c:v>
                      </c:pt>
                      <c:pt idx="18">
                        <c:v>2598.3833321689999</c:v>
                      </c:pt>
                      <c:pt idx="19">
                        <c:v>5722.2640606469995</c:v>
                      </c:pt>
                      <c:pt idx="20">
                        <c:v>4677.2138624030003</c:v>
                      </c:pt>
                      <c:pt idx="21">
                        <c:v>959.28601970800003</c:v>
                      </c:pt>
                      <c:pt idx="22">
                        <c:v>684.56798279999998</c:v>
                      </c:pt>
                      <c:pt idx="23">
                        <c:v>1256.5499737</c:v>
                      </c:pt>
                      <c:pt idx="24">
                        <c:v>1630.9688555</c:v>
                      </c:pt>
                      <c:pt idx="25">
                        <c:v>436.62103000000002</c:v>
                      </c:pt>
                      <c:pt idx="26">
                        <c:v>6916.9066391900005</c:v>
                      </c:pt>
                      <c:pt idx="27">
                        <c:v>4639.9226671500001</c:v>
                      </c:pt>
                      <c:pt idx="28">
                        <c:v>33.975090600000001</c:v>
                      </c:pt>
                      <c:pt idx="29">
                        <c:v>120.60705220000001</c:v>
                      </c:pt>
                      <c:pt idx="30">
                        <c:v>227.32671899000002</c:v>
                      </c:pt>
                      <c:pt idx="31">
                        <c:v>3.1195089999999999</c:v>
                      </c:pt>
                    </c:numCache>
                  </c:numRef>
                </c:yVal>
                <c:smooth val="0"/>
                <c:extLst>
                  <c:ext xmlns:c16="http://schemas.microsoft.com/office/drawing/2014/chart" uri="{C3380CC4-5D6E-409C-BE32-E72D297353CC}">
                    <c16:uniqueId val="{00000002-3CDD-4CC9-8647-7DA83DEAFE0C}"/>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'Porgy Complex'!$AM$3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'Porgy Complex'!$AJ$4:$AJ$35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Complex'!$AM$4:$AM$35</c15:sqref>
                        </c15:formulaRef>
                      </c:ext>
                    </c:extLst>
                    <c:numCache>
                      <c:formatCode>#,##0</c:formatCode>
                      <c:ptCount val="32"/>
                      <c:pt idx="0">
                        <c:v>762.27792819999991</c:v>
                      </c:pt>
                      <c:pt idx="1">
                        <c:v>396.35842020000001</c:v>
                      </c:pt>
                      <c:pt idx="2">
                        <c:v>1141.4338546000001</c:v>
                      </c:pt>
                      <c:pt idx="3">
                        <c:v>218.87268800000001</c:v>
                      </c:pt>
                      <c:pt idx="4">
                        <c:v>441.75322702</c:v>
                      </c:pt>
                      <c:pt idx="5">
                        <c:v>1438.5015000000001</c:v>
                      </c:pt>
                      <c:pt idx="6">
                        <c:v>10720.222391900004</c:v>
                      </c:pt>
                      <c:pt idx="7">
                        <c:v>8342.6836241799992</c:v>
                      </c:pt>
                      <c:pt idx="8">
                        <c:v>24596.859115310006</c:v>
                      </c:pt>
                      <c:pt idx="9">
                        <c:v>7364.8616677000018</c:v>
                      </c:pt>
                      <c:pt idx="10">
                        <c:v>3819.3151780000003</c:v>
                      </c:pt>
                      <c:pt idx="11">
                        <c:v>2738.7745800000002</c:v>
                      </c:pt>
                      <c:pt idx="12">
                        <c:v>2515.8117148900001</c:v>
                      </c:pt>
                      <c:pt idx="13">
                        <c:v>13064.292188499998</c:v>
                      </c:pt>
                      <c:pt idx="14">
                        <c:v>3312.8780983000001</c:v>
                      </c:pt>
                      <c:pt idx="15">
                        <c:v>4691.9784599000013</c:v>
                      </c:pt>
                      <c:pt idx="16">
                        <c:v>4403.3257483200014</c:v>
                      </c:pt>
                      <c:pt idx="17">
                        <c:v>4372.7581378839996</c:v>
                      </c:pt>
                      <c:pt idx="18">
                        <c:v>2598.3833321689995</c:v>
                      </c:pt>
                      <c:pt idx="19">
                        <c:v>5722.2640606470004</c:v>
                      </c:pt>
                      <c:pt idx="20">
                        <c:v>4677.2138624029994</c:v>
                      </c:pt>
                      <c:pt idx="21">
                        <c:v>959.28601970799991</c:v>
                      </c:pt>
                      <c:pt idx="22">
                        <c:v>684.56798279999998</c:v>
                      </c:pt>
                      <c:pt idx="23">
                        <c:v>1256.5499736999996</c:v>
                      </c:pt>
                      <c:pt idx="24">
                        <c:v>1630.9688555</c:v>
                      </c:pt>
                      <c:pt idx="25">
                        <c:v>436.62103000000002</c:v>
                      </c:pt>
                      <c:pt idx="26">
                        <c:v>6916.9066391900005</c:v>
                      </c:pt>
                      <c:pt idx="27">
                        <c:v>4639.9226671500001</c:v>
                      </c:pt>
                      <c:pt idx="28">
                        <c:v>33.975090600000001</c:v>
                      </c:pt>
                      <c:pt idx="29">
                        <c:v>120.60705220000001</c:v>
                      </c:pt>
                      <c:pt idx="30">
                        <c:v>227.32671899000005</c:v>
                      </c:pt>
                      <c:pt idx="31">
                        <c:v>3.1195089999999999</c:v>
                      </c:pt>
                    </c:numCache>
                  </c:numRef>
                </c:yVal>
                <c:smooth val="0"/>
                <c:extLst xmlns:c15="http://schemas.microsoft.com/office/drawing/2012/chart">
                  <c:ext xmlns:c16="http://schemas.microsoft.com/office/drawing/2014/chart" uri="{C3380CC4-5D6E-409C-BE32-E72D297353CC}">
                    <c16:uniqueId val="{00000003-3CDD-4CC9-8647-7DA83DEAFE0C}"/>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'Porgy Complex'!$AO$79</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'Porgy Complex'!$AI$80:$AI$111</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Complex'!$AO$80:$AO$111</c15:sqref>
                        </c15:formulaRef>
                      </c:ext>
                    </c:extLst>
                    <c:numCache>
                      <c:formatCode>#,##0</c:formatCode>
                      <c:ptCount val="32"/>
                      <c:pt idx="0">
                        <c:v>762.27792819999991</c:v>
                      </c:pt>
                      <c:pt idx="1">
                        <c:v>396.35842020000001</c:v>
                      </c:pt>
                      <c:pt idx="2">
                        <c:v>1141.4338546000001</c:v>
                      </c:pt>
                      <c:pt idx="3">
                        <c:v>218.87268800000001</c:v>
                      </c:pt>
                      <c:pt idx="4">
                        <c:v>929.19615042931127</c:v>
                      </c:pt>
                      <c:pt idx="5">
                        <c:v>1438.5015000000001</c:v>
                      </c:pt>
                      <c:pt idx="6">
                        <c:v>11384.808545866723</c:v>
                      </c:pt>
                      <c:pt idx="7">
                        <c:v>10446.780599811547</c:v>
                      </c:pt>
                      <c:pt idx="8">
                        <c:v>73779.01609139111</c:v>
                      </c:pt>
                      <c:pt idx="9">
                        <c:v>29912.196035921654</c:v>
                      </c:pt>
                      <c:pt idx="10">
                        <c:v>3819.3151780000003</c:v>
                      </c:pt>
                      <c:pt idx="11">
                        <c:v>2738.7745800000002</c:v>
                      </c:pt>
                      <c:pt idx="12">
                        <c:v>3033.3622054735292</c:v>
                      </c:pt>
                      <c:pt idx="13">
                        <c:v>21872.29674815046</c:v>
                      </c:pt>
                      <c:pt idx="14">
                        <c:v>4093.8001150739628</c:v>
                      </c:pt>
                      <c:pt idx="15">
                        <c:v>4448.1516652777236</c:v>
                      </c:pt>
                      <c:pt idx="16">
                        <c:v>4489.1275108567634</c:v>
                      </c:pt>
                      <c:pt idx="17">
                        <c:v>5390.8493478486998</c:v>
                      </c:pt>
                      <c:pt idx="18">
                        <c:v>2645.7610481035676</c:v>
                      </c:pt>
                      <c:pt idx="19">
                        <c:v>8743.3820713785844</c:v>
                      </c:pt>
                      <c:pt idx="20">
                        <c:v>5033.7694864074429</c:v>
                      </c:pt>
                      <c:pt idx="21">
                        <c:v>988.6504041719819</c:v>
                      </c:pt>
                      <c:pt idx="22">
                        <c:v>684.56798279999998</c:v>
                      </c:pt>
                      <c:pt idx="23">
                        <c:v>874.41823728316217</c:v>
                      </c:pt>
                      <c:pt idx="24">
                        <c:v>1586.6641808716486</c:v>
                      </c:pt>
                      <c:pt idx="25">
                        <c:v>436.62103000000002</c:v>
                      </c:pt>
                      <c:pt idx="26">
                        <c:v>7954.015834118808</c:v>
                      </c:pt>
                      <c:pt idx="27">
                        <c:v>5090.9029518207371</c:v>
                      </c:pt>
                      <c:pt idx="28">
                        <c:v>33.975090600000001</c:v>
                      </c:pt>
                      <c:pt idx="29">
                        <c:v>120.60705220000001</c:v>
                      </c:pt>
                      <c:pt idx="30">
                        <c:v>225.55658613594051</c:v>
                      </c:pt>
                      <c:pt idx="31">
                        <c:v>3.1195089999999999</c:v>
                      </c:pt>
                    </c:numCache>
                  </c:numRef>
                </c:yVal>
                <c:smooth val="0"/>
                <c:extLst xmlns:c15="http://schemas.microsoft.com/office/drawing/2012/chart">
                  <c:ext xmlns:c16="http://schemas.microsoft.com/office/drawing/2014/chart" uri="{C3380CC4-5D6E-409C-BE32-E72D297353CC}">
                    <c16:uniqueId val="{00000004-3CDD-4CC9-8647-7DA83DEAFE0C}"/>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max val="25000"/>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0"/>
          <c:order val="0"/>
          <c:tx>
            <c:strRef>
              <c:f>'Porgy Complex'!$E$3</c:f>
              <c:strCache>
                <c:ptCount val="1"/>
                <c:pt idx="0">
                  <c:v>Total New Wgt</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Complex'!$E$4:$E$35</c:f>
              <c:numCache>
                <c:formatCode>#,##0</c:formatCode>
                <c:ptCount val="32"/>
                <c:pt idx="0">
                  <c:v>41013.406816000002</c:v>
                </c:pt>
                <c:pt idx="1">
                  <c:v>45101.88605922</c:v>
                </c:pt>
                <c:pt idx="2">
                  <c:v>5810.8237005500005</c:v>
                </c:pt>
                <c:pt idx="3">
                  <c:v>8699.8391843549998</c:v>
                </c:pt>
                <c:pt idx="4">
                  <c:v>5243.1855986199998</c:v>
                </c:pt>
                <c:pt idx="5">
                  <c:v>21128.251835629999</c:v>
                </c:pt>
                <c:pt idx="6">
                  <c:v>51130.9720055</c:v>
                </c:pt>
                <c:pt idx="7">
                  <c:v>16525.979177190999</c:v>
                </c:pt>
                <c:pt idx="8">
                  <c:v>45170.599390789997</c:v>
                </c:pt>
                <c:pt idx="9">
                  <c:v>16343.674732698999</c:v>
                </c:pt>
                <c:pt idx="10">
                  <c:v>10924.130679370799</c:v>
                </c:pt>
                <c:pt idx="11">
                  <c:v>32516.527719534002</c:v>
                </c:pt>
                <c:pt idx="12">
                  <c:v>6052.9249247670004</c:v>
                </c:pt>
                <c:pt idx="13">
                  <c:v>385.35789399999993</c:v>
                </c:pt>
                <c:pt idx="14">
                  <c:v>789.8160330799999</c:v>
                </c:pt>
                <c:pt idx="15">
                  <c:v>15614.4960164</c:v>
                </c:pt>
                <c:pt idx="16">
                  <c:v>3636.4983757200007</c:v>
                </c:pt>
                <c:pt idx="17">
                  <c:v>9227.7309589699998</c:v>
                </c:pt>
                <c:pt idx="18">
                  <c:v>8497.0973780599998</c:v>
                </c:pt>
                <c:pt idx="19">
                  <c:v>20933.552779129997</c:v>
                </c:pt>
                <c:pt idx="20">
                  <c:v>10176.508101523999</c:v>
                </c:pt>
                <c:pt idx="21">
                  <c:v>8235.1813396429989</c:v>
                </c:pt>
                <c:pt idx="22">
                  <c:v>5886.4109562000003</c:v>
                </c:pt>
                <c:pt idx="23">
                  <c:v>8898.034930400001</c:v>
                </c:pt>
                <c:pt idx="24">
                  <c:v>13441.407745367998</c:v>
                </c:pt>
                <c:pt idx="25">
                  <c:v>8624.9657303870972</c:v>
                </c:pt>
                <c:pt idx="26">
                  <c:v>9839.1842041640011</c:v>
                </c:pt>
                <c:pt idx="27">
                  <c:v>7169.031052944998</c:v>
                </c:pt>
                <c:pt idx="28">
                  <c:v>12468.912919289001</c:v>
                </c:pt>
                <c:pt idx="29">
                  <c:v>13798.8254511901</c:v>
                </c:pt>
                <c:pt idx="30">
                  <c:v>7983.9571500000011</c:v>
                </c:pt>
                <c:pt idx="31">
                  <c:v>10543.224473061002</c:v>
                </c:pt>
              </c:numCache>
            </c:numRef>
          </c:yVal>
          <c:smooth val="0"/>
          <c:extLst>
            <c:ext xmlns:c16="http://schemas.microsoft.com/office/drawing/2014/chart" uri="{C3380CC4-5D6E-409C-BE32-E72D297353CC}">
              <c16:uniqueId val="{00000000-0D0C-46F9-B182-44C34746F5C1}"/>
            </c:ext>
          </c:extLst>
        </c:ser>
        <c:ser>
          <c:idx val="2"/>
          <c:order val="1"/>
          <c:tx>
            <c:strRef>
              <c:f>'Porgy Complex'!$N$3</c:f>
              <c:strCache>
                <c:ptCount val="1"/>
                <c:pt idx="0">
                  <c:v>Total Orig FES</c:v>
                </c:pt>
              </c:strCache>
            </c:strRef>
          </c:tx>
          <c:spPr>
            <a:ln>
              <a:solidFill>
                <a:schemeClr val="accent2"/>
              </a:solidFill>
            </a:ln>
          </c:spPr>
          <c:marker>
            <c:symbol val="x"/>
            <c:size val="7"/>
            <c:spPr>
              <a:noFill/>
              <a:ln w="12700">
                <a:solidFill>
                  <a:schemeClr val="accent2"/>
                </a:solidFill>
              </a:ln>
            </c:spPr>
          </c:marker>
          <c:xVal>
            <c:numRef>
              <c:f>'Porgy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Complex'!$N$4:$N$35</c:f>
              <c:numCache>
                <c:formatCode>#,##0</c:formatCode>
                <c:ptCount val="32"/>
                <c:pt idx="0">
                  <c:v>41015.282393699999</c:v>
                </c:pt>
                <c:pt idx="1">
                  <c:v>45103.153365010003</c:v>
                </c:pt>
                <c:pt idx="2">
                  <c:v>5812.1984174699992</c:v>
                </c:pt>
                <c:pt idx="3">
                  <c:v>8577.3278204149992</c:v>
                </c:pt>
                <c:pt idx="4">
                  <c:v>3734.4780680000003</c:v>
                </c:pt>
                <c:pt idx="5">
                  <c:v>28552.498745199999</c:v>
                </c:pt>
                <c:pt idx="6">
                  <c:v>8479.4158070689973</c:v>
                </c:pt>
                <c:pt idx="7">
                  <c:v>13366.550886759998</c:v>
                </c:pt>
                <c:pt idx="8">
                  <c:v>44441.163961890001</c:v>
                </c:pt>
                <c:pt idx="9">
                  <c:v>17409.051810430996</c:v>
                </c:pt>
                <c:pt idx="10">
                  <c:v>8675.1703705339987</c:v>
                </c:pt>
                <c:pt idx="11">
                  <c:v>33655.963114734994</c:v>
                </c:pt>
                <c:pt idx="12">
                  <c:v>4626.446661392999</c:v>
                </c:pt>
                <c:pt idx="13">
                  <c:v>385.35789399999993</c:v>
                </c:pt>
                <c:pt idx="14">
                  <c:v>648.94605599999988</c:v>
                </c:pt>
                <c:pt idx="15">
                  <c:v>15623.0758618</c:v>
                </c:pt>
                <c:pt idx="16">
                  <c:v>3636.9492592700003</c:v>
                </c:pt>
                <c:pt idx="17">
                  <c:v>9231.9391079999987</c:v>
                </c:pt>
                <c:pt idx="18">
                  <c:v>8498.6262273089978</c:v>
                </c:pt>
                <c:pt idx="19">
                  <c:v>20942.297840310006</c:v>
                </c:pt>
                <c:pt idx="20">
                  <c:v>10177.172159155001</c:v>
                </c:pt>
                <c:pt idx="21">
                  <c:v>8236.380698697998</c:v>
                </c:pt>
                <c:pt idx="22">
                  <c:v>5886.4109562000003</c:v>
                </c:pt>
                <c:pt idx="23">
                  <c:v>8898.034930400001</c:v>
                </c:pt>
                <c:pt idx="24">
                  <c:v>13444.13836628</c:v>
                </c:pt>
                <c:pt idx="25">
                  <c:v>8507.5984832446993</c:v>
                </c:pt>
                <c:pt idx="26">
                  <c:v>8818.0187824419991</c:v>
                </c:pt>
                <c:pt idx="27">
                  <c:v>7171.1183265049985</c:v>
                </c:pt>
                <c:pt idx="28">
                  <c:v>12075.385292209998</c:v>
                </c:pt>
                <c:pt idx="29">
                  <c:v>11555.5630651054</c:v>
                </c:pt>
                <c:pt idx="30">
                  <c:v>7983.9571500000011</c:v>
                </c:pt>
                <c:pt idx="31">
                  <c:v>10546.021462265999</c:v>
                </c:pt>
              </c:numCache>
            </c:numRef>
          </c:yVal>
          <c:smooth val="0"/>
          <c:extLst>
            <c:ext xmlns:c16="http://schemas.microsoft.com/office/drawing/2014/chart" uri="{C3380CC4-5D6E-409C-BE32-E72D297353CC}">
              <c16:uniqueId val="{00000001-0D0C-46F9-B182-44C34746F5C1}"/>
            </c:ext>
          </c:extLst>
        </c:ser>
        <c:ser>
          <c:idx val="1"/>
          <c:order val="5"/>
          <c:tx>
            <c:strRef>
              <c:f>'Porgy Complex'!$E$42</c:f>
              <c:strCache>
                <c:ptCount val="1"/>
                <c:pt idx="0">
                  <c:v>New Wgt ABC/ACL</c:v>
                </c:pt>
              </c:strCache>
            </c:strRef>
          </c:tx>
          <c:spPr>
            <a:ln w="38100">
              <a:solidFill>
                <a:schemeClr val="tx1"/>
              </a:solidFill>
            </a:ln>
          </c:spPr>
          <c:marker>
            <c:symbol val="none"/>
          </c:marker>
          <c:xVal>
            <c:numRef>
              <c:f>'Porgy Complex'!$A$43:$A$48</c:f>
              <c:numCache>
                <c:formatCode>General</c:formatCode>
                <c:ptCount val="6"/>
                <c:pt idx="0">
                  <c:v>2012</c:v>
                </c:pt>
                <c:pt idx="1">
                  <c:v>2013</c:v>
                </c:pt>
                <c:pt idx="2">
                  <c:v>2014</c:v>
                </c:pt>
                <c:pt idx="3">
                  <c:v>2015</c:v>
                </c:pt>
                <c:pt idx="4">
                  <c:v>2016</c:v>
                </c:pt>
                <c:pt idx="5">
                  <c:v>2017</c:v>
                </c:pt>
              </c:numCache>
            </c:numRef>
          </c:xVal>
          <c:yVal>
            <c:numRef>
              <c:f>'Porgy Complex'!$E$43:$E$48</c:f>
              <c:numCache>
                <c:formatCode>#,##0</c:formatCode>
                <c:ptCount val="6"/>
                <c:pt idx="0">
                  <c:v>8497.0973780599998</c:v>
                </c:pt>
                <c:pt idx="1">
                  <c:v>8497.0973780599998</c:v>
                </c:pt>
                <c:pt idx="2">
                  <c:v>8497.0973780599998</c:v>
                </c:pt>
                <c:pt idx="3">
                  <c:v>8497.0973780599998</c:v>
                </c:pt>
                <c:pt idx="4">
                  <c:v>8497.0973780599998</c:v>
                </c:pt>
                <c:pt idx="5">
                  <c:v>8497.0973780599998</c:v>
                </c:pt>
              </c:numCache>
            </c:numRef>
          </c:yVal>
          <c:smooth val="0"/>
          <c:extLst>
            <c:ext xmlns:c16="http://schemas.microsoft.com/office/drawing/2014/chart" uri="{C3380CC4-5D6E-409C-BE32-E72D297353CC}">
              <c16:uniqueId val="{00000005-0D0C-46F9-B182-44C34746F5C1}"/>
            </c:ext>
          </c:extLst>
        </c:ser>
        <c:ser>
          <c:idx val="3"/>
          <c:order val="6"/>
          <c:tx>
            <c:strRef>
              <c:f>'Porgy Complex'!$N$42</c:f>
              <c:strCache>
                <c:ptCount val="1"/>
                <c:pt idx="0">
                  <c:v>Orig FES ABC/ACL</c:v>
                </c:pt>
              </c:strCache>
            </c:strRef>
          </c:tx>
          <c:spPr>
            <a:ln w="38100">
              <a:solidFill>
                <a:srgbClr val="7030A0"/>
              </a:solidFill>
            </a:ln>
          </c:spPr>
          <c:marker>
            <c:symbol val="none"/>
          </c:marker>
          <c:xVal>
            <c:numRef>
              <c:f>'Porgy Complex'!$J$43:$J$48</c:f>
              <c:numCache>
                <c:formatCode>General</c:formatCode>
                <c:ptCount val="6"/>
                <c:pt idx="0">
                  <c:v>2012</c:v>
                </c:pt>
                <c:pt idx="1">
                  <c:v>2013</c:v>
                </c:pt>
                <c:pt idx="2">
                  <c:v>2014</c:v>
                </c:pt>
                <c:pt idx="3">
                  <c:v>2015</c:v>
                </c:pt>
                <c:pt idx="4">
                  <c:v>2016</c:v>
                </c:pt>
                <c:pt idx="5">
                  <c:v>2017</c:v>
                </c:pt>
              </c:numCache>
            </c:numRef>
          </c:xVal>
          <c:yVal>
            <c:numRef>
              <c:f>'Porgy Complex'!$N$43:$N$48</c:f>
              <c:numCache>
                <c:formatCode>#,##0</c:formatCode>
                <c:ptCount val="6"/>
                <c:pt idx="0">
                  <c:v>8498.6262273089978</c:v>
                </c:pt>
                <c:pt idx="1">
                  <c:v>8498.6262273089978</c:v>
                </c:pt>
                <c:pt idx="2">
                  <c:v>8498.6262273089978</c:v>
                </c:pt>
                <c:pt idx="3">
                  <c:v>8498.6262273089978</c:v>
                </c:pt>
                <c:pt idx="4">
                  <c:v>8498.6262273089978</c:v>
                </c:pt>
                <c:pt idx="5">
                  <c:v>8498.6262273089978</c:v>
                </c:pt>
              </c:numCache>
            </c:numRef>
          </c:yVal>
          <c:smooth val="0"/>
          <c:extLst>
            <c:ext xmlns:c16="http://schemas.microsoft.com/office/drawing/2014/chart" uri="{C3380CC4-5D6E-409C-BE32-E72D297353CC}">
              <c16:uniqueId val="{00000006-0D0C-46F9-B182-44C34746F5C1}"/>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4"/>
                <c:order val="2"/>
                <c:tx>
                  <c:strRef>
                    <c:extLst>
                      <c:ext uri="{02D57815-91ED-43cb-92C2-25804820EDAC}">
                        <c15:formulaRef>
                          <c15:sqref>'Porgy Complex'!$AF$3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'Porgy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Complex'!$AF$4:$AF$35</c15:sqref>
                        </c15:formulaRef>
                      </c:ext>
                    </c:extLst>
                    <c:numCache>
                      <c:formatCode>#,##0</c:formatCode>
                      <c:ptCount val="32"/>
                      <c:pt idx="0">
                        <c:v>4043.4068160000006</c:v>
                      </c:pt>
                      <c:pt idx="1">
                        <c:v>3150.8860592199999</c:v>
                      </c:pt>
                      <c:pt idx="2">
                        <c:v>3659.8237005500005</c:v>
                      </c:pt>
                      <c:pt idx="3">
                        <c:v>5696.8391843549998</c:v>
                      </c:pt>
                      <c:pt idx="4">
                        <c:v>3139.1855986199998</c:v>
                      </c:pt>
                      <c:pt idx="5">
                        <c:v>20135.251835629999</c:v>
                      </c:pt>
                      <c:pt idx="6">
                        <c:v>51123.9720055</c:v>
                      </c:pt>
                      <c:pt idx="7">
                        <c:v>15089.979177190999</c:v>
                      </c:pt>
                      <c:pt idx="8">
                        <c:v>38121.599390789997</c:v>
                      </c:pt>
                      <c:pt idx="9">
                        <c:v>9051.6747326989989</c:v>
                      </c:pt>
                      <c:pt idx="10">
                        <c:v>10554.130679370799</c:v>
                      </c:pt>
                      <c:pt idx="11">
                        <c:v>32443.527719534002</c:v>
                      </c:pt>
                      <c:pt idx="12">
                        <c:v>5839.9249247670004</c:v>
                      </c:pt>
                      <c:pt idx="13">
                        <c:v>383.35789399999993</c:v>
                      </c:pt>
                      <c:pt idx="14">
                        <c:v>789.8160330799999</c:v>
                      </c:pt>
                      <c:pt idx="15">
                        <c:v>15614.4960164</c:v>
                      </c:pt>
                      <c:pt idx="16">
                        <c:v>3635.4983757200007</c:v>
                      </c:pt>
                      <c:pt idx="17">
                        <c:v>9219.7309589699998</c:v>
                      </c:pt>
                      <c:pt idx="18">
                        <c:v>8497.0973780599998</c:v>
                      </c:pt>
                      <c:pt idx="19">
                        <c:v>20120.552779129997</c:v>
                      </c:pt>
                      <c:pt idx="20">
                        <c:v>9534.5081015239994</c:v>
                      </c:pt>
                      <c:pt idx="21">
                        <c:v>8095.1813396429989</c:v>
                      </c:pt>
                      <c:pt idx="22">
                        <c:v>5716.4109562000003</c:v>
                      </c:pt>
                      <c:pt idx="23">
                        <c:v>8551.034930400001</c:v>
                      </c:pt>
                      <c:pt idx="24">
                        <c:v>13333.407745367998</c:v>
                      </c:pt>
                      <c:pt idx="25">
                        <c:v>8600.9657303870972</c:v>
                      </c:pt>
                      <c:pt idx="26">
                        <c:v>9788.1842041640011</c:v>
                      </c:pt>
                      <c:pt idx="27">
                        <c:v>6829.031052944998</c:v>
                      </c:pt>
                      <c:pt idx="28">
                        <c:v>12359.912919289001</c:v>
                      </c:pt>
                      <c:pt idx="29">
                        <c:v>13766.8254511901</c:v>
                      </c:pt>
                      <c:pt idx="30">
                        <c:v>7959.1571500000009</c:v>
                      </c:pt>
                      <c:pt idx="31">
                        <c:v>10542.224473061002</c:v>
                      </c:pt>
                    </c:numCache>
                  </c:numRef>
                </c:yVal>
                <c:smooth val="0"/>
                <c:extLst>
                  <c:ext xmlns:c16="http://schemas.microsoft.com/office/drawing/2014/chart" uri="{C3380CC4-5D6E-409C-BE32-E72D297353CC}">
                    <c16:uniqueId val="{00000002-0D0C-46F9-B182-44C34746F5C1}"/>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'Porgy Complex'!$AN$3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'Porgy Complex'!$AJ$4:$AJ$35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Complex'!$AN$4:$AN$35</c15:sqref>
                        </c15:formulaRef>
                      </c:ext>
                    </c:extLst>
                    <c:numCache>
                      <c:formatCode>#,##0</c:formatCode>
                      <c:ptCount val="32"/>
                      <c:pt idx="0">
                        <c:v>4045.2823937000003</c:v>
                      </c:pt>
                      <c:pt idx="1">
                        <c:v>3152.1533650100009</c:v>
                      </c:pt>
                      <c:pt idx="2">
                        <c:v>3661.1984174699996</c:v>
                      </c:pt>
                      <c:pt idx="3">
                        <c:v>5574.3278204149992</c:v>
                      </c:pt>
                      <c:pt idx="4">
                        <c:v>1630.4780680000001</c:v>
                      </c:pt>
                      <c:pt idx="5">
                        <c:v>27559.498745199999</c:v>
                      </c:pt>
                      <c:pt idx="6">
                        <c:v>8472.4158070689973</c:v>
                      </c:pt>
                      <c:pt idx="7">
                        <c:v>11930.550886759998</c:v>
                      </c:pt>
                      <c:pt idx="8">
                        <c:v>37392.163961890001</c:v>
                      </c:pt>
                      <c:pt idx="9">
                        <c:v>10117.051810430998</c:v>
                      </c:pt>
                      <c:pt idx="10">
                        <c:v>8305.1703705339987</c:v>
                      </c:pt>
                      <c:pt idx="11">
                        <c:v>33582.963114734994</c:v>
                      </c:pt>
                      <c:pt idx="12">
                        <c:v>4413.446661392999</c:v>
                      </c:pt>
                      <c:pt idx="13">
                        <c:v>383.35789399999993</c:v>
                      </c:pt>
                      <c:pt idx="14">
                        <c:v>648.94605599999988</c:v>
                      </c:pt>
                      <c:pt idx="15">
                        <c:v>15623.0758618</c:v>
                      </c:pt>
                      <c:pt idx="16">
                        <c:v>3635.9492592700003</c:v>
                      </c:pt>
                      <c:pt idx="17">
                        <c:v>9223.9391079999987</c:v>
                      </c:pt>
                      <c:pt idx="18">
                        <c:v>8498.6262273089978</c:v>
                      </c:pt>
                      <c:pt idx="19">
                        <c:v>20129.297840310006</c:v>
                      </c:pt>
                      <c:pt idx="20">
                        <c:v>9535.1721591550013</c:v>
                      </c:pt>
                      <c:pt idx="21">
                        <c:v>8096.3806986979989</c:v>
                      </c:pt>
                      <c:pt idx="22">
                        <c:v>5716.4109562000003</c:v>
                      </c:pt>
                      <c:pt idx="23">
                        <c:v>8551.034930400001</c:v>
                      </c:pt>
                      <c:pt idx="24">
                        <c:v>13336.13836628</c:v>
                      </c:pt>
                      <c:pt idx="25">
                        <c:v>8483.5984832446993</c:v>
                      </c:pt>
                      <c:pt idx="26">
                        <c:v>8767.0187824419991</c:v>
                      </c:pt>
                      <c:pt idx="27">
                        <c:v>6831.1183265049985</c:v>
                      </c:pt>
                      <c:pt idx="28">
                        <c:v>11966.385292209998</c:v>
                      </c:pt>
                      <c:pt idx="29">
                        <c:v>11523.5630651054</c:v>
                      </c:pt>
                      <c:pt idx="30">
                        <c:v>7959.1571500000009</c:v>
                      </c:pt>
                      <c:pt idx="31">
                        <c:v>10545.021462265999</c:v>
                      </c:pt>
                    </c:numCache>
                  </c:numRef>
                </c:yVal>
                <c:smooth val="0"/>
                <c:extLst xmlns:c15="http://schemas.microsoft.com/office/drawing/2012/chart">
                  <c:ext xmlns:c16="http://schemas.microsoft.com/office/drawing/2014/chart" uri="{C3380CC4-5D6E-409C-BE32-E72D297353CC}">
                    <c16:uniqueId val="{00000003-0D0C-46F9-B182-44C34746F5C1}"/>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'Porgy Complex'!$S$142</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('Porgy Complex'!$M$143:$M$144,'Porgy Complex'!$M$146:$M$159,'Porgy Complex'!$M$161:$M$174)</c15:sqref>
                        </c15:formulaRef>
                      </c:ext>
                    </c:extLst>
                    <c:numCache>
                      <c:formatCode>General</c:formatCode>
                      <c:ptCount val="30"/>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xVal>
                <c:yVal>
                  <c:numRef>
                    <c:extLst xmlns:c15="http://schemas.microsoft.com/office/drawing/2012/chart">
                      <c:ext xmlns:c15="http://schemas.microsoft.com/office/drawing/2012/chart" uri="{02D57815-91ED-43cb-92C2-25804820EDAC}">
                        <c15:formulaRef>
                          <c15:sqref>('Porgy Complex'!$S$143:$S$144,'Porgy Complex'!$S$146:$S$159,'Porgy Complex'!$S$161:$S$174)</c15:sqref>
                        </c15:formulaRef>
                      </c:ext>
                    </c:extLst>
                    <c:numCache>
                      <c:formatCode>#,##0</c:formatCode>
                      <c:ptCount val="30"/>
                      <c:pt idx="0">
                        <c:v>9013.0807797055331</c:v>
                      </c:pt>
                      <c:pt idx="1">
                        <c:v>3288.6506294511737</c:v>
                      </c:pt>
                      <c:pt idx="2">
                        <c:v>7350.9820553747286</c:v>
                      </c:pt>
                      <c:pt idx="3">
                        <c:v>1630.4780680000001</c:v>
                      </c:pt>
                      <c:pt idx="4">
                        <c:v>19620.297110075102</c:v>
                      </c:pt>
                      <c:pt idx="5">
                        <c:v>10312.650534067607</c:v>
                      </c:pt>
                      <c:pt idx="6">
                        <c:v>13679.814332043505</c:v>
                      </c:pt>
                      <c:pt idx="7">
                        <c:v>31526.925792477177</c:v>
                      </c:pt>
                      <c:pt idx="8">
                        <c:v>9089.2736636168956</c:v>
                      </c:pt>
                      <c:pt idx="9">
                        <c:v>8070.0037083794505</c:v>
                      </c:pt>
                      <c:pt idx="10">
                        <c:v>30716.007409033773</c:v>
                      </c:pt>
                      <c:pt idx="11">
                        <c:v>6129.3886820194257</c:v>
                      </c:pt>
                      <c:pt idx="12">
                        <c:v>383.35789399999993</c:v>
                      </c:pt>
                      <c:pt idx="13">
                        <c:v>648.94605599999988</c:v>
                      </c:pt>
                      <c:pt idx="14">
                        <c:v>23321.069161064068</c:v>
                      </c:pt>
                      <c:pt idx="15">
                        <c:v>3740.4312940956952</c:v>
                      </c:pt>
                      <c:pt idx="16">
                        <c:v>8222.0750923675805</c:v>
                      </c:pt>
                      <c:pt idx="17">
                        <c:v>19394.240798549592</c:v>
                      </c:pt>
                      <c:pt idx="18">
                        <c:v>9898.168869399904</c:v>
                      </c:pt>
                      <c:pt idx="19">
                        <c:v>8071.7938012234627</c:v>
                      </c:pt>
                      <c:pt idx="20">
                        <c:v>5716.4109562000003</c:v>
                      </c:pt>
                      <c:pt idx="21">
                        <c:v>8551.034930400001</c:v>
                      </c:pt>
                      <c:pt idx="22">
                        <c:v>14391.249874289835</c:v>
                      </c:pt>
                      <c:pt idx="23">
                        <c:v>8426.9986171069104</c:v>
                      </c:pt>
                      <c:pt idx="24">
                        <c:v>9272.4614413789077</c:v>
                      </c:pt>
                      <c:pt idx="25">
                        <c:v>6851.4010967985187</c:v>
                      </c:pt>
                      <c:pt idx="26">
                        <c:v>14338.621187618937</c:v>
                      </c:pt>
                      <c:pt idx="27">
                        <c:v>11531.113235534827</c:v>
                      </c:pt>
                      <c:pt idx="28">
                        <c:v>7959.1571500000009</c:v>
                      </c:pt>
                      <c:pt idx="29">
                        <c:v>15994.58377663294</c:v>
                      </c:pt>
                    </c:numCache>
                  </c:numRef>
                </c:yVal>
                <c:smooth val="0"/>
                <c:extLst xmlns:c15="http://schemas.microsoft.com/office/drawing/2012/chart">
                  <c:ext xmlns:c16="http://schemas.microsoft.com/office/drawing/2014/chart" uri="{C3380CC4-5D6E-409C-BE32-E72D297353CC}">
                    <c16:uniqueId val="{00000004-0D0C-46F9-B182-44C34746F5C1}"/>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3"/>
          <c:tx>
            <c:strRef>
              <c:f>'Gray Triggerfish'!$F$3</c:f>
              <c:strCache>
                <c:ptCount val="1"/>
                <c:pt idx="0">
                  <c:v>Commercial</c:v>
                </c:pt>
              </c:strCache>
            </c:strRef>
          </c:tx>
          <c:spPr>
            <a:solidFill>
              <a:schemeClr val="accent3">
                <a:alpha val="75000"/>
              </a:schemeClr>
            </a:solidFill>
            <a:ln w="12700">
              <a:solidFill>
                <a:schemeClr val="accent3"/>
              </a:solidFill>
            </a:ln>
          </c:spPr>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Triggerfish'!$F$4:$F$35</c:f>
              <c:numCache>
                <c:formatCode>#,##0</c:formatCode>
                <c:ptCount val="32"/>
                <c:pt idx="0">
                  <c:v>74624</c:v>
                </c:pt>
                <c:pt idx="1">
                  <c:v>80971</c:v>
                </c:pt>
                <c:pt idx="2">
                  <c:v>89420</c:v>
                </c:pt>
                <c:pt idx="3">
                  <c:v>108936</c:v>
                </c:pt>
                <c:pt idx="4">
                  <c:v>216794</c:v>
                </c:pt>
                <c:pt idx="5">
                  <c:v>296217</c:v>
                </c:pt>
                <c:pt idx="6">
                  <c:v>285296</c:v>
                </c:pt>
                <c:pt idx="7">
                  <c:v>358550</c:v>
                </c:pt>
                <c:pt idx="8">
                  <c:v>419907</c:v>
                </c:pt>
                <c:pt idx="9">
                  <c:v>511273</c:v>
                </c:pt>
                <c:pt idx="10">
                  <c:v>470051</c:v>
                </c:pt>
                <c:pt idx="11">
                  <c:v>589559</c:v>
                </c:pt>
                <c:pt idx="12">
                  <c:v>444389</c:v>
                </c:pt>
                <c:pt idx="13">
                  <c:v>294358</c:v>
                </c:pt>
                <c:pt idx="14">
                  <c:v>211969</c:v>
                </c:pt>
                <c:pt idx="15">
                  <c:v>208244</c:v>
                </c:pt>
                <c:pt idx="16">
                  <c:v>191191</c:v>
                </c:pt>
                <c:pt idx="17">
                  <c:v>186187</c:v>
                </c:pt>
                <c:pt idx="18">
                  <c:v>266073</c:v>
                </c:pt>
                <c:pt idx="19">
                  <c:v>291885</c:v>
                </c:pt>
                <c:pt idx="20">
                  <c:v>249284</c:v>
                </c:pt>
                <c:pt idx="21">
                  <c:v>340488</c:v>
                </c:pt>
                <c:pt idx="22">
                  <c:v>334443</c:v>
                </c:pt>
                <c:pt idx="23">
                  <c:v>374127</c:v>
                </c:pt>
                <c:pt idx="24">
                  <c:v>471786</c:v>
                </c:pt>
                <c:pt idx="25">
                  <c:v>522996</c:v>
                </c:pt>
                <c:pt idx="26">
                  <c:v>317146</c:v>
                </c:pt>
                <c:pt idx="27">
                  <c:v>332062</c:v>
                </c:pt>
                <c:pt idx="28">
                  <c:v>262656</c:v>
                </c:pt>
                <c:pt idx="29">
                  <c:v>311948</c:v>
                </c:pt>
                <c:pt idx="30">
                  <c:v>280287</c:v>
                </c:pt>
                <c:pt idx="31">
                  <c:v>245221</c:v>
                </c:pt>
              </c:numCache>
            </c:numRef>
          </c:val>
          <c:extLst>
            <c:ext xmlns:c16="http://schemas.microsoft.com/office/drawing/2014/chart" uri="{C3380CC4-5D6E-409C-BE32-E72D297353CC}">
              <c16:uniqueId val="{00000001-4899-4466-949A-76E38BEC71A5}"/>
            </c:ext>
          </c:extLst>
        </c:ser>
        <c:dLbls>
          <c:showLegendKey val="0"/>
          <c:showVal val="0"/>
          <c:showCatName val="0"/>
          <c:showSerName val="0"/>
          <c:showPercent val="0"/>
          <c:showBubbleSize val="0"/>
        </c:dLbls>
        <c:axId val="339444864"/>
        <c:axId val="339445440"/>
      </c:areaChart>
      <c:lineChart>
        <c:grouping val="standard"/>
        <c:varyColors val="0"/>
        <c:ser>
          <c:idx val="1"/>
          <c:order val="0"/>
          <c:tx>
            <c:strRef>
              <c:f>'Gray Triggerfish'!$E$3</c:f>
              <c:strCache>
                <c:ptCount val="1"/>
                <c:pt idx="0">
                  <c:v>New Est Rec</c:v>
                </c:pt>
              </c:strCache>
            </c:strRef>
          </c:tx>
          <c:spPr>
            <a:ln>
              <a:solidFill>
                <a:schemeClr val="accent5"/>
              </a:solidFill>
            </a:ln>
          </c:spPr>
          <c:marker>
            <c:spPr>
              <a:solidFill>
                <a:schemeClr val="accent5"/>
              </a:solidFill>
              <a:ln>
                <a:solidFill>
                  <a:schemeClr val="accent5"/>
                </a:solidFill>
              </a:ln>
            </c:spPr>
          </c:marker>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Triggerfish'!$E$4:$E$35</c:f>
              <c:numCache>
                <c:formatCode>#,##0</c:formatCode>
                <c:ptCount val="32"/>
                <c:pt idx="0">
                  <c:v>192788.75205805001</c:v>
                </c:pt>
                <c:pt idx="1">
                  <c:v>154750.27434544705</c:v>
                </c:pt>
                <c:pt idx="2">
                  <c:v>329573.18807840999</c:v>
                </c:pt>
                <c:pt idx="3">
                  <c:v>374567.67426699406</c:v>
                </c:pt>
                <c:pt idx="4">
                  <c:v>366018.65974800498</c:v>
                </c:pt>
                <c:pt idx="5">
                  <c:v>1001932.9272908201</c:v>
                </c:pt>
                <c:pt idx="6">
                  <c:v>817595.53163908015</c:v>
                </c:pt>
                <c:pt idx="7">
                  <c:v>586725.49312553986</c:v>
                </c:pt>
                <c:pt idx="8">
                  <c:v>375743.9112653801</c:v>
                </c:pt>
                <c:pt idx="9">
                  <c:v>288618.03025182697</c:v>
                </c:pt>
                <c:pt idx="10">
                  <c:v>378660.23284702201</c:v>
                </c:pt>
                <c:pt idx="11">
                  <c:v>371257.42836612993</c:v>
                </c:pt>
                <c:pt idx="12">
                  <c:v>337082.33047937916</c:v>
                </c:pt>
                <c:pt idx="13">
                  <c:v>319482.83165725041</c:v>
                </c:pt>
                <c:pt idx="14">
                  <c:v>215607.86098667484</c:v>
                </c:pt>
                <c:pt idx="15">
                  <c:v>305967.49942199094</c:v>
                </c:pt>
                <c:pt idx="16">
                  <c:v>472318.47632474406</c:v>
                </c:pt>
                <c:pt idx="17">
                  <c:v>531528.06007700309</c:v>
                </c:pt>
                <c:pt idx="18">
                  <c:v>551843.047895442</c:v>
                </c:pt>
                <c:pt idx="19">
                  <c:v>402774.07697894884</c:v>
                </c:pt>
                <c:pt idx="20">
                  <c:v>485845.23249664792</c:v>
                </c:pt>
                <c:pt idx="21">
                  <c:v>820203.34930533927</c:v>
                </c:pt>
                <c:pt idx="22">
                  <c:v>818075.16938871902</c:v>
                </c:pt>
                <c:pt idx="23">
                  <c:v>1006913.2605149145</c:v>
                </c:pt>
                <c:pt idx="24">
                  <c:v>839159.34719329956</c:v>
                </c:pt>
                <c:pt idx="25">
                  <c:v>651967.40283826098</c:v>
                </c:pt>
                <c:pt idx="26">
                  <c:v>471800.49723091803</c:v>
                </c:pt>
                <c:pt idx="27">
                  <c:v>660799.92080652213</c:v>
                </c:pt>
                <c:pt idx="28">
                  <c:v>971321.01090190304</c:v>
                </c:pt>
                <c:pt idx="29">
                  <c:v>591570.76670719136</c:v>
                </c:pt>
                <c:pt idx="30">
                  <c:v>1455555.3367461364</c:v>
                </c:pt>
                <c:pt idx="31">
                  <c:v>918014.33252546599</c:v>
                </c:pt>
              </c:numCache>
            </c:numRef>
          </c:val>
          <c:smooth val="0"/>
          <c:extLst>
            <c:ext xmlns:c16="http://schemas.microsoft.com/office/drawing/2014/chart" uri="{C3380CC4-5D6E-409C-BE32-E72D297353CC}">
              <c16:uniqueId val="{00000002-4899-4466-949A-76E38BEC71A5}"/>
            </c:ext>
          </c:extLst>
        </c:ser>
        <c:ser>
          <c:idx val="5"/>
          <c:order val="1"/>
          <c:tx>
            <c:strRef>
              <c:f>'Gray Triggerfish'!$H$3</c:f>
              <c:strCache>
                <c:ptCount val="1"/>
                <c:pt idx="0">
                  <c:v>Orig FES Rec</c:v>
                </c:pt>
              </c:strCache>
            </c:strRef>
          </c:tx>
          <c:cat>
            <c:numRef>
              <c:f>'Gray Triggerfish'!$C$4:$C$35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'Gray Triggerfish'!$H$4:$H$35</c:f>
              <c:numCache>
                <c:formatCode>#,##0</c:formatCode>
                <c:ptCount val="32"/>
                <c:pt idx="0">
                  <c:v>198800.90696327997</c:v>
                </c:pt>
                <c:pt idx="1">
                  <c:v>176472.16172066695</c:v>
                </c:pt>
                <c:pt idx="2">
                  <c:v>330562.43433493411</c:v>
                </c:pt>
                <c:pt idx="3">
                  <c:v>421204.84528434894</c:v>
                </c:pt>
                <c:pt idx="4">
                  <c:v>372685.99053210497</c:v>
                </c:pt>
                <c:pt idx="5">
                  <c:v>1002439.0293875502</c:v>
                </c:pt>
                <c:pt idx="6">
                  <c:v>822821.44319378026</c:v>
                </c:pt>
                <c:pt idx="7">
                  <c:v>605009.00959829986</c:v>
                </c:pt>
                <c:pt idx="8">
                  <c:v>378185.59599782003</c:v>
                </c:pt>
                <c:pt idx="9">
                  <c:v>293275.01606610697</c:v>
                </c:pt>
                <c:pt idx="10">
                  <c:v>403610.26388088008</c:v>
                </c:pt>
                <c:pt idx="11">
                  <c:v>369992.26960576006</c:v>
                </c:pt>
                <c:pt idx="12">
                  <c:v>337749.336158399</c:v>
                </c:pt>
                <c:pt idx="13">
                  <c:v>312267.30148508021</c:v>
                </c:pt>
                <c:pt idx="14">
                  <c:v>215988.608974075</c:v>
                </c:pt>
                <c:pt idx="15">
                  <c:v>298786.22876722884</c:v>
                </c:pt>
                <c:pt idx="16">
                  <c:v>471202.85799955396</c:v>
                </c:pt>
                <c:pt idx="17">
                  <c:v>532710.66305764101</c:v>
                </c:pt>
                <c:pt idx="18">
                  <c:v>552772.11011086695</c:v>
                </c:pt>
                <c:pt idx="19">
                  <c:v>396775.9882821074</c:v>
                </c:pt>
                <c:pt idx="20">
                  <c:v>509130.16056882084</c:v>
                </c:pt>
                <c:pt idx="21">
                  <c:v>807142.91730393877</c:v>
                </c:pt>
                <c:pt idx="22">
                  <c:v>840818.41984928434</c:v>
                </c:pt>
                <c:pt idx="23">
                  <c:v>1021214.9796758845</c:v>
                </c:pt>
                <c:pt idx="24">
                  <c:v>852061.00808872539</c:v>
                </c:pt>
                <c:pt idx="25">
                  <c:v>658376.51713513082</c:v>
                </c:pt>
                <c:pt idx="26">
                  <c:v>472237.37987435813</c:v>
                </c:pt>
                <c:pt idx="27">
                  <c:v>627920.23814997252</c:v>
                </c:pt>
                <c:pt idx="28">
                  <c:v>993060.60401296883</c:v>
                </c:pt>
                <c:pt idx="29">
                  <c:v>571155.6453042716</c:v>
                </c:pt>
                <c:pt idx="30">
                  <c:v>1469596.7531590499</c:v>
                </c:pt>
                <c:pt idx="31">
                  <c:v>923442.42826093582</c:v>
                </c:pt>
              </c:numCache>
            </c:numRef>
          </c:val>
          <c:smooth val="0"/>
          <c:extLst>
            <c:ext xmlns:c16="http://schemas.microsoft.com/office/drawing/2014/chart" uri="{C3380CC4-5D6E-409C-BE32-E72D297353CC}">
              <c16:uniqueId val="{00000004-4899-4466-949A-76E38BEC71A5}"/>
            </c:ext>
          </c:extLst>
        </c:ser>
        <c:ser>
          <c:idx val="0"/>
          <c:order val="2"/>
          <c:tx>
            <c:strRef>
              <c:f>'Gray Triggerfish'!$AY$1</c:f>
              <c:strCache>
                <c:ptCount val="1"/>
                <c:pt idx="0">
                  <c:v>MRIP+HB</c:v>
                </c:pt>
              </c:strCache>
              <c:extLst xmlns:c15="http://schemas.microsoft.com/office/drawing/2012/chart"/>
            </c:strRef>
          </c:tx>
          <c:spPr>
            <a:ln>
              <a:solidFill>
                <a:schemeClr val="bg1">
                  <a:lumMod val="50000"/>
                </a:schemeClr>
              </a:solidFill>
            </a:ln>
          </c:spPr>
          <c:marker>
            <c:symbol val="star"/>
            <c:size val="7"/>
            <c:spPr>
              <a:ln>
                <a:solidFill>
                  <a:schemeClr val="bg1">
                    <a:lumMod val="50000"/>
                  </a:schemeClr>
                </a:solidFill>
              </a:ln>
            </c:spPr>
          </c:marker>
          <c:cat>
            <c:numRef>
              <c:f>'Gray Triggerfish'!$AS$2:$AS$33</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cat>
          <c:val>
            <c:numRef>
              <c:f>'Gray Triggerfish'!$AY$2:$AY$33</c:f>
              <c:numCache>
                <c:formatCode>#,##0</c:formatCode>
                <c:ptCount val="32"/>
                <c:pt idx="0">
                  <c:v>193255.99476271064</c:v>
                </c:pt>
                <c:pt idx="1">
                  <c:v>153267.70825649746</c:v>
                </c:pt>
                <c:pt idx="3">
                  <c:v>408893.15291189845</c:v>
                </c:pt>
                <c:pt idx="4">
                  <c:v>360925.17161521927</c:v>
                </c:pt>
                <c:pt idx="5">
                  <c:v>921276.76982903027</c:v>
                </c:pt>
                <c:pt idx="7">
                  <c:v>591210.78591085202</c:v>
                </c:pt>
                <c:pt idx="8">
                  <c:v>391320.53810055112</c:v>
                </c:pt>
                <c:pt idx="9">
                  <c:v>292921.48071532929</c:v>
                </c:pt>
                <c:pt idx="10">
                  <c:v>396080.44818443095</c:v>
                </c:pt>
                <c:pt idx="11">
                  <c:v>362290.43160624162</c:v>
                </c:pt>
                <c:pt idx="12">
                  <c:v>404763.20200388215</c:v>
                </c:pt>
                <c:pt idx="13">
                  <c:v>328658.94743552757</c:v>
                </c:pt>
                <c:pt idx="14">
                  <c:v>209637.61008336881</c:v>
                </c:pt>
                <c:pt idx="15">
                  <c:v>270801.55049227877</c:v>
                </c:pt>
                <c:pt idx="16">
                  <c:v>427060.95239201735</c:v>
                </c:pt>
                <c:pt idx="17">
                  <c:v>508708.52543336002</c:v>
                </c:pt>
                <c:pt idx="18">
                  <c:v>562000.43290692288</c:v>
                </c:pt>
                <c:pt idx="19">
                  <c:v>384530.64157140959</c:v>
                </c:pt>
                <c:pt idx="20">
                  <c:v>512999.56316854875</c:v>
                </c:pt>
                <c:pt idx="21">
                  <c:v>795935.37469587103</c:v>
                </c:pt>
                <c:pt idx="22">
                  <c:v>837871.97564479802</c:v>
                </c:pt>
                <c:pt idx="23">
                  <c:v>1138923.1748982938</c:v>
                </c:pt>
                <c:pt idx="24">
                  <c:v>910119.19148820837</c:v>
                </c:pt>
                <c:pt idx="25">
                  <c:v>660634.83784644993</c:v>
                </c:pt>
                <c:pt idx="26">
                  <c:v>481590.28256798844</c:v>
                </c:pt>
                <c:pt idx="27">
                  <c:v>665505.65258358687</c:v>
                </c:pt>
                <c:pt idx="28">
                  <c:v>973173.36834979325</c:v>
                </c:pt>
                <c:pt idx="29">
                  <c:v>577628.95036399784</c:v>
                </c:pt>
                <c:pt idx="30">
                  <c:v>1508369.1756530784</c:v>
                </c:pt>
                <c:pt idx="31">
                  <c:v>921486.24341381318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97D3-4D70-A642-2690E5B1AEAE}"/>
            </c:ext>
          </c:extLst>
        </c:ser>
        <c:dLbls>
          <c:showLegendKey val="0"/>
          <c:showVal val="0"/>
          <c:showCatName val="0"/>
          <c:showSerName val="0"/>
          <c:showPercent val="0"/>
          <c:showBubbleSize val="0"/>
        </c:dLbls>
        <c:marker val="1"/>
        <c:smooth val="0"/>
        <c:axId val="339444864"/>
        <c:axId val="339445440"/>
        <c:extLst/>
      </c:lineChart>
      <c:catAx>
        <c:axId val="339444864"/>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339445440"/>
        <c:crosses val="autoZero"/>
        <c:auto val="1"/>
        <c:lblAlgn val="ctr"/>
        <c:lblOffset val="100"/>
        <c:noMultiLvlLbl val="1"/>
      </c:catAx>
      <c:valAx>
        <c:axId val="339445440"/>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4448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0"/>
          <c:order val="0"/>
          <c:tx>
            <c:strRef>
              <c:f>'Porgy Complex'!$F$3</c:f>
              <c:strCache>
                <c:ptCount val="1"/>
                <c:pt idx="0">
                  <c:v>Total Old</c:v>
                </c:pt>
              </c:strCache>
            </c:strRef>
          </c:tx>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Complex'!$F$4:$F$35</c:f>
              <c:numCache>
                <c:formatCode>#,##0</c:formatCode>
                <c:ptCount val="32"/>
                <c:pt idx="0">
                  <c:v>26395.292353099991</c:v>
                </c:pt>
                <c:pt idx="1">
                  <c:v>44277.676998140007</c:v>
                </c:pt>
                <c:pt idx="2">
                  <c:v>40597.249314315006</c:v>
                </c:pt>
                <c:pt idx="3">
                  <c:v>41989.341330410003</c:v>
                </c:pt>
                <c:pt idx="4">
                  <c:v>25927.670221086995</c:v>
                </c:pt>
                <c:pt idx="5">
                  <c:v>72873.46220749701</c:v>
                </c:pt>
                <c:pt idx="6">
                  <c:v>64879.784360110003</c:v>
                </c:pt>
                <c:pt idx="7">
                  <c:v>38631.903101094991</c:v>
                </c:pt>
                <c:pt idx="8">
                  <c:v>32633.021798909995</c:v>
                </c:pt>
                <c:pt idx="9">
                  <c:v>38241.796931020006</c:v>
                </c:pt>
                <c:pt idx="10">
                  <c:v>40023.328815390007</c:v>
                </c:pt>
                <c:pt idx="11">
                  <c:v>100631.39915660003</c:v>
                </c:pt>
                <c:pt idx="12">
                  <c:v>20957.428854713999</c:v>
                </c:pt>
                <c:pt idx="13">
                  <c:v>17753.001834956998</c:v>
                </c:pt>
                <c:pt idx="14">
                  <c:v>62422.495876548004</c:v>
                </c:pt>
                <c:pt idx="15">
                  <c:v>50770.739054819082</c:v>
                </c:pt>
                <c:pt idx="16">
                  <c:v>65100.126187476009</c:v>
                </c:pt>
                <c:pt idx="17">
                  <c:v>37260.054427973992</c:v>
                </c:pt>
                <c:pt idx="18">
                  <c:v>17570.610075537003</c:v>
                </c:pt>
                <c:pt idx="19">
                  <c:v>42615.617095886999</c:v>
                </c:pt>
                <c:pt idx="20">
                  <c:v>17320.378538904297</c:v>
                </c:pt>
                <c:pt idx="21">
                  <c:v>39267.744894709991</c:v>
                </c:pt>
                <c:pt idx="22">
                  <c:v>52865.962689392014</c:v>
                </c:pt>
                <c:pt idx="23">
                  <c:v>13488.923454627</c:v>
                </c:pt>
                <c:pt idx="24">
                  <c:v>58622.8844816973</c:v>
                </c:pt>
                <c:pt idx="25">
                  <c:v>50207.718176651993</c:v>
                </c:pt>
                <c:pt idx="26">
                  <c:v>51608.314539015308</c:v>
                </c:pt>
                <c:pt idx="27">
                  <c:v>43980.337950239002</c:v>
                </c:pt>
                <c:pt idx="28">
                  <c:v>141844.19382347897</c:v>
                </c:pt>
                <c:pt idx="29">
                  <c:v>55585.714840288005</c:v>
                </c:pt>
                <c:pt idx="30">
                  <c:v>55797.068094964015</c:v>
                </c:pt>
                <c:pt idx="31">
                  <c:v>50400.815979586994</c:v>
                </c:pt>
              </c:numCache>
            </c:numRef>
          </c:yVal>
          <c:smooth val="0"/>
          <c:extLst>
            <c:ext xmlns:c16="http://schemas.microsoft.com/office/drawing/2014/chart" uri="{C3380CC4-5D6E-409C-BE32-E72D297353CC}">
              <c16:uniqueId val="{00000000-DF6D-44C7-8B1C-D377E7FFC6F2}"/>
            </c:ext>
          </c:extLst>
        </c:ser>
        <c:ser>
          <c:idx val="2"/>
          <c:order val="1"/>
          <c:tx>
            <c:strRef>
              <c:f>'Porgy Complex'!$O$3</c:f>
              <c:strCache>
                <c:ptCount val="1"/>
                <c:pt idx="0">
                  <c:v>Total Orig FES</c:v>
                </c:pt>
              </c:strCache>
            </c:strRef>
          </c:tx>
          <c:spPr>
            <a:ln>
              <a:solidFill>
                <a:schemeClr val="accent2"/>
              </a:solidFill>
            </a:ln>
          </c:spPr>
          <c:marker>
            <c:symbol val="x"/>
            <c:size val="7"/>
            <c:spPr>
              <a:noFill/>
              <a:ln w="12700">
                <a:solidFill>
                  <a:schemeClr val="accent2"/>
                </a:solidFill>
              </a:ln>
            </c:spPr>
          </c:marker>
          <c:xVal>
            <c:numRef>
              <c:f>'Porgy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Complex'!$O$4:$O$35</c:f>
              <c:numCache>
                <c:formatCode>#,##0</c:formatCode>
                <c:ptCount val="32"/>
                <c:pt idx="0">
                  <c:v>26413.3026918</c:v>
                </c:pt>
                <c:pt idx="1">
                  <c:v>41839.770072209998</c:v>
                </c:pt>
                <c:pt idx="2">
                  <c:v>40617.576119963996</c:v>
                </c:pt>
                <c:pt idx="3">
                  <c:v>48892.884334030015</c:v>
                </c:pt>
                <c:pt idx="4">
                  <c:v>36463.586835690017</c:v>
                </c:pt>
                <c:pt idx="5">
                  <c:v>77713.986086136982</c:v>
                </c:pt>
                <c:pt idx="6">
                  <c:v>64879.784360109988</c:v>
                </c:pt>
                <c:pt idx="7">
                  <c:v>40378.460486153985</c:v>
                </c:pt>
                <c:pt idx="8">
                  <c:v>33251.561826719997</c:v>
                </c:pt>
                <c:pt idx="9">
                  <c:v>38658.46191237001</c:v>
                </c:pt>
                <c:pt idx="10">
                  <c:v>40099.627645379987</c:v>
                </c:pt>
                <c:pt idx="11">
                  <c:v>100781.11607759999</c:v>
                </c:pt>
                <c:pt idx="12">
                  <c:v>21366.490322449004</c:v>
                </c:pt>
                <c:pt idx="13">
                  <c:v>17509.668714033007</c:v>
                </c:pt>
                <c:pt idx="14">
                  <c:v>67263.673567558013</c:v>
                </c:pt>
                <c:pt idx="15">
                  <c:v>50359.464171726082</c:v>
                </c:pt>
                <c:pt idx="16">
                  <c:v>55133.972790232998</c:v>
                </c:pt>
                <c:pt idx="17">
                  <c:v>37155.075439093998</c:v>
                </c:pt>
                <c:pt idx="18">
                  <c:v>16705.245390252003</c:v>
                </c:pt>
                <c:pt idx="19">
                  <c:v>41386.741246906</c:v>
                </c:pt>
                <c:pt idx="20">
                  <c:v>17589.446281611494</c:v>
                </c:pt>
                <c:pt idx="21">
                  <c:v>37547.279768691995</c:v>
                </c:pt>
                <c:pt idx="22">
                  <c:v>52865.962689391999</c:v>
                </c:pt>
                <c:pt idx="23">
                  <c:v>15214.709659033997</c:v>
                </c:pt>
                <c:pt idx="24">
                  <c:v>58796.470306287265</c:v>
                </c:pt>
                <c:pt idx="25">
                  <c:v>51228.768333282009</c:v>
                </c:pt>
                <c:pt idx="26">
                  <c:v>50464.805824834293</c:v>
                </c:pt>
                <c:pt idx="27">
                  <c:v>44426.300823270001</c:v>
                </c:pt>
                <c:pt idx="28">
                  <c:v>141844.19382347894</c:v>
                </c:pt>
                <c:pt idx="29">
                  <c:v>54967.351508129992</c:v>
                </c:pt>
                <c:pt idx="30">
                  <c:v>54092.553692534028</c:v>
                </c:pt>
                <c:pt idx="31">
                  <c:v>52362.497179248021</c:v>
                </c:pt>
              </c:numCache>
            </c:numRef>
          </c:yVal>
          <c:smooth val="0"/>
          <c:extLst>
            <c:ext xmlns:c16="http://schemas.microsoft.com/office/drawing/2014/chart" uri="{C3380CC4-5D6E-409C-BE32-E72D297353CC}">
              <c16:uniqueId val="{00000001-DF6D-44C7-8B1C-D377E7FFC6F2}"/>
            </c:ext>
          </c:extLst>
        </c:ser>
        <c:ser>
          <c:idx val="1"/>
          <c:order val="5"/>
          <c:tx>
            <c:strRef>
              <c:f>'Porgy Complex'!$F$42</c:f>
              <c:strCache>
                <c:ptCount val="1"/>
                <c:pt idx="0">
                  <c:v>New Wgt ABC/ACL</c:v>
                </c:pt>
              </c:strCache>
            </c:strRef>
          </c:tx>
          <c:spPr>
            <a:ln w="38100">
              <a:solidFill>
                <a:schemeClr val="tx1"/>
              </a:solidFill>
            </a:ln>
          </c:spPr>
          <c:marker>
            <c:symbol val="none"/>
          </c:marker>
          <c:xVal>
            <c:numRef>
              <c:f>'Porgy Complex'!$A$43:$A$48</c:f>
              <c:numCache>
                <c:formatCode>General</c:formatCode>
                <c:ptCount val="6"/>
                <c:pt idx="0">
                  <c:v>2012</c:v>
                </c:pt>
                <c:pt idx="1">
                  <c:v>2013</c:v>
                </c:pt>
                <c:pt idx="2">
                  <c:v>2014</c:v>
                </c:pt>
                <c:pt idx="3">
                  <c:v>2015</c:v>
                </c:pt>
                <c:pt idx="4">
                  <c:v>2016</c:v>
                </c:pt>
                <c:pt idx="5">
                  <c:v>2017</c:v>
                </c:pt>
              </c:numCache>
            </c:numRef>
          </c:xVal>
          <c:yVal>
            <c:numRef>
              <c:f>'Porgy Complex'!$F$43:$F$48</c:f>
              <c:numCache>
                <c:formatCode>#,##0</c:formatCode>
                <c:ptCount val="6"/>
                <c:pt idx="0">
                  <c:v>50770.739054819082</c:v>
                </c:pt>
                <c:pt idx="1">
                  <c:v>50770.739054819082</c:v>
                </c:pt>
                <c:pt idx="2">
                  <c:v>50770.739054819082</c:v>
                </c:pt>
                <c:pt idx="3">
                  <c:v>50770.739054819082</c:v>
                </c:pt>
                <c:pt idx="4">
                  <c:v>50770.739054819082</c:v>
                </c:pt>
                <c:pt idx="5">
                  <c:v>50770.739054819082</c:v>
                </c:pt>
              </c:numCache>
            </c:numRef>
          </c:yVal>
          <c:smooth val="0"/>
          <c:extLst>
            <c:ext xmlns:c16="http://schemas.microsoft.com/office/drawing/2014/chart" uri="{C3380CC4-5D6E-409C-BE32-E72D297353CC}">
              <c16:uniqueId val="{00000005-DF6D-44C7-8B1C-D377E7FFC6F2}"/>
            </c:ext>
          </c:extLst>
        </c:ser>
        <c:ser>
          <c:idx val="3"/>
          <c:order val="6"/>
          <c:tx>
            <c:strRef>
              <c:f>'Porgy Complex'!$O$42</c:f>
              <c:strCache>
                <c:ptCount val="1"/>
                <c:pt idx="0">
                  <c:v>Orig FES ABC/ACL</c:v>
                </c:pt>
              </c:strCache>
            </c:strRef>
          </c:tx>
          <c:spPr>
            <a:ln w="38100">
              <a:solidFill>
                <a:srgbClr val="7030A0"/>
              </a:solidFill>
            </a:ln>
          </c:spPr>
          <c:marker>
            <c:symbol val="none"/>
          </c:marker>
          <c:xVal>
            <c:numRef>
              <c:f>'Porgy Complex'!$J$43:$J$48</c:f>
              <c:numCache>
                <c:formatCode>General</c:formatCode>
                <c:ptCount val="6"/>
                <c:pt idx="0">
                  <c:v>2012</c:v>
                </c:pt>
                <c:pt idx="1">
                  <c:v>2013</c:v>
                </c:pt>
                <c:pt idx="2">
                  <c:v>2014</c:v>
                </c:pt>
                <c:pt idx="3">
                  <c:v>2015</c:v>
                </c:pt>
                <c:pt idx="4">
                  <c:v>2016</c:v>
                </c:pt>
                <c:pt idx="5">
                  <c:v>2017</c:v>
                </c:pt>
              </c:numCache>
            </c:numRef>
          </c:xVal>
          <c:yVal>
            <c:numRef>
              <c:f>'Porgy Complex'!$O$43:$O$48</c:f>
              <c:numCache>
                <c:formatCode>#,##0</c:formatCode>
                <c:ptCount val="6"/>
                <c:pt idx="0">
                  <c:v>50359.464171726082</c:v>
                </c:pt>
                <c:pt idx="1">
                  <c:v>50359.464171726082</c:v>
                </c:pt>
                <c:pt idx="2">
                  <c:v>50359.464171726082</c:v>
                </c:pt>
                <c:pt idx="3">
                  <c:v>50359.464171726082</c:v>
                </c:pt>
                <c:pt idx="4">
                  <c:v>50359.464171726082</c:v>
                </c:pt>
                <c:pt idx="5">
                  <c:v>50359.464171726082</c:v>
                </c:pt>
              </c:numCache>
            </c:numRef>
          </c:yVal>
          <c:smooth val="0"/>
          <c:extLst>
            <c:ext xmlns:c16="http://schemas.microsoft.com/office/drawing/2014/chart" uri="{C3380CC4-5D6E-409C-BE32-E72D297353CC}">
              <c16:uniqueId val="{00000006-DF6D-44C7-8B1C-D377E7FFC6F2}"/>
            </c:ext>
          </c:extLst>
        </c:ser>
        <c:dLbls>
          <c:showLegendKey val="0"/>
          <c:showVal val="0"/>
          <c:showCatName val="0"/>
          <c:showSerName val="0"/>
          <c:showPercent val="0"/>
          <c:showBubbleSize val="0"/>
        </c:dLbls>
        <c:axId val="345230144"/>
        <c:axId val="345230720"/>
        <c:extLst>
          <c:ext xmlns:c15="http://schemas.microsoft.com/office/drawing/2012/chart" uri="{02D57815-91ED-43cb-92C2-25804820EDAC}">
            <c15:filteredScatterSeries>
              <c15:ser>
                <c:idx val="4"/>
                <c:order val="2"/>
                <c:tx>
                  <c:strRef>
                    <c:extLst>
                      <c:ext uri="{02D57815-91ED-43cb-92C2-25804820EDAC}">
                        <c15:formulaRef>
                          <c15:sqref>'Porgy Complex'!$AG$3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'Porgy Complex'!$AB$4:$AB$35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'Porgy Complex'!$AG$4:$AG$35</c15:sqref>
                        </c15:formulaRef>
                      </c:ext>
                    </c:extLst>
                    <c:numCache>
                      <c:formatCode>#,##0</c:formatCode>
                      <c:ptCount val="32"/>
                      <c:pt idx="0">
                        <c:v>26306.292353099991</c:v>
                      </c:pt>
                      <c:pt idx="1">
                        <c:v>44062.676998140007</c:v>
                      </c:pt>
                      <c:pt idx="2">
                        <c:v>31419.249314315002</c:v>
                      </c:pt>
                      <c:pt idx="3">
                        <c:v>41712.341330410003</c:v>
                      </c:pt>
                      <c:pt idx="4">
                        <c:v>25061.670221086995</c:v>
                      </c:pt>
                      <c:pt idx="5">
                        <c:v>72008.46220749701</c:v>
                      </c:pt>
                      <c:pt idx="6">
                        <c:v>64843.784360110003</c:v>
                      </c:pt>
                      <c:pt idx="7">
                        <c:v>38483.903101094991</c:v>
                      </c:pt>
                      <c:pt idx="8">
                        <c:v>32600.021798909995</c:v>
                      </c:pt>
                      <c:pt idx="9">
                        <c:v>38201.796931020006</c:v>
                      </c:pt>
                      <c:pt idx="10">
                        <c:v>39976.328815390007</c:v>
                      </c:pt>
                      <c:pt idx="11">
                        <c:v>100212.39915660003</c:v>
                      </c:pt>
                      <c:pt idx="12">
                        <c:v>20767.428854713999</c:v>
                      </c:pt>
                      <c:pt idx="13">
                        <c:v>17753.001834956998</c:v>
                      </c:pt>
                      <c:pt idx="14">
                        <c:v>62422.495876548004</c:v>
                      </c:pt>
                      <c:pt idx="15">
                        <c:v>50770.739054819082</c:v>
                      </c:pt>
                      <c:pt idx="16">
                        <c:v>65099.126187476009</c:v>
                      </c:pt>
                      <c:pt idx="17">
                        <c:v>37260.054427973992</c:v>
                      </c:pt>
                      <c:pt idx="18">
                        <c:v>17541.610075537003</c:v>
                      </c:pt>
                      <c:pt idx="19">
                        <c:v>42615.617095886999</c:v>
                      </c:pt>
                      <c:pt idx="20">
                        <c:v>17320.378538904297</c:v>
                      </c:pt>
                      <c:pt idx="21">
                        <c:v>39267.744894709991</c:v>
                      </c:pt>
                      <c:pt idx="22">
                        <c:v>52860.962689392014</c:v>
                      </c:pt>
                      <c:pt idx="23">
                        <c:v>13458.923454627</c:v>
                      </c:pt>
                      <c:pt idx="24">
                        <c:v>58622.8844816973</c:v>
                      </c:pt>
                      <c:pt idx="25">
                        <c:v>50191.718176651993</c:v>
                      </c:pt>
                      <c:pt idx="26">
                        <c:v>51605.314539015308</c:v>
                      </c:pt>
                      <c:pt idx="27">
                        <c:v>43963.337950239002</c:v>
                      </c:pt>
                      <c:pt idx="28">
                        <c:v>141736.19382347897</c:v>
                      </c:pt>
                      <c:pt idx="29">
                        <c:v>55565.714840288005</c:v>
                      </c:pt>
                      <c:pt idx="30">
                        <c:v>55677.068094964015</c:v>
                      </c:pt>
                      <c:pt idx="31">
                        <c:v>45456.815979586994</c:v>
                      </c:pt>
                    </c:numCache>
                  </c:numRef>
                </c:yVal>
                <c:smooth val="0"/>
                <c:extLst>
                  <c:ext xmlns:c16="http://schemas.microsoft.com/office/drawing/2014/chart" uri="{C3380CC4-5D6E-409C-BE32-E72D297353CC}">
                    <c16:uniqueId val="{00000002-DF6D-44C7-8B1C-D377E7FFC6F2}"/>
                  </c:ext>
                </c:extLst>
              </c15:ser>
            </c15:filteredScatterSeries>
            <c15:filteredScatterSeries>
              <c15:ser>
                <c:idx val="5"/>
                <c:order val="3"/>
                <c:tx>
                  <c:strRef>
                    <c:extLst xmlns:c15="http://schemas.microsoft.com/office/drawing/2012/chart">
                      <c:ext xmlns:c15="http://schemas.microsoft.com/office/drawing/2012/chart" uri="{02D57815-91ED-43cb-92C2-25804820EDAC}">
                        <c15:formulaRef>
                          <c15:sqref>'Porgy Complex'!$AO$3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'Porgy Complex'!$AJ$4:$AJ$35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'Porgy Complex'!$AO$4:$AO$35</c15:sqref>
                        </c15:formulaRef>
                      </c:ext>
                    </c:extLst>
                    <c:numCache>
                      <c:formatCode>#,##0</c:formatCode>
                      <c:ptCount val="32"/>
                      <c:pt idx="0">
                        <c:v>26324.3026918</c:v>
                      </c:pt>
                      <c:pt idx="1">
                        <c:v>41624.770072209998</c:v>
                      </c:pt>
                      <c:pt idx="2">
                        <c:v>31439.576119963993</c:v>
                      </c:pt>
                      <c:pt idx="3">
                        <c:v>48615.884334030015</c:v>
                      </c:pt>
                      <c:pt idx="4">
                        <c:v>35597.586835690017</c:v>
                      </c:pt>
                      <c:pt idx="5">
                        <c:v>76848.986086136982</c:v>
                      </c:pt>
                      <c:pt idx="6">
                        <c:v>64843.784360109988</c:v>
                      </c:pt>
                      <c:pt idx="7">
                        <c:v>40230.460486153985</c:v>
                      </c:pt>
                      <c:pt idx="8">
                        <c:v>33218.561826719997</c:v>
                      </c:pt>
                      <c:pt idx="9">
                        <c:v>38618.46191237001</c:v>
                      </c:pt>
                      <c:pt idx="10">
                        <c:v>40052.627645379987</c:v>
                      </c:pt>
                      <c:pt idx="11">
                        <c:v>100362.11607759999</c:v>
                      </c:pt>
                      <c:pt idx="12">
                        <c:v>21176.490322449004</c:v>
                      </c:pt>
                      <c:pt idx="13">
                        <c:v>17509.668714033007</c:v>
                      </c:pt>
                      <c:pt idx="14">
                        <c:v>67263.673567558013</c:v>
                      </c:pt>
                      <c:pt idx="15">
                        <c:v>50359.464171726082</c:v>
                      </c:pt>
                      <c:pt idx="16">
                        <c:v>55132.972790232998</c:v>
                      </c:pt>
                      <c:pt idx="17">
                        <c:v>37155.075439093998</c:v>
                      </c:pt>
                      <c:pt idx="18">
                        <c:v>16676.245390252003</c:v>
                      </c:pt>
                      <c:pt idx="19">
                        <c:v>41386.741246906</c:v>
                      </c:pt>
                      <c:pt idx="20">
                        <c:v>17589.446281611494</c:v>
                      </c:pt>
                      <c:pt idx="21">
                        <c:v>37547.279768691995</c:v>
                      </c:pt>
                      <c:pt idx="22">
                        <c:v>52860.962689391999</c:v>
                      </c:pt>
                      <c:pt idx="23">
                        <c:v>15184.709659033997</c:v>
                      </c:pt>
                      <c:pt idx="24">
                        <c:v>58796.470306287265</c:v>
                      </c:pt>
                      <c:pt idx="25">
                        <c:v>51212.768333282009</c:v>
                      </c:pt>
                      <c:pt idx="26">
                        <c:v>50461.805824834293</c:v>
                      </c:pt>
                      <c:pt idx="27">
                        <c:v>44409.300823270001</c:v>
                      </c:pt>
                      <c:pt idx="28">
                        <c:v>141736.19382347894</c:v>
                      </c:pt>
                      <c:pt idx="29">
                        <c:v>54947.351508129992</c:v>
                      </c:pt>
                      <c:pt idx="30">
                        <c:v>53972.553692534028</c:v>
                      </c:pt>
                      <c:pt idx="31">
                        <c:v>47418.497179248021</c:v>
                      </c:pt>
                    </c:numCache>
                  </c:numRef>
                </c:yVal>
                <c:smooth val="0"/>
                <c:extLst xmlns:c15="http://schemas.microsoft.com/office/drawing/2012/chart">
                  <c:ext xmlns:c16="http://schemas.microsoft.com/office/drawing/2014/chart" uri="{C3380CC4-5D6E-409C-BE32-E72D297353CC}">
                    <c16:uniqueId val="{00000003-DF6D-44C7-8B1C-D377E7FFC6F2}"/>
                  </c:ext>
                </c:extLst>
              </c15:ser>
            </c15:filteredScatterSeries>
            <c15:filteredScatterSeries>
              <c15:ser>
                <c:idx val="6"/>
                <c:order val="4"/>
                <c:tx>
                  <c:strRef>
                    <c:extLst xmlns:c15="http://schemas.microsoft.com/office/drawing/2012/chart">
                      <c:ext xmlns:c15="http://schemas.microsoft.com/office/drawing/2012/chart" uri="{02D57815-91ED-43cb-92C2-25804820EDAC}">
                        <c15:formulaRef>
                          <c15:sqref>'Porgy Complex'!$AD$142</c15:sqref>
                        </c15:formulaRef>
                      </c:ext>
                    </c:extLst>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('Porgy Complex'!$X$143:$X$144,'Porgy Complex'!$X$146:$X$174)</c15:sqref>
                        </c15:formulaRef>
                      </c:ext>
                    </c:extLst>
                    <c:numCache>
                      <c:formatCode>General</c:formatCode>
                      <c:ptCount val="31"/>
                      <c:pt idx="0">
                        <c:v>1986</c:v>
                      </c:pt>
                      <c:pt idx="1">
                        <c:v>1987</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numCache>
                  </c:numRef>
                </c:xVal>
                <c:yVal>
                  <c:numRef>
                    <c:extLst xmlns:c15="http://schemas.microsoft.com/office/drawing/2012/chart">
                      <c:ext xmlns:c15="http://schemas.microsoft.com/office/drawing/2012/chart" uri="{02D57815-91ED-43cb-92C2-25804820EDAC}">
                        <c15:formulaRef>
                          <c15:sqref>('Porgy Complex'!$AD$143:$AD$144,'Porgy Complex'!$AD$146:$AD$174)</c15:sqref>
                        </c15:formulaRef>
                      </c:ext>
                    </c:extLst>
                    <c:numCache>
                      <c:formatCode>#,##0</c:formatCode>
                      <c:ptCount val="31"/>
                      <c:pt idx="0">
                        <c:v>25532.138454181579</c:v>
                      </c:pt>
                      <c:pt idx="1">
                        <c:v>43944.28815640814</c:v>
                      </c:pt>
                      <c:pt idx="2">
                        <c:v>40760.8518236089</c:v>
                      </c:pt>
                      <c:pt idx="3">
                        <c:v>27732.004649455739</c:v>
                      </c:pt>
                      <c:pt idx="4">
                        <c:v>74211.038975698437</c:v>
                      </c:pt>
                      <c:pt idx="5">
                        <c:v>40765.120023562951</c:v>
                      </c:pt>
                      <c:pt idx="6">
                        <c:v>36776.713152627737</c:v>
                      </c:pt>
                      <c:pt idx="7">
                        <c:v>37402.061909876895</c:v>
                      </c:pt>
                      <c:pt idx="8">
                        <c:v>41061.567836503411</c:v>
                      </c:pt>
                      <c:pt idx="9">
                        <c:v>32958.577033732341</c:v>
                      </c:pt>
                      <c:pt idx="10">
                        <c:v>95526.038690676083</c:v>
                      </c:pt>
                      <c:pt idx="11">
                        <c:v>21258.004373290019</c:v>
                      </c:pt>
                      <c:pt idx="12">
                        <c:v>18705.394867649236</c:v>
                      </c:pt>
                      <c:pt idx="13">
                        <c:v>57757.410857320516</c:v>
                      </c:pt>
                      <c:pt idx="14">
                        <c:v>43821.858881675027</c:v>
                      </c:pt>
                      <c:pt idx="15">
                        <c:v>65705.186473020338</c:v>
                      </c:pt>
                      <c:pt idx="16">
                        <c:v>31676.563834805034</c:v>
                      </c:pt>
                      <c:pt idx="17">
                        <c:v>18234.106810982703</c:v>
                      </c:pt>
                      <c:pt idx="18">
                        <c:v>47956.378096784319</c:v>
                      </c:pt>
                      <c:pt idx="19">
                        <c:v>16952.187690239978</c:v>
                      </c:pt>
                      <c:pt idx="20">
                        <c:v>32258.107383279264</c:v>
                      </c:pt>
                      <c:pt idx="21">
                        <c:v>59909.498882701439</c:v>
                      </c:pt>
                      <c:pt idx="22">
                        <c:v>12068.158028983929</c:v>
                      </c:pt>
                      <c:pt idx="23">
                        <c:v>52758.217550952737</c:v>
                      </c:pt>
                      <c:pt idx="24">
                        <c:v>51057.511686603713</c:v>
                      </c:pt>
                      <c:pt idx="25">
                        <c:v>51152.110543241201</c:v>
                      </c:pt>
                      <c:pt idx="26">
                        <c:v>40776.65206351821</c:v>
                      </c:pt>
                      <c:pt idx="27">
                        <c:v>143486.02153243244</c:v>
                      </c:pt>
                      <c:pt idx="28">
                        <c:v>57652.893228452747</c:v>
                      </c:pt>
                      <c:pt idx="29">
                        <c:v>53501.631235131274</c:v>
                      </c:pt>
                      <c:pt idx="30">
                        <c:v>46623.569709799398</c:v>
                      </c:pt>
                    </c:numCache>
                  </c:numRef>
                </c:yVal>
                <c:smooth val="0"/>
                <c:extLst xmlns:c15="http://schemas.microsoft.com/office/drawing/2012/chart">
                  <c:ext xmlns:c16="http://schemas.microsoft.com/office/drawing/2014/chart" uri="{C3380CC4-5D6E-409C-BE32-E72D297353CC}">
                    <c16:uniqueId val="{00000004-DF6D-44C7-8B1C-D377E7FFC6F2}"/>
                  </c:ext>
                </c:extLst>
              </c15:ser>
            </c15:filteredScatterSeries>
          </c:ext>
        </c:extLst>
      </c:scatterChart>
      <c:valAx>
        <c:axId val="345230144"/>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5230720"/>
        <c:crosses val="autoZero"/>
        <c:crossBetween val="midCat"/>
      </c:valAx>
      <c:valAx>
        <c:axId val="345230720"/>
        <c:scaling>
          <c:orientation val="minMax"/>
        </c:scaling>
        <c:delete val="0"/>
        <c:axPos val="l"/>
        <c:majorGridlines/>
        <c:title>
          <c:tx>
            <c:rich>
              <a:bodyPr rot="-5400000" vert="horz"/>
              <a:lstStyle/>
              <a:p>
                <a:pPr>
                  <a:defRPr/>
                </a:pPr>
                <a:r>
                  <a:rPr lang="en-US"/>
                  <a:t>Pounds Whole Weight</a:t>
                </a:r>
              </a:p>
            </c:rich>
          </c:tx>
          <c:overlay val="0"/>
        </c:title>
        <c:numFmt formatCode="#,##0" sourceLinked="0"/>
        <c:majorTickMark val="out"/>
        <c:minorTickMark val="none"/>
        <c:tickLblPos val="nextTo"/>
        <c:crossAx val="345230144"/>
        <c:crosses val="autoZero"/>
        <c:crossBetween val="midCat"/>
        <c:majorUnit val="15000"/>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Landings</a:t>
            </a:r>
          </a:p>
        </c:rich>
      </c:tx>
      <c:overlay val="0"/>
    </c:title>
    <c:autoTitleDeleted val="0"/>
    <c:plotArea>
      <c:layout/>
      <c:scatterChart>
        <c:scatterStyle val="lineMarker"/>
        <c:varyColors val="0"/>
        <c:ser>
          <c:idx val="0"/>
          <c:order val="0"/>
          <c:tx>
            <c:strRef>
              <c:f>Dolphin!$D$2</c:f>
              <c:strCache>
                <c:ptCount val="1"/>
                <c:pt idx="0">
                  <c:v>Total New Wgt</c:v>
                </c:pt>
              </c:strCache>
            </c:strRef>
          </c:tx>
          <c:xVal>
            <c:numRef>
              <c:f>Dolphin!$C$3:$C$34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Dolphin!$D$3:$D$34</c:f>
              <c:numCache>
                <c:formatCode>#,##0</c:formatCode>
                <c:ptCount val="32"/>
                <c:pt idx="0">
                  <c:v>9583800.1872255299</c:v>
                </c:pt>
                <c:pt idx="1">
                  <c:v>10424617.254945517</c:v>
                </c:pt>
                <c:pt idx="2">
                  <c:v>9838156.7279313821</c:v>
                </c:pt>
                <c:pt idx="3">
                  <c:v>27670843.389554508</c:v>
                </c:pt>
                <c:pt idx="4">
                  <c:v>24785370.711448293</c:v>
                </c:pt>
                <c:pt idx="5">
                  <c:v>32258116.990328304</c:v>
                </c:pt>
                <c:pt idx="6">
                  <c:v>21818693.893969696</c:v>
                </c:pt>
                <c:pt idx="7">
                  <c:v>16844992.060817704</c:v>
                </c:pt>
                <c:pt idx="8">
                  <c:v>17158153.583120942</c:v>
                </c:pt>
                <c:pt idx="9">
                  <c:v>25461304.550714664</c:v>
                </c:pt>
                <c:pt idx="10">
                  <c:v>17872818.103552543</c:v>
                </c:pt>
                <c:pt idx="11">
                  <c:v>32178800.653313868</c:v>
                </c:pt>
                <c:pt idx="12">
                  <c:v>19527612.956854753</c:v>
                </c:pt>
                <c:pt idx="13">
                  <c:v>22181031.156717591</c:v>
                </c:pt>
                <c:pt idx="14">
                  <c:v>24570763.596621089</c:v>
                </c:pt>
                <c:pt idx="15">
                  <c:v>23329929.621273302</c:v>
                </c:pt>
                <c:pt idx="16">
                  <c:v>20897864.892984938</c:v>
                </c:pt>
                <c:pt idx="17">
                  <c:v>17937762.571703963</c:v>
                </c:pt>
                <c:pt idx="18">
                  <c:v>12829069.39977785</c:v>
                </c:pt>
                <c:pt idx="19">
                  <c:v>13335866.598320998</c:v>
                </c:pt>
                <c:pt idx="20">
                  <c:v>16883014.123100959</c:v>
                </c:pt>
                <c:pt idx="21">
                  <c:v>17139686.916139647</c:v>
                </c:pt>
                <c:pt idx="22">
                  <c:v>14611940.125555949</c:v>
                </c:pt>
                <c:pt idx="23">
                  <c:v>18387513.509259213</c:v>
                </c:pt>
                <c:pt idx="24">
                  <c:v>11853287.110862741</c:v>
                </c:pt>
                <c:pt idx="25">
                  <c:v>15894461.103816804</c:v>
                </c:pt>
                <c:pt idx="26">
                  <c:v>14503396.845392479</c:v>
                </c:pt>
                <c:pt idx="27">
                  <c:v>15557911.156793011</c:v>
                </c:pt>
                <c:pt idx="28">
                  <c:v>17944735.684281804</c:v>
                </c:pt>
                <c:pt idx="29">
                  <c:v>26486085.880898066</c:v>
                </c:pt>
                <c:pt idx="30">
                  <c:v>16934681.561358452</c:v>
                </c:pt>
                <c:pt idx="31">
                  <c:v>13125119.18939049</c:v>
                </c:pt>
              </c:numCache>
            </c:numRef>
          </c:yVal>
          <c:smooth val="0"/>
          <c:extLst>
            <c:ext xmlns:c16="http://schemas.microsoft.com/office/drawing/2014/chart" uri="{C3380CC4-5D6E-409C-BE32-E72D297353CC}">
              <c16:uniqueId val="{00000000-CC30-4930-AA72-4D0CAE4EDF50}"/>
            </c:ext>
          </c:extLst>
        </c:ser>
        <c:ser>
          <c:idx val="6"/>
          <c:order val="1"/>
          <c:tx>
            <c:strRef>
              <c:f>Dolphin!$G$2</c:f>
              <c:strCache>
                <c:ptCount val="1"/>
                <c:pt idx="0">
                  <c:v>Total Orig FES</c:v>
                </c:pt>
              </c:strCache>
            </c:strRef>
          </c:tx>
          <c:spPr>
            <a:ln>
              <a:solidFill>
                <a:schemeClr val="accent2"/>
              </a:solidFill>
            </a:ln>
          </c:spPr>
          <c:marker>
            <c:symbol val="x"/>
            <c:size val="7"/>
            <c:spPr>
              <a:ln>
                <a:solidFill>
                  <a:schemeClr val="accent2"/>
                </a:solidFill>
              </a:ln>
            </c:spPr>
          </c:marker>
          <c:xVal>
            <c:numRef>
              <c:f>Dolphin!$C$3:$C$34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Dolphin!$G$3:$G$34</c:f>
              <c:numCache>
                <c:formatCode>#,##0</c:formatCode>
                <c:ptCount val="32"/>
                <c:pt idx="0">
                  <c:v>9211851.6146915536</c:v>
                </c:pt>
                <c:pt idx="1">
                  <c:v>9809251.4743952546</c:v>
                </c:pt>
                <c:pt idx="2">
                  <c:v>9824545.2669321708</c:v>
                </c:pt>
                <c:pt idx="3">
                  <c:v>27859599.781757865</c:v>
                </c:pt>
                <c:pt idx="4">
                  <c:v>26392447.031705696</c:v>
                </c:pt>
                <c:pt idx="5">
                  <c:v>30739104.511346918</c:v>
                </c:pt>
                <c:pt idx="6">
                  <c:v>20168855.034973178</c:v>
                </c:pt>
                <c:pt idx="7">
                  <c:v>17139218.205604717</c:v>
                </c:pt>
                <c:pt idx="8">
                  <c:v>17156412.268655352</c:v>
                </c:pt>
                <c:pt idx="9">
                  <c:v>25757940.441264648</c:v>
                </c:pt>
                <c:pt idx="10">
                  <c:v>18354469.425579689</c:v>
                </c:pt>
                <c:pt idx="11">
                  <c:v>32153534.755265772</c:v>
                </c:pt>
                <c:pt idx="12">
                  <c:v>19433097.406445939</c:v>
                </c:pt>
                <c:pt idx="13">
                  <c:v>21443914.485486299</c:v>
                </c:pt>
                <c:pt idx="14">
                  <c:v>24704662.431525208</c:v>
                </c:pt>
                <c:pt idx="15">
                  <c:v>23449153.149034478</c:v>
                </c:pt>
                <c:pt idx="16">
                  <c:v>21339512.063031707</c:v>
                </c:pt>
                <c:pt idx="17">
                  <c:v>18221919.693231303</c:v>
                </c:pt>
                <c:pt idx="18">
                  <c:v>12745930.78361872</c:v>
                </c:pt>
                <c:pt idx="19">
                  <c:v>13346411.221766204</c:v>
                </c:pt>
                <c:pt idx="20">
                  <c:v>16864505.217188634</c:v>
                </c:pt>
                <c:pt idx="21">
                  <c:v>17290937.387608744</c:v>
                </c:pt>
                <c:pt idx="22">
                  <c:v>13787663.438661084</c:v>
                </c:pt>
                <c:pt idx="23">
                  <c:v>18463238.083089069</c:v>
                </c:pt>
                <c:pt idx="24">
                  <c:v>11862407.422156174</c:v>
                </c:pt>
                <c:pt idx="25">
                  <c:v>15741290.102028606</c:v>
                </c:pt>
                <c:pt idx="26">
                  <c:v>14552742.946863802</c:v>
                </c:pt>
                <c:pt idx="27">
                  <c:v>15517173.222249065</c:v>
                </c:pt>
                <c:pt idx="28">
                  <c:v>17812591.046518393</c:v>
                </c:pt>
                <c:pt idx="29">
                  <c:v>26386327.094398055</c:v>
                </c:pt>
                <c:pt idx="30">
                  <c:v>17133660.890889779</c:v>
                </c:pt>
                <c:pt idx="31">
                  <c:v>12621327.529829118</c:v>
                </c:pt>
              </c:numCache>
            </c:numRef>
          </c:yVal>
          <c:smooth val="0"/>
          <c:extLst>
            <c:ext xmlns:c16="http://schemas.microsoft.com/office/drawing/2014/chart" uri="{C3380CC4-5D6E-409C-BE32-E72D297353CC}">
              <c16:uniqueId val="{00000001-D1A3-4336-9E34-D5E24B08A9EB}"/>
            </c:ext>
          </c:extLst>
        </c:ser>
        <c:ser>
          <c:idx val="3"/>
          <c:order val="2"/>
          <c:tx>
            <c:strRef>
              <c:f>Dolphin!$I$2</c:f>
              <c:strCache>
                <c:ptCount val="1"/>
                <c:pt idx="0">
                  <c:v>New Wgt ABC</c:v>
                </c:pt>
              </c:strCache>
            </c:strRef>
          </c:tx>
          <c:spPr>
            <a:ln w="38100">
              <a:solidFill>
                <a:schemeClr val="tx1"/>
              </a:solidFill>
            </a:ln>
          </c:spPr>
          <c:marker>
            <c:symbol val="none"/>
          </c:marker>
          <c:xVal>
            <c:numRef>
              <c:f>Dolphin!$C$3:$C$34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Dolphin!$I$3:$I$34</c:f>
              <c:numCache>
                <c:formatCode>#,##0</c:formatCode>
                <c:ptCount val="32"/>
                <c:pt idx="26">
                  <c:v>17872818.103552543</c:v>
                </c:pt>
                <c:pt idx="27">
                  <c:v>17872818.103552543</c:v>
                </c:pt>
                <c:pt idx="28">
                  <c:v>17872818.103552543</c:v>
                </c:pt>
                <c:pt idx="29">
                  <c:v>17872818.103552543</c:v>
                </c:pt>
                <c:pt idx="30">
                  <c:v>17872818.103552543</c:v>
                </c:pt>
                <c:pt idx="31">
                  <c:v>17872818.103552543</c:v>
                </c:pt>
              </c:numCache>
            </c:numRef>
          </c:yVal>
          <c:smooth val="0"/>
          <c:extLst>
            <c:ext xmlns:c16="http://schemas.microsoft.com/office/drawing/2014/chart" uri="{C3380CC4-5D6E-409C-BE32-E72D297353CC}">
              <c16:uniqueId val="{00000003-CC30-4930-AA72-4D0CAE4EDF50}"/>
            </c:ext>
          </c:extLst>
        </c:ser>
        <c:ser>
          <c:idx val="4"/>
          <c:order val="3"/>
          <c:tx>
            <c:strRef>
              <c:f>Dolphin!$J$2</c:f>
              <c:strCache>
                <c:ptCount val="1"/>
                <c:pt idx="0">
                  <c:v>Orig Rec ABC</c:v>
                </c:pt>
              </c:strCache>
              <c:extLst xmlns:c15="http://schemas.microsoft.com/office/drawing/2012/chart"/>
            </c:strRef>
          </c:tx>
          <c:spPr>
            <a:ln>
              <a:solidFill>
                <a:srgbClr val="7030A0"/>
              </a:solidFill>
            </a:ln>
          </c:spPr>
          <c:marker>
            <c:symbol val="none"/>
          </c:marker>
          <c:xVal>
            <c:numRef>
              <c:f>Dolphin!$C$3:$C$34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Dolphin!$J$3:$J$34</c:f>
              <c:numCache>
                <c:formatCode>General</c:formatCode>
                <c:ptCount val="32"/>
                <c:pt idx="26" formatCode="#,##0">
                  <c:v>18354469.425579689</c:v>
                </c:pt>
                <c:pt idx="27" formatCode="#,##0">
                  <c:v>18354469.425579689</c:v>
                </c:pt>
                <c:pt idx="28" formatCode="#,##0">
                  <c:v>18354469.425579689</c:v>
                </c:pt>
                <c:pt idx="29" formatCode="#,##0">
                  <c:v>18354469.425579689</c:v>
                </c:pt>
                <c:pt idx="30" formatCode="#,##0">
                  <c:v>18354469.425579689</c:v>
                </c:pt>
                <c:pt idx="31" formatCode="#,##0">
                  <c:v>18354469.425579689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4924-4F59-90C7-E2E5BA74858A}"/>
            </c:ext>
          </c:extLst>
        </c:ser>
        <c:ser>
          <c:idx val="1"/>
          <c:order val="4"/>
          <c:spPr>
            <a:ln>
              <a:solidFill>
                <a:schemeClr val="tx1"/>
              </a:solidFill>
            </a:ln>
          </c:spPr>
          <c:marker>
            <c:symbol val="none"/>
          </c:marker>
          <c:xVal>
            <c:numRef>
              <c:f>Dolphin!$AI$3:$AI$4</c:f>
              <c:numCache>
                <c:formatCode>General</c:formatCode>
                <c:ptCount val="2"/>
                <c:pt idx="0">
                  <c:v>1994</c:v>
                </c:pt>
                <c:pt idx="1">
                  <c:v>1994</c:v>
                </c:pt>
              </c:numCache>
            </c:numRef>
          </c:xVal>
          <c:yVal>
            <c:numRef>
              <c:f>Dolphin!$AJ$3:$AJ$4</c:f>
              <c:numCache>
                <c:formatCode>#,##0</c:formatCode>
                <c:ptCount val="2"/>
                <c:pt idx="0">
                  <c:v>0</c:v>
                </c:pt>
                <c:pt idx="1">
                  <c:v>35000000</c:v>
                </c:pt>
              </c:numCache>
            </c:numRef>
          </c:yVal>
          <c:smooth val="0"/>
          <c:extLst>
            <c:ext xmlns:c16="http://schemas.microsoft.com/office/drawing/2014/chart" uri="{C3380CC4-5D6E-409C-BE32-E72D297353CC}">
              <c16:uniqueId val="{00000000-930F-47E2-AE24-0888DA56CAD7}"/>
            </c:ext>
          </c:extLst>
        </c:ser>
        <c:ser>
          <c:idx val="2"/>
          <c:order val="5"/>
          <c:spPr>
            <a:ln>
              <a:solidFill>
                <a:schemeClr val="tx1"/>
              </a:solidFill>
            </a:ln>
          </c:spPr>
          <c:marker>
            <c:symbol val="none"/>
          </c:marker>
          <c:xVal>
            <c:numRef>
              <c:f>Dolphin!$AI$5:$AI$6</c:f>
              <c:numCache>
                <c:formatCode>General</c:formatCode>
                <c:ptCount val="2"/>
                <c:pt idx="0">
                  <c:v>1997</c:v>
                </c:pt>
                <c:pt idx="1">
                  <c:v>1997</c:v>
                </c:pt>
              </c:numCache>
            </c:numRef>
          </c:xVal>
          <c:yVal>
            <c:numRef>
              <c:f>Dolphin!$AJ$5:$AJ$6</c:f>
              <c:numCache>
                <c:formatCode>#,##0</c:formatCode>
                <c:ptCount val="2"/>
                <c:pt idx="0">
                  <c:v>0</c:v>
                </c:pt>
                <c:pt idx="1">
                  <c:v>35000000</c:v>
                </c:pt>
              </c:numCache>
            </c:numRef>
          </c:yVal>
          <c:smooth val="0"/>
          <c:extLst>
            <c:ext xmlns:c16="http://schemas.microsoft.com/office/drawing/2014/chart" uri="{C3380CC4-5D6E-409C-BE32-E72D297353CC}">
              <c16:uniqueId val="{00000001-930F-47E2-AE24-0888DA56CAD7}"/>
            </c:ext>
          </c:extLst>
        </c:ser>
        <c:dLbls>
          <c:showLegendKey val="0"/>
          <c:showVal val="0"/>
          <c:showCatName val="0"/>
          <c:showSerName val="0"/>
          <c:showPercent val="0"/>
          <c:showBubbleSize val="0"/>
        </c:dLbls>
        <c:axId val="345433216"/>
        <c:axId val="345433792"/>
        <c:extLst/>
      </c:scatterChart>
      <c:valAx>
        <c:axId val="345433216"/>
        <c:scaling>
          <c:orientation val="minMax"/>
          <c:max val="2017"/>
          <c:min val="1986"/>
        </c:scaling>
        <c:delete val="0"/>
        <c:axPos val="b"/>
        <c:numFmt formatCode="General" sourceLinked="1"/>
        <c:majorTickMark val="out"/>
        <c:minorTickMark val="none"/>
        <c:tickLblPos val="nextTo"/>
        <c:crossAx val="345433792"/>
        <c:crosses val="autoZero"/>
        <c:crossBetween val="midCat"/>
      </c:valAx>
      <c:valAx>
        <c:axId val="345433792"/>
        <c:scaling>
          <c:orientation val="minMax"/>
          <c:max val="35000000"/>
        </c:scaling>
        <c:delete val="0"/>
        <c:axPos val="l"/>
        <c:majorGridlines/>
        <c:numFmt formatCode="#,##0" sourceLinked="1"/>
        <c:majorTickMark val="out"/>
        <c:minorTickMark val="none"/>
        <c:tickLblPos val="nextTo"/>
        <c:crossAx val="345433216"/>
        <c:crosses val="autoZero"/>
        <c:crossBetween val="midCat"/>
      </c:valAx>
    </c:plotArea>
    <c:legend>
      <c:legendPos val="r"/>
      <c:legendEntry>
        <c:idx val="4"/>
        <c:delete val="1"/>
      </c:legendEntry>
      <c:legendEntry>
        <c:idx val="5"/>
        <c:delete val="1"/>
      </c:legendEntry>
      <c:overlay val="0"/>
    </c:legend>
    <c:plotVisOnly val="1"/>
    <c:dispBlanksAs val="gap"/>
    <c:showDLblsOverMax val="0"/>
  </c:chart>
  <c:printSettings>
    <c:headerFooter/>
    <c:pageMargins b="0.75" l="0.7" r="0.7" t="0.75" header="0.3" footer="0.3"/>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Recreational Landings</a:t>
            </a:r>
          </a:p>
        </c:rich>
      </c:tx>
      <c:overlay val="0"/>
    </c:title>
    <c:autoTitleDeleted val="0"/>
    <c:plotArea>
      <c:layout/>
      <c:areaChart>
        <c:grouping val="standard"/>
        <c:varyColors val="0"/>
        <c:ser>
          <c:idx val="2"/>
          <c:order val="3"/>
          <c:tx>
            <c:strRef>
              <c:f>Dolphin!$F$2</c:f>
              <c:strCache>
                <c:ptCount val="1"/>
                <c:pt idx="0">
                  <c:v>Commercial</c:v>
                </c:pt>
              </c:strCache>
            </c:strRef>
          </c:tx>
          <c:cat>
            <c:numRef>
              <c:f>Dolphin!$C$3:$C$34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Dolphin!$F$3:$F$34</c:f>
              <c:numCache>
                <c:formatCode>#,##0</c:formatCode>
                <c:ptCount val="32"/>
                <c:pt idx="0">
                  <c:v>536362</c:v>
                </c:pt>
                <c:pt idx="1">
                  <c:v>496478</c:v>
                </c:pt>
                <c:pt idx="2">
                  <c:v>524719</c:v>
                </c:pt>
                <c:pt idx="3">
                  <c:v>1063399</c:v>
                </c:pt>
                <c:pt idx="4">
                  <c:v>1015896</c:v>
                </c:pt>
                <c:pt idx="5">
                  <c:v>1602698</c:v>
                </c:pt>
                <c:pt idx="6">
                  <c:v>667183</c:v>
                </c:pt>
                <c:pt idx="7">
                  <c:v>934393</c:v>
                </c:pt>
                <c:pt idx="8">
                  <c:v>1200066</c:v>
                </c:pt>
                <c:pt idx="9">
                  <c:v>2136534</c:v>
                </c:pt>
                <c:pt idx="10">
                  <c:v>1225669</c:v>
                </c:pt>
                <c:pt idx="11">
                  <c:v>1602801</c:v>
                </c:pt>
                <c:pt idx="12">
                  <c:v>823742</c:v>
                </c:pt>
                <c:pt idx="13">
                  <c:v>1047161</c:v>
                </c:pt>
                <c:pt idx="14">
                  <c:v>987626</c:v>
                </c:pt>
                <c:pt idx="15">
                  <c:v>765376</c:v>
                </c:pt>
                <c:pt idx="16">
                  <c:v>708092</c:v>
                </c:pt>
                <c:pt idx="17">
                  <c:v>723508</c:v>
                </c:pt>
                <c:pt idx="18">
                  <c:v>859702</c:v>
                </c:pt>
                <c:pt idx="19">
                  <c:v>577615</c:v>
                </c:pt>
                <c:pt idx="20">
                  <c:v>650308</c:v>
                </c:pt>
                <c:pt idx="21">
                  <c:v>999162</c:v>
                </c:pt>
                <c:pt idx="22">
                  <c:v>836373</c:v>
                </c:pt>
                <c:pt idx="23">
                  <c:v>1296013</c:v>
                </c:pt>
                <c:pt idx="24">
                  <c:v>715369</c:v>
                </c:pt>
                <c:pt idx="25">
                  <c:v>794441</c:v>
                </c:pt>
                <c:pt idx="26">
                  <c:v>862040</c:v>
                </c:pt>
                <c:pt idx="27">
                  <c:v>756456</c:v>
                </c:pt>
                <c:pt idx="28">
                  <c:v>1302989</c:v>
                </c:pt>
                <c:pt idx="29">
                  <c:v>1110104</c:v>
                </c:pt>
                <c:pt idx="30">
                  <c:v>937339</c:v>
                </c:pt>
                <c:pt idx="31">
                  <c:v>475266</c:v>
                </c:pt>
              </c:numCache>
            </c:numRef>
          </c:val>
          <c:extLst>
            <c:ext xmlns:c16="http://schemas.microsoft.com/office/drawing/2014/chart" uri="{C3380CC4-5D6E-409C-BE32-E72D297353CC}">
              <c16:uniqueId val="{00000002-0CEC-4BF5-94D9-29D6C6F50CD8}"/>
            </c:ext>
          </c:extLst>
        </c:ser>
        <c:dLbls>
          <c:showLegendKey val="0"/>
          <c:showVal val="0"/>
          <c:showCatName val="0"/>
          <c:showSerName val="0"/>
          <c:showPercent val="0"/>
          <c:showBubbleSize val="0"/>
        </c:dLbls>
        <c:axId val="345433216"/>
        <c:axId val="345433792"/>
      </c:areaChart>
      <c:lineChart>
        <c:grouping val="standard"/>
        <c:varyColors val="0"/>
        <c:ser>
          <c:idx val="1"/>
          <c:order val="0"/>
          <c:tx>
            <c:strRef>
              <c:f>Dolphin!$E$2</c:f>
              <c:strCache>
                <c:ptCount val="1"/>
                <c:pt idx="0">
                  <c:v>New Wgt Rec</c:v>
                </c:pt>
              </c:strCache>
            </c:strRef>
          </c:tx>
          <c:spPr>
            <a:ln>
              <a:solidFill>
                <a:schemeClr val="accent5"/>
              </a:solidFill>
            </a:ln>
          </c:spPr>
          <c:marker>
            <c:spPr>
              <a:solidFill>
                <a:schemeClr val="accent5"/>
              </a:solidFill>
              <a:ln>
                <a:solidFill>
                  <a:schemeClr val="accent5"/>
                </a:solidFill>
              </a:ln>
            </c:spPr>
          </c:marker>
          <c:cat>
            <c:numRef>
              <c:f>Dolphin!$AC$30:$AC$61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Dolphin!$E$3:$E$34</c:f>
              <c:numCache>
                <c:formatCode>#,##0</c:formatCode>
                <c:ptCount val="32"/>
                <c:pt idx="0">
                  <c:v>9047438.1872255299</c:v>
                </c:pt>
                <c:pt idx="1">
                  <c:v>9928139.2549455166</c:v>
                </c:pt>
                <c:pt idx="2">
                  <c:v>9313437.7279313821</c:v>
                </c:pt>
                <c:pt idx="3">
                  <c:v>26607444.389554508</c:v>
                </c:pt>
                <c:pt idx="4">
                  <c:v>23769474.711448293</c:v>
                </c:pt>
                <c:pt idx="5">
                  <c:v>30655418.990328304</c:v>
                </c:pt>
                <c:pt idx="6">
                  <c:v>21151510.893969696</c:v>
                </c:pt>
                <c:pt idx="7">
                  <c:v>15910599.060817705</c:v>
                </c:pt>
                <c:pt idx="8">
                  <c:v>15958087.583120942</c:v>
                </c:pt>
                <c:pt idx="9">
                  <c:v>23324770.550714664</c:v>
                </c:pt>
                <c:pt idx="10">
                  <c:v>16647149.103552541</c:v>
                </c:pt>
                <c:pt idx="11">
                  <c:v>30575999.653313868</c:v>
                </c:pt>
                <c:pt idx="12">
                  <c:v>18703870.956854753</c:v>
                </c:pt>
                <c:pt idx="13">
                  <c:v>21133870.156717591</c:v>
                </c:pt>
                <c:pt idx="14">
                  <c:v>23583137.596621089</c:v>
                </c:pt>
                <c:pt idx="15">
                  <c:v>22564553.621273302</c:v>
                </c:pt>
                <c:pt idx="16">
                  <c:v>20189772.892984938</c:v>
                </c:pt>
                <c:pt idx="17">
                  <c:v>17214254.571703963</c:v>
                </c:pt>
                <c:pt idx="18">
                  <c:v>11969367.39977785</c:v>
                </c:pt>
                <c:pt idx="19">
                  <c:v>12758251.598320998</c:v>
                </c:pt>
                <c:pt idx="20">
                  <c:v>16232706.123100957</c:v>
                </c:pt>
                <c:pt idx="21">
                  <c:v>16140524.916139647</c:v>
                </c:pt>
                <c:pt idx="22">
                  <c:v>13775567.125555949</c:v>
                </c:pt>
                <c:pt idx="23">
                  <c:v>17091500.509259213</c:v>
                </c:pt>
                <c:pt idx="24">
                  <c:v>11137918.110862741</c:v>
                </c:pt>
                <c:pt idx="25">
                  <c:v>15100020.103816804</c:v>
                </c:pt>
                <c:pt idx="26">
                  <c:v>13641356.845392479</c:v>
                </c:pt>
                <c:pt idx="27">
                  <c:v>14801455.156793011</c:v>
                </c:pt>
                <c:pt idx="28">
                  <c:v>16641746.684281804</c:v>
                </c:pt>
                <c:pt idx="29">
                  <c:v>25375981.880898066</c:v>
                </c:pt>
                <c:pt idx="30">
                  <c:v>15997342.561358454</c:v>
                </c:pt>
                <c:pt idx="31">
                  <c:v>12649853.18939049</c:v>
                </c:pt>
              </c:numCache>
            </c:numRef>
          </c:val>
          <c:smooth val="0"/>
          <c:extLst>
            <c:ext xmlns:c16="http://schemas.microsoft.com/office/drawing/2014/chart" uri="{C3380CC4-5D6E-409C-BE32-E72D297353CC}">
              <c16:uniqueId val="{00000001-0CEC-4BF5-94D9-29D6C6F50CD8}"/>
            </c:ext>
          </c:extLst>
        </c:ser>
        <c:ser>
          <c:idx val="5"/>
          <c:order val="1"/>
          <c:tx>
            <c:strRef>
              <c:f>Dolphin!$H$2</c:f>
              <c:strCache>
                <c:ptCount val="1"/>
                <c:pt idx="0">
                  <c:v>Orig FES Rec</c:v>
                </c:pt>
              </c:strCache>
            </c:strRef>
          </c:tx>
          <c:cat>
            <c:numRef>
              <c:f>Dolphin!$AC$30:$AC$61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Dolphin!$H$3:$H$34</c:f>
              <c:numCache>
                <c:formatCode>#,##0</c:formatCode>
                <c:ptCount val="32"/>
                <c:pt idx="0">
                  <c:v>8675489.6146915536</c:v>
                </c:pt>
                <c:pt idx="1">
                  <c:v>9312773.4743952546</c:v>
                </c:pt>
                <c:pt idx="2">
                  <c:v>9299826.2669321708</c:v>
                </c:pt>
                <c:pt idx="3">
                  <c:v>26796200.781757865</c:v>
                </c:pt>
                <c:pt idx="4">
                  <c:v>25376551.031705696</c:v>
                </c:pt>
                <c:pt idx="5">
                  <c:v>29136406.511346918</c:v>
                </c:pt>
                <c:pt idx="6">
                  <c:v>19501672.034973178</c:v>
                </c:pt>
                <c:pt idx="7">
                  <c:v>16204825.205604715</c:v>
                </c:pt>
                <c:pt idx="8">
                  <c:v>15956346.268655354</c:v>
                </c:pt>
                <c:pt idx="9">
                  <c:v>23621406.441264648</c:v>
                </c:pt>
                <c:pt idx="10">
                  <c:v>17128800.425579689</c:v>
                </c:pt>
                <c:pt idx="11">
                  <c:v>30550733.755265772</c:v>
                </c:pt>
                <c:pt idx="12">
                  <c:v>18609355.406445939</c:v>
                </c:pt>
                <c:pt idx="13">
                  <c:v>20396753.485486299</c:v>
                </c:pt>
                <c:pt idx="14">
                  <c:v>23717036.431525208</c:v>
                </c:pt>
                <c:pt idx="15">
                  <c:v>22683777.149034478</c:v>
                </c:pt>
                <c:pt idx="16">
                  <c:v>20631420.063031707</c:v>
                </c:pt>
                <c:pt idx="17">
                  <c:v>17498411.693231303</c:v>
                </c:pt>
                <c:pt idx="18">
                  <c:v>11886228.78361872</c:v>
                </c:pt>
                <c:pt idx="19">
                  <c:v>12768796.221766204</c:v>
                </c:pt>
                <c:pt idx="20">
                  <c:v>16214197.217188636</c:v>
                </c:pt>
                <c:pt idx="21">
                  <c:v>16291775.387608746</c:v>
                </c:pt>
                <c:pt idx="22">
                  <c:v>12951290.438661084</c:v>
                </c:pt>
                <c:pt idx="23">
                  <c:v>17167225.083089069</c:v>
                </c:pt>
                <c:pt idx="24">
                  <c:v>11147038.422156174</c:v>
                </c:pt>
                <c:pt idx="25">
                  <c:v>14946849.102028606</c:v>
                </c:pt>
                <c:pt idx="26">
                  <c:v>13690702.946863802</c:v>
                </c:pt>
                <c:pt idx="27">
                  <c:v>14760717.222249065</c:v>
                </c:pt>
                <c:pt idx="28">
                  <c:v>16509602.046518395</c:v>
                </c:pt>
                <c:pt idx="29">
                  <c:v>25276223.094398055</c:v>
                </c:pt>
                <c:pt idx="30">
                  <c:v>16196321.890889779</c:v>
                </c:pt>
                <c:pt idx="31">
                  <c:v>12146061.529829118</c:v>
                </c:pt>
              </c:numCache>
            </c:numRef>
          </c:val>
          <c:smooth val="0"/>
          <c:extLst>
            <c:ext xmlns:c16="http://schemas.microsoft.com/office/drawing/2014/chart" uri="{C3380CC4-5D6E-409C-BE32-E72D297353CC}">
              <c16:uniqueId val="{00000004-0CEC-4BF5-94D9-29D6C6F50CD8}"/>
            </c:ext>
          </c:extLst>
        </c:ser>
        <c:ser>
          <c:idx val="0"/>
          <c:order val="2"/>
          <c:tx>
            <c:strRef>
              <c:f>Dolphin!$AJ$29</c:f>
              <c:strCache>
                <c:ptCount val="1"/>
                <c:pt idx="0">
                  <c:v>MRIP+HB</c:v>
                </c:pt>
              </c:strCache>
              <c:extLst xmlns:c15="http://schemas.microsoft.com/office/drawing/2012/chart"/>
            </c:strRef>
          </c:tx>
          <c:spPr>
            <a:ln>
              <a:solidFill>
                <a:schemeClr val="bg1">
                  <a:lumMod val="50000"/>
                </a:schemeClr>
              </a:solidFill>
            </a:ln>
          </c:spPr>
          <c:marker>
            <c:symbol val="star"/>
            <c:size val="8"/>
            <c:spPr>
              <a:noFill/>
              <a:ln w="15875">
                <a:solidFill>
                  <a:schemeClr val="bg1">
                    <a:lumMod val="50000"/>
                  </a:schemeClr>
                </a:solidFill>
              </a:ln>
            </c:spPr>
          </c:marker>
          <c:cat>
            <c:numRef>
              <c:f>Dolphin!$AC$30:$AC$61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Dolphin!$AJ$30:$AJ$61</c:f>
              <c:numCache>
                <c:formatCode>#,##0</c:formatCode>
                <c:ptCount val="32"/>
                <c:pt idx="0">
                  <c:v>8958520.5534570199</c:v>
                </c:pt>
                <c:pt idx="1">
                  <c:v>10619175.279113252</c:v>
                </c:pt>
                <c:pt idx="3">
                  <c:v>24938290.579141509</c:v>
                </c:pt>
                <c:pt idx="4">
                  <c:v>22153613.85796798</c:v>
                </c:pt>
                <c:pt idx="5">
                  <c:v>28071827.506716117</c:v>
                </c:pt>
                <c:pt idx="7">
                  <c:v>12830671.076431543</c:v>
                </c:pt>
                <c:pt idx="8">
                  <c:v>15183249.537438713</c:v>
                </c:pt>
                <c:pt idx="9">
                  <c:v>24275257.130139001</c:v>
                </c:pt>
                <c:pt idx="10">
                  <c:v>16080565.582554996</c:v>
                </c:pt>
                <c:pt idx="11">
                  <c:v>31947617.32052505</c:v>
                </c:pt>
                <c:pt idx="12">
                  <c:v>16334917.953813288</c:v>
                </c:pt>
                <c:pt idx="13">
                  <c:v>20567138.110953264</c:v>
                </c:pt>
                <c:pt idx="14">
                  <c:v>21298004.083389688</c:v>
                </c:pt>
                <c:pt idx="15">
                  <c:v>21484890.233382661</c:v>
                </c:pt>
                <c:pt idx="16">
                  <c:v>16596483.228491167</c:v>
                </c:pt>
                <c:pt idx="17">
                  <c:v>16089533.989957388</c:v>
                </c:pt>
                <c:pt idx="18">
                  <c:v>11415357.701730177</c:v>
                </c:pt>
                <c:pt idx="19">
                  <c:v>12451895.074167056</c:v>
                </c:pt>
                <c:pt idx="20">
                  <c:v>15060866.457566284</c:v>
                </c:pt>
                <c:pt idx="21">
                  <c:v>15506295.464154679</c:v>
                </c:pt>
                <c:pt idx="22">
                  <c:v>13814039.845865346</c:v>
                </c:pt>
                <c:pt idx="23">
                  <c:v>15703720.47683535</c:v>
                </c:pt>
                <c:pt idx="24">
                  <c:v>9738893.1760822982</c:v>
                </c:pt>
                <c:pt idx="25">
                  <c:v>12601567.038515693</c:v>
                </c:pt>
                <c:pt idx="26">
                  <c:v>12815298.939208103</c:v>
                </c:pt>
                <c:pt idx="27">
                  <c:v>12985608.245003786</c:v>
                </c:pt>
                <c:pt idx="28">
                  <c:v>14709278.627653562</c:v>
                </c:pt>
                <c:pt idx="29">
                  <c:v>20752016.807387777</c:v>
                </c:pt>
                <c:pt idx="30">
                  <c:v>13562698.883834343</c:v>
                </c:pt>
                <c:pt idx="31">
                  <c:v>10717701.37847136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1051-4DC0-9C2D-F29A41F85DCC}"/>
            </c:ext>
          </c:extLst>
        </c:ser>
        <c:dLbls>
          <c:showLegendKey val="0"/>
          <c:showVal val="0"/>
          <c:showCatName val="0"/>
          <c:showSerName val="0"/>
          <c:showPercent val="0"/>
          <c:showBubbleSize val="0"/>
        </c:dLbls>
        <c:marker val="1"/>
        <c:smooth val="0"/>
        <c:axId val="345433216"/>
        <c:axId val="345433792"/>
        <c:extLst/>
      </c:lineChart>
      <c:catAx>
        <c:axId val="345433216"/>
        <c:scaling>
          <c:orientation val="minMax"/>
        </c:scaling>
        <c:delete val="0"/>
        <c:axPos val="b"/>
        <c:numFmt formatCode="General" sourceLinked="1"/>
        <c:majorTickMark val="out"/>
        <c:minorTickMark val="none"/>
        <c:tickLblPos val="nextTo"/>
        <c:crossAx val="345433792"/>
        <c:crosses val="autoZero"/>
        <c:auto val="1"/>
        <c:lblAlgn val="ctr"/>
        <c:lblOffset val="100"/>
        <c:noMultiLvlLbl val="1"/>
      </c:catAx>
      <c:valAx>
        <c:axId val="345433792"/>
        <c:scaling>
          <c:orientation val="minMax"/>
          <c:min val="0"/>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Complex'!$C$3</c:f>
              <c:strCache>
                <c:ptCount val="1"/>
                <c:pt idx="0">
                  <c:v>Total New Wgt</c:v>
                </c:pt>
              </c:strCache>
            </c:strRef>
          </c:tx>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17194.045634856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0-4B64-4335-A7BC-77456F77335A}"/>
            </c:ext>
          </c:extLst>
        </c:ser>
        <c:ser>
          <c:idx val="2"/>
          <c:order val="2"/>
          <c:tx>
            <c:strRef>
              <c:f>'Grunts Complex'!$K$3</c:f>
              <c:strCache>
                <c:ptCount val="1"/>
                <c:pt idx="0">
                  <c:v>Total Orig FES</c:v>
                </c:pt>
              </c:strCache>
            </c:strRef>
          </c:tx>
          <c:spPr>
            <a:ln>
              <a:solidFill>
                <a:schemeClr val="accent2"/>
              </a:solidFill>
            </a:ln>
          </c:spPr>
          <c:marker>
            <c:symbol val="x"/>
            <c:size val="7"/>
            <c:spPr>
              <a:noFill/>
              <a:ln>
                <a:solidFill>
                  <a:schemeClr val="accent2"/>
                </a:solidFill>
              </a:ln>
            </c:spPr>
          </c:marker>
          <c:xVal>
            <c:numRef>
              <c:f>'Grunts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Complex'!$K$4:$K$35</c:f>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16939.023021056004</c:v>
                </c:pt>
                <c:pt idx="27">
                  <c:v>119825.03618618095</c:v>
                </c:pt>
                <c:pt idx="28">
                  <c:v>85264.405475240987</c:v>
                </c:pt>
                <c:pt idx="29">
                  <c:v>124374.27126517001</c:v>
                </c:pt>
                <c:pt idx="30">
                  <c:v>28076.817435976009</c:v>
                </c:pt>
                <c:pt idx="31">
                  <c:v>18916.614492524004</c:v>
                </c:pt>
              </c:numCache>
            </c:numRef>
          </c:yVal>
          <c:smooth val="0"/>
          <c:extLst>
            <c:ext xmlns:c16="http://schemas.microsoft.com/office/drawing/2014/chart" uri="{C3380CC4-5D6E-409C-BE32-E72D297353CC}">
              <c16:uniqueId val="{00000001-4B64-4335-A7BC-77456F77335A}"/>
            </c:ext>
          </c:extLst>
        </c:ser>
        <c:ser>
          <c:idx val="1"/>
          <c:order val="4"/>
          <c:tx>
            <c:strRef>
              <c:f>'Grunts Complex'!$C$41</c:f>
              <c:strCache>
                <c:ptCount val="1"/>
                <c:pt idx="0">
                  <c:v>New Wgt ABC/ACL</c:v>
                </c:pt>
              </c:strCache>
            </c:strRef>
          </c:tx>
          <c:spPr>
            <a:ln w="38100">
              <a:solidFill>
                <a:schemeClr val="tx1"/>
              </a:solidFill>
            </a:ln>
          </c:spPr>
          <c:marker>
            <c:symbol val="none"/>
          </c:marker>
          <c:xVal>
            <c:numRef>
              <c:f>'Grunts Complex'!$A$42:$A$47</c:f>
              <c:numCache>
                <c:formatCode>General</c:formatCode>
                <c:ptCount val="6"/>
                <c:pt idx="0">
                  <c:v>2012</c:v>
                </c:pt>
                <c:pt idx="1">
                  <c:v>2013</c:v>
                </c:pt>
                <c:pt idx="2">
                  <c:v>2014</c:v>
                </c:pt>
                <c:pt idx="3">
                  <c:v>2015</c:v>
                </c:pt>
                <c:pt idx="4">
                  <c:v>2016</c:v>
                </c:pt>
                <c:pt idx="5">
                  <c:v>2017</c:v>
                </c:pt>
              </c:numCache>
            </c:numRef>
          </c:xVal>
          <c:yVal>
            <c:numRef>
              <c:f>'Grunts Complex'!$C$42:$C$47</c:f>
              <c:numCache>
                <c:formatCode>#,##0</c:formatCode>
                <c:ptCount val="6"/>
                <c:pt idx="0">
                  <c:v>97397.131278806017</c:v>
                </c:pt>
                <c:pt idx="1">
                  <c:v>97397.131278806017</c:v>
                </c:pt>
                <c:pt idx="2">
                  <c:v>97397.131278806017</c:v>
                </c:pt>
                <c:pt idx="3">
                  <c:v>97397.131278806017</c:v>
                </c:pt>
                <c:pt idx="4">
                  <c:v>97397.131278806017</c:v>
                </c:pt>
                <c:pt idx="5">
                  <c:v>97397.131278806017</c:v>
                </c:pt>
              </c:numCache>
            </c:numRef>
          </c:yVal>
          <c:smooth val="0"/>
          <c:extLst>
            <c:ext xmlns:c16="http://schemas.microsoft.com/office/drawing/2014/chart" uri="{C3380CC4-5D6E-409C-BE32-E72D297353CC}">
              <c16:uniqueId val="{00000002-4B64-4335-A7BC-77456F77335A}"/>
            </c:ext>
          </c:extLst>
        </c:ser>
        <c:ser>
          <c:idx val="5"/>
          <c:order val="5"/>
          <c:tx>
            <c:strRef>
              <c:f>'Grunts Complex'!$K$41</c:f>
              <c:strCache>
                <c:ptCount val="1"/>
                <c:pt idx="0">
                  <c:v>Orig FES ABC/ACL</c:v>
                </c:pt>
              </c:strCache>
            </c:strRef>
          </c:tx>
          <c:spPr>
            <a:ln>
              <a:solidFill>
                <a:srgbClr val="7030A0"/>
              </a:solidFill>
            </a:ln>
          </c:spPr>
          <c:marker>
            <c:symbol val="none"/>
          </c:marker>
          <c:xVal>
            <c:numRef>
              <c:f>'Grunts Complex'!$I$42:$I$47</c:f>
              <c:numCache>
                <c:formatCode>General</c:formatCode>
                <c:ptCount val="6"/>
                <c:pt idx="0">
                  <c:v>2012</c:v>
                </c:pt>
                <c:pt idx="1">
                  <c:v>2013</c:v>
                </c:pt>
                <c:pt idx="2">
                  <c:v>2014</c:v>
                </c:pt>
                <c:pt idx="3">
                  <c:v>2015</c:v>
                </c:pt>
                <c:pt idx="4">
                  <c:v>2016</c:v>
                </c:pt>
                <c:pt idx="5">
                  <c:v>2017</c:v>
                </c:pt>
              </c:numCache>
            </c:numRef>
          </c:xVal>
          <c:yVal>
            <c:numRef>
              <c:f>'Grunts Complex'!$K$42:$K$47</c:f>
              <c:numCache>
                <c:formatCode>#,##0</c:formatCode>
                <c:ptCount val="6"/>
                <c:pt idx="0">
                  <c:v>97375.21827054098</c:v>
                </c:pt>
                <c:pt idx="1">
                  <c:v>97375.21827054098</c:v>
                </c:pt>
                <c:pt idx="2">
                  <c:v>97375.21827054098</c:v>
                </c:pt>
                <c:pt idx="3">
                  <c:v>97375.21827054098</c:v>
                </c:pt>
                <c:pt idx="4">
                  <c:v>97375.21827054098</c:v>
                </c:pt>
                <c:pt idx="5">
                  <c:v>97375.21827054098</c:v>
                </c:pt>
              </c:numCache>
            </c:numRef>
          </c:yVal>
          <c:smooth val="0"/>
          <c:extLst>
            <c:ext xmlns:c16="http://schemas.microsoft.com/office/drawing/2014/chart" uri="{C3380CC4-5D6E-409C-BE32-E72D297353CC}">
              <c16:uniqueId val="{00000003-4B64-4335-A7BC-77456F77335A}"/>
            </c:ext>
          </c:extLst>
        </c:ser>
        <c:ser>
          <c:idx val="6"/>
          <c:order val="6"/>
          <c:spPr>
            <a:ln>
              <a:solidFill>
                <a:schemeClr val="tx1"/>
              </a:solidFill>
            </a:ln>
          </c:spPr>
          <c:marker>
            <c:symbol val="none"/>
          </c:marker>
          <c:xVal>
            <c:numRef>
              <c:f>'Grunts Complex'!$CA$29:$CA$30</c:f>
              <c:numCache>
                <c:formatCode>General</c:formatCode>
                <c:ptCount val="2"/>
                <c:pt idx="0">
                  <c:v>1999</c:v>
                </c:pt>
                <c:pt idx="1">
                  <c:v>1999</c:v>
                </c:pt>
              </c:numCache>
            </c:numRef>
          </c:xVal>
          <c:yVal>
            <c:numRef>
              <c:f>'Grunts Complex'!$CB$29:$CB$30</c:f>
              <c:numCache>
                <c:formatCode>#,##0</c:formatCode>
                <c:ptCount val="2"/>
                <c:pt idx="0">
                  <c:v>0</c:v>
                </c:pt>
                <c:pt idx="1">
                  <c:v>500000</c:v>
                </c:pt>
              </c:numCache>
            </c:numRef>
          </c:yVal>
          <c:smooth val="0"/>
          <c:extLst>
            <c:ext xmlns:c16="http://schemas.microsoft.com/office/drawing/2014/chart" uri="{C3380CC4-5D6E-409C-BE32-E72D297353CC}">
              <c16:uniqueId val="{00000004-4B64-4335-A7BC-77456F77335A}"/>
            </c:ext>
          </c:extLst>
        </c:ser>
        <c:ser>
          <c:idx val="7"/>
          <c:order val="7"/>
          <c:spPr>
            <a:ln>
              <a:solidFill>
                <a:schemeClr val="tx1"/>
              </a:solidFill>
            </a:ln>
          </c:spPr>
          <c:marker>
            <c:symbol val="none"/>
          </c:marker>
          <c:xVal>
            <c:numRef>
              <c:f>'Grunts Complex'!$CA$31:$CA$32</c:f>
              <c:numCache>
                <c:formatCode>General</c:formatCode>
                <c:ptCount val="2"/>
                <c:pt idx="0">
                  <c:v>2007</c:v>
                </c:pt>
                <c:pt idx="1">
                  <c:v>2007</c:v>
                </c:pt>
              </c:numCache>
            </c:numRef>
          </c:xVal>
          <c:yVal>
            <c:numRef>
              <c:f>'Grunts Complex'!$CB$31:$CB$32</c:f>
              <c:numCache>
                <c:formatCode>#,##0</c:formatCode>
                <c:ptCount val="2"/>
                <c:pt idx="0">
                  <c:v>0</c:v>
                </c:pt>
                <c:pt idx="1">
                  <c:v>500000</c:v>
                </c:pt>
              </c:numCache>
            </c:numRef>
          </c:yVal>
          <c:smooth val="0"/>
          <c:extLst>
            <c:ext xmlns:c16="http://schemas.microsoft.com/office/drawing/2014/chart" uri="{C3380CC4-5D6E-409C-BE32-E72D297353CC}">
              <c16:uniqueId val="{00000005-4B64-4335-A7BC-77456F77335A}"/>
            </c:ext>
          </c:extLst>
        </c:ser>
        <c:dLbls>
          <c:showLegendKey val="0"/>
          <c:showVal val="0"/>
          <c:showCatName val="0"/>
          <c:showSerName val="0"/>
          <c:showPercent val="0"/>
          <c:showBubbleSize val="0"/>
        </c:dLbls>
        <c:axId val="344171072"/>
        <c:axId val="344171648"/>
        <c:extLst>
          <c:ext xmlns:c15="http://schemas.microsoft.com/office/drawing/2012/chart" uri="{02D57815-91ED-43cb-92C2-25804820EDAC}">
            <c15:filteredScatterSeries>
              <c15:ser>
                <c:idx val="3"/>
                <c:order val="1"/>
                <c:tx>
                  <c:strRef>
                    <c:extLst>
                      <c:ext uri="{02D57815-91ED-43cb-92C2-25804820EDAC}">
                        <c15:formulaRef>
                          <c15:sqref>'Grunts Complex'!$AA$3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'Grunts Complex'!$Y$4:$Y$35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'Grunts Complex'!$AA$4:$AA$35</c15:sqref>
                        </c15:formulaRef>
                      </c:ext>
                    </c:extLst>
                    <c:numCache>
                      <c:formatCode>#,##0</c:formatCode>
                      <c:ptCount val="32"/>
                      <c:pt idx="0">
                        <c:v>18421.29223721</c:v>
                      </c:pt>
                      <c:pt idx="1">
                        <c:v>67763.252662771003</c:v>
                      </c:pt>
                      <c:pt idx="2">
                        <c:v>484783.15181320003</c:v>
                      </c:pt>
                      <c:pt idx="3">
                        <c:v>360971.04252739</c:v>
                      </c:pt>
                      <c:pt idx="4">
                        <c:v>66132.181876899995</c:v>
                      </c:pt>
                      <c:pt idx="5">
                        <c:v>303964.20061668998</c:v>
                      </c:pt>
                      <c:pt idx="6">
                        <c:v>194814.92960936998</c:v>
                      </c:pt>
                      <c:pt idx="7">
                        <c:v>62247.335335629992</c:v>
                      </c:pt>
                      <c:pt idx="8">
                        <c:v>28708.654248212999</c:v>
                      </c:pt>
                      <c:pt idx="9">
                        <c:v>24090.8615894586</c:v>
                      </c:pt>
                      <c:pt idx="10">
                        <c:v>6129.0136033300005</c:v>
                      </c:pt>
                      <c:pt idx="11">
                        <c:v>26650.915381539999</c:v>
                      </c:pt>
                      <c:pt idx="12">
                        <c:v>49313.296559940005</c:v>
                      </c:pt>
                      <c:pt idx="13">
                        <c:v>52433.174993339999</c:v>
                      </c:pt>
                      <c:pt idx="14">
                        <c:v>39788.157675220005</c:v>
                      </c:pt>
                      <c:pt idx="15">
                        <c:v>21636.8701973803</c:v>
                      </c:pt>
                      <c:pt idx="16">
                        <c:v>455456.39775108709</c:v>
                      </c:pt>
                      <c:pt idx="17">
                        <c:v>361533.16659054987</c:v>
                      </c:pt>
                      <c:pt idx="18">
                        <c:v>73721.411576780098</c:v>
                      </c:pt>
                      <c:pt idx="19">
                        <c:v>97397.131278806017</c:v>
                      </c:pt>
                      <c:pt idx="20">
                        <c:v>18730.745437547001</c:v>
                      </c:pt>
                      <c:pt idx="21">
                        <c:v>61452.672267656999</c:v>
                      </c:pt>
                      <c:pt idx="22">
                        <c:v>53772.447868774696</c:v>
                      </c:pt>
                      <c:pt idx="23">
                        <c:v>22361.752265769399</c:v>
                      </c:pt>
                      <c:pt idx="24">
                        <c:v>17472.375386290001</c:v>
                      </c:pt>
                      <c:pt idx="25">
                        <c:v>3051.4473709690001</c:v>
                      </c:pt>
                      <c:pt idx="26">
                        <c:v>17182.045634856</c:v>
                      </c:pt>
                      <c:pt idx="27">
                        <c:v>120107.642115411</c:v>
                      </c:pt>
                      <c:pt idx="28">
                        <c:v>85264.405475240972</c:v>
                      </c:pt>
                      <c:pt idx="29">
                        <c:v>124800.93909716999</c:v>
                      </c:pt>
                      <c:pt idx="30">
                        <c:v>30790.311858038</c:v>
                      </c:pt>
                      <c:pt idx="31">
                        <c:v>22763.734213805998</c:v>
                      </c:pt>
                    </c:numCache>
                  </c:numRef>
                </c:yVal>
                <c:smooth val="0"/>
                <c:extLst>
                  <c:ext xmlns:c16="http://schemas.microsoft.com/office/drawing/2014/chart" uri="{C3380CC4-5D6E-409C-BE32-E72D297353CC}">
                    <c16:uniqueId val="{00000006-4B64-4335-A7BC-77456F77335A}"/>
                  </c:ext>
                </c:extLst>
              </c15:ser>
            </c15:filteredScatterSeries>
            <c15:filteredScatterSeries>
              <c15:ser>
                <c:idx val="4"/>
                <c:order val="3"/>
                <c:tx>
                  <c:strRef>
                    <c:extLst xmlns:c15="http://schemas.microsoft.com/office/drawing/2012/chart">
                      <c:ext xmlns:c15="http://schemas.microsoft.com/office/drawing/2012/chart" uri="{02D57815-91ED-43cb-92C2-25804820EDAC}">
                        <c15:formulaRef>
                          <c15:sqref>'Grunts Complex'!$AH$3</c15:sqref>
                        </c15:formulaRef>
                      </c:ext>
                    </c:extLst>
                    <c:strCache>
                      <c:ptCount val="1"/>
                      <c:pt idx="0">
                        <c:v>Orig FES Rec</c:v>
                      </c:pt>
                    </c:strCache>
                  </c:strRef>
                </c:tx>
                <c:spPr>
                  <a:ln>
                    <a:solidFill>
                      <a:schemeClr val="accent6"/>
                    </a:solidFill>
                  </a:ln>
                </c:spPr>
                <c:marker>
                  <c:symbol val="circle"/>
                  <c:size val="7"/>
                  <c:spPr>
                    <a:solidFill>
                      <a:schemeClr val="accent6"/>
                    </a:solidFill>
                    <a:ln>
                      <a:solidFill>
                        <a:schemeClr val="accent6"/>
                      </a:solidFill>
                    </a:ln>
                  </c:spPr>
                </c:marker>
                <c:xVal>
                  <c:numRef>
                    <c:extLst xmlns:c15="http://schemas.microsoft.com/office/drawing/2012/chart">
                      <c:ext xmlns:c15="http://schemas.microsoft.com/office/drawing/2012/chart" uri="{02D57815-91ED-43cb-92C2-25804820EDAC}">
                        <c15:formulaRef>
                          <c15:sqref>'Grunts Complex'!$AF$4:$AF$35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'Grunts Complex'!$AH$4:$AH$35</c15:sqref>
                        </c15:formulaRef>
                      </c:ext>
                    </c:extLst>
                    <c:numCache>
                      <c:formatCode>#,##0</c:formatCode>
                      <c:ptCount val="32"/>
                      <c:pt idx="0">
                        <c:v>18302.13059207</c:v>
                      </c:pt>
                      <c:pt idx="1">
                        <c:v>86508.980683770991</c:v>
                      </c:pt>
                      <c:pt idx="2">
                        <c:v>481647.06024130003</c:v>
                      </c:pt>
                      <c:pt idx="3">
                        <c:v>442893.90913149004</c:v>
                      </c:pt>
                      <c:pt idx="4">
                        <c:v>108857.22537099999</c:v>
                      </c:pt>
                      <c:pt idx="5">
                        <c:v>325296.82282079</c:v>
                      </c:pt>
                      <c:pt idx="6">
                        <c:v>214561.63253907999</c:v>
                      </c:pt>
                      <c:pt idx="7">
                        <c:v>59091.14308550999</c:v>
                      </c:pt>
                      <c:pt idx="8">
                        <c:v>32146.009871202994</c:v>
                      </c:pt>
                      <c:pt idx="9">
                        <c:v>20602.8296664136</c:v>
                      </c:pt>
                      <c:pt idx="10">
                        <c:v>6089.6966078700007</c:v>
                      </c:pt>
                      <c:pt idx="11">
                        <c:v>17533.989109360005</c:v>
                      </c:pt>
                      <c:pt idx="12">
                        <c:v>49313.296559940005</c:v>
                      </c:pt>
                      <c:pt idx="13">
                        <c:v>50887.260700209998</c:v>
                      </c:pt>
                      <c:pt idx="14">
                        <c:v>38686.362023380003</c:v>
                      </c:pt>
                      <c:pt idx="15">
                        <c:v>16306.573121181498</c:v>
                      </c:pt>
                      <c:pt idx="16">
                        <c:v>465659.426481737</c:v>
                      </c:pt>
                      <c:pt idx="17">
                        <c:v>365589.5271471499</c:v>
                      </c:pt>
                      <c:pt idx="18">
                        <c:v>75546.917158725118</c:v>
                      </c:pt>
                      <c:pt idx="19">
                        <c:v>97375.21827054098</c:v>
                      </c:pt>
                      <c:pt idx="20">
                        <c:v>11383.937336144001</c:v>
                      </c:pt>
                      <c:pt idx="21">
                        <c:v>56323.687448247001</c:v>
                      </c:pt>
                      <c:pt idx="22">
                        <c:v>53675.322073234704</c:v>
                      </c:pt>
                      <c:pt idx="23">
                        <c:v>21918.5009797694</c:v>
                      </c:pt>
                      <c:pt idx="24">
                        <c:v>17359.948133960002</c:v>
                      </c:pt>
                      <c:pt idx="25">
                        <c:v>3031.8493299049996</c:v>
                      </c:pt>
                      <c:pt idx="26">
                        <c:v>16927.023021056004</c:v>
                      </c:pt>
                      <c:pt idx="27">
                        <c:v>119825.03618618095</c:v>
                      </c:pt>
                      <c:pt idx="28">
                        <c:v>85264.405475240987</c:v>
                      </c:pt>
                      <c:pt idx="29">
                        <c:v>124374.27126517001</c:v>
                      </c:pt>
                      <c:pt idx="30">
                        <c:v>28076.817435976009</c:v>
                      </c:pt>
                      <c:pt idx="31">
                        <c:v>18916.614492524004</c:v>
                      </c:pt>
                    </c:numCache>
                  </c:numRef>
                </c:yVal>
                <c:smooth val="0"/>
                <c:extLst xmlns:c15="http://schemas.microsoft.com/office/drawing/2012/chart">
                  <c:ext xmlns:c16="http://schemas.microsoft.com/office/drawing/2014/chart" uri="{C3380CC4-5D6E-409C-BE32-E72D297353CC}">
                    <c16:uniqueId val="{00000007-4B64-4335-A7BC-77456F77335A}"/>
                  </c:ext>
                </c:extLst>
              </c15:ser>
            </c15:filteredScatterSeries>
          </c:ext>
        </c:extLst>
      </c:scatterChart>
      <c:valAx>
        <c:axId val="34417107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4171648"/>
        <c:crosses val="autoZero"/>
        <c:crossBetween val="midCat"/>
      </c:valAx>
      <c:valAx>
        <c:axId val="344171648"/>
        <c:scaling>
          <c:orientation val="minMax"/>
          <c:max val="500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4171072"/>
        <c:crosses val="autoZero"/>
        <c:crossBetween val="midCat"/>
      </c:valAx>
    </c:plotArea>
    <c:legend>
      <c:legendPos val="b"/>
      <c:legendEntry>
        <c:idx val="4"/>
        <c:delete val="1"/>
      </c:legendEntry>
      <c:legendEntry>
        <c:idx val="5"/>
        <c:delete val="1"/>
      </c:legendEntry>
      <c:overlay val="0"/>
    </c:legend>
    <c:plotVisOnly val="1"/>
    <c:dispBlanksAs val="gap"/>
    <c:showDLblsOverMax val="0"/>
  </c:chart>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0"/>
          <c:order val="0"/>
          <c:tx>
            <c:strRef>
              <c:f>'Shallow-Water Complex'!$D$3</c:f>
              <c:strCache>
                <c:ptCount val="1"/>
                <c:pt idx="0">
                  <c:v>Total New Wgt</c:v>
                </c:pt>
              </c:strCache>
            </c:strRef>
          </c:tx>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0">
                  <c:v>213.66542279999999</c:v>
                </c:pt>
                <c:pt idx="1">
                  <c:v>262.40692420000005</c:v>
                </c:pt>
                <c:pt idx="2">
                  <c:v>983.30338127000005</c:v>
                </c:pt>
                <c:pt idx="3">
                  <c:v>2586.9450254000003</c:v>
                </c:pt>
                <c:pt idx="4">
                  <c:v>1021.2368579999999</c:v>
                </c:pt>
                <c:pt idx="5">
                  <c:v>2463.7248291999999</c:v>
                </c:pt>
                <c:pt idx="6">
                  <c:v>3404.2825971799998</c:v>
                </c:pt>
                <c:pt idx="7">
                  <c:v>377.14092199999993</c:v>
                </c:pt>
                <c:pt idx="8">
                  <c:v>867.18638599999997</c:v>
                </c:pt>
                <c:pt idx="9">
                  <c:v>666.725596</c:v>
                </c:pt>
                <c:pt idx="10">
                  <c:v>409.30508200000003</c:v>
                </c:pt>
                <c:pt idx="11">
                  <c:v>489.34887599999996</c:v>
                </c:pt>
                <c:pt idx="12">
                  <c:v>1153.6838000000002</c:v>
                </c:pt>
                <c:pt idx="13">
                  <c:v>2143.5527917999998</c:v>
                </c:pt>
                <c:pt idx="14">
                  <c:v>8205.7874845000006</c:v>
                </c:pt>
                <c:pt idx="15">
                  <c:v>312.20308</c:v>
                </c:pt>
                <c:pt idx="16">
                  <c:v>265.389748</c:v>
                </c:pt>
                <c:pt idx="17">
                  <c:v>2725.9199194000003</c:v>
                </c:pt>
                <c:pt idx="18">
                  <c:v>5606.9159661100011</c:v>
                </c:pt>
                <c:pt idx="19">
                  <c:v>5442.0663666999999</c:v>
                </c:pt>
                <c:pt idx="20">
                  <c:v>1104.7897519999999</c:v>
                </c:pt>
                <c:pt idx="21">
                  <c:v>34851.753549200002</c:v>
                </c:pt>
                <c:pt idx="22">
                  <c:v>341.183896</c:v>
                </c:pt>
                <c:pt idx="23">
                  <c:v>95.236515400000002</c:v>
                </c:pt>
                <c:pt idx="24">
                  <c:v>372.00583045799999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0-89C2-47C4-AA94-8BD8A8C1AE13}"/>
            </c:ext>
          </c:extLst>
        </c:ser>
        <c:ser>
          <c:idx val="2"/>
          <c:order val="2"/>
          <c:tx>
            <c:strRef>
              <c:f>'Shallow-Water Complex'!$N$3</c:f>
              <c:strCache>
                <c:ptCount val="1"/>
                <c:pt idx="0">
                  <c:v>Total Orig FES</c:v>
                </c:pt>
              </c:strCache>
            </c:strRef>
          </c:tx>
          <c:spPr>
            <a:ln>
              <a:solidFill>
                <a:schemeClr val="accent2"/>
              </a:solidFill>
            </a:ln>
          </c:spPr>
          <c:marker>
            <c:symbol val="x"/>
            <c:size val="7"/>
            <c:spPr>
              <a:noFill/>
              <a:ln>
                <a:solidFill>
                  <a:schemeClr val="accent2"/>
                </a:solidFill>
              </a:ln>
            </c:spPr>
          </c:marker>
          <c:xVal>
            <c:numRef>
              <c:f>'Shallow-Water Complex'!$K$4:$K$35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0">
                  <c:v>213.66542279999999</c:v>
                </c:pt>
                <c:pt idx="1">
                  <c:v>262.40692420000005</c:v>
                </c:pt>
                <c:pt idx="2">
                  <c:v>956.41537245000029</c:v>
                </c:pt>
                <c:pt idx="3">
                  <c:v>2498.5847723000006</c:v>
                </c:pt>
                <c:pt idx="4">
                  <c:v>1021.2368579999999</c:v>
                </c:pt>
                <c:pt idx="5">
                  <c:v>2371.7813498</c:v>
                </c:pt>
                <c:pt idx="6">
                  <c:v>3280.4377290500011</c:v>
                </c:pt>
                <c:pt idx="7">
                  <c:v>377.14092199999993</c:v>
                </c:pt>
                <c:pt idx="8">
                  <c:v>867.18638599999997</c:v>
                </c:pt>
                <c:pt idx="9">
                  <c:v>666.725596</c:v>
                </c:pt>
                <c:pt idx="10">
                  <c:v>409.30508200000003</c:v>
                </c:pt>
                <c:pt idx="11">
                  <c:v>489.34887599999996</c:v>
                </c:pt>
                <c:pt idx="12">
                  <c:v>1153.6838000000002</c:v>
                </c:pt>
                <c:pt idx="13">
                  <c:v>2101.7615854699998</c:v>
                </c:pt>
                <c:pt idx="14">
                  <c:v>7888.9850333999984</c:v>
                </c:pt>
                <c:pt idx="15">
                  <c:v>312.20308</c:v>
                </c:pt>
                <c:pt idx="16">
                  <c:v>265.389748</c:v>
                </c:pt>
                <c:pt idx="17">
                  <c:v>2657.0738755000002</c:v>
                </c:pt>
                <c:pt idx="18">
                  <c:v>5437.5706806800017</c:v>
                </c:pt>
                <c:pt idx="19">
                  <c:v>5302.5303370000011</c:v>
                </c:pt>
                <c:pt idx="20">
                  <c:v>1104.7897519999999</c:v>
                </c:pt>
                <c:pt idx="21">
                  <c:v>33501.638706299993</c:v>
                </c:pt>
                <c:pt idx="22">
                  <c:v>341.183896</c:v>
                </c:pt>
                <c:pt idx="23">
                  <c:v>95.236515400000002</c:v>
                </c:pt>
                <c:pt idx="24">
                  <c:v>370.02882502099999</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c:ext xmlns:c16="http://schemas.microsoft.com/office/drawing/2014/chart" uri="{C3380CC4-5D6E-409C-BE32-E72D297353CC}">
              <c16:uniqueId val="{00000001-89C2-47C4-AA94-8BD8A8C1AE13}"/>
            </c:ext>
          </c:extLst>
        </c:ser>
        <c:ser>
          <c:idx val="1"/>
          <c:order val="5"/>
          <c:tx>
            <c:strRef>
              <c:f>'Shallow-Water Complex'!$D$41</c:f>
              <c:strCache>
                <c:ptCount val="1"/>
                <c:pt idx="0">
                  <c:v>New Wgt ABC/ACL</c:v>
                </c:pt>
              </c:strCache>
            </c:strRef>
          </c:tx>
          <c:spPr>
            <a:ln w="38100">
              <a:solidFill>
                <a:schemeClr val="tx1"/>
              </a:solidFill>
            </a:ln>
          </c:spPr>
          <c:marker>
            <c:symbol val="none"/>
          </c:marker>
          <c:xVal>
            <c:numRef>
              <c:f>'Shallow-Water Complex'!$A$42:$A$47</c:f>
              <c:numCache>
                <c:formatCode>General</c:formatCode>
                <c:ptCount val="6"/>
                <c:pt idx="0">
                  <c:v>2012</c:v>
                </c:pt>
                <c:pt idx="1">
                  <c:v>2013</c:v>
                </c:pt>
                <c:pt idx="2">
                  <c:v>2014</c:v>
                </c:pt>
                <c:pt idx="3">
                  <c:v>2015</c:v>
                </c:pt>
                <c:pt idx="4">
                  <c:v>2016</c:v>
                </c:pt>
                <c:pt idx="5">
                  <c:v>2017</c:v>
                </c:pt>
              </c:numCache>
            </c:numRef>
          </c:xVal>
          <c:yVal>
            <c:numRef>
              <c:f>'Shallow-Water Complex'!$D$42:$D$47</c:f>
              <c:numCache>
                <c:formatCode>#,##0</c:formatCode>
                <c:ptCount val="6"/>
                <c:pt idx="0">
                  <c:v>5606.9159661100011</c:v>
                </c:pt>
                <c:pt idx="1">
                  <c:v>5606.9159661100011</c:v>
                </c:pt>
                <c:pt idx="2">
                  <c:v>5606.9159661100011</c:v>
                </c:pt>
                <c:pt idx="3">
                  <c:v>5606.9159661100011</c:v>
                </c:pt>
                <c:pt idx="4">
                  <c:v>5606.9159661100011</c:v>
                </c:pt>
                <c:pt idx="5">
                  <c:v>5606.9159661100011</c:v>
                </c:pt>
              </c:numCache>
            </c:numRef>
          </c:yVal>
          <c:smooth val="0"/>
          <c:extLst>
            <c:ext xmlns:c16="http://schemas.microsoft.com/office/drawing/2014/chart" uri="{C3380CC4-5D6E-409C-BE32-E72D297353CC}">
              <c16:uniqueId val="{00000002-89C2-47C4-AA94-8BD8A8C1AE13}"/>
            </c:ext>
          </c:extLst>
        </c:ser>
        <c:ser>
          <c:idx val="4"/>
          <c:order val="6"/>
          <c:tx>
            <c:strRef>
              <c:f>'Shallow-Water Complex'!$N$41</c:f>
              <c:strCache>
                <c:ptCount val="1"/>
                <c:pt idx="0">
                  <c:v>Orig FES ABC/ACL</c:v>
                </c:pt>
              </c:strCache>
            </c:strRef>
          </c:tx>
          <c:spPr>
            <a:ln>
              <a:solidFill>
                <a:srgbClr val="7030A0"/>
              </a:solidFill>
            </a:ln>
          </c:spPr>
          <c:marker>
            <c:symbol val="none"/>
          </c:marker>
          <c:xVal>
            <c:numRef>
              <c:f>'Shallow-Water Complex'!$K$42:$K$47</c:f>
              <c:numCache>
                <c:formatCode>General</c:formatCode>
                <c:ptCount val="6"/>
                <c:pt idx="0">
                  <c:v>2012</c:v>
                </c:pt>
                <c:pt idx="1">
                  <c:v>2013</c:v>
                </c:pt>
                <c:pt idx="2">
                  <c:v>2014</c:v>
                </c:pt>
                <c:pt idx="3">
                  <c:v>2015</c:v>
                </c:pt>
                <c:pt idx="4">
                  <c:v>2016</c:v>
                </c:pt>
                <c:pt idx="5">
                  <c:v>2017</c:v>
                </c:pt>
              </c:numCache>
            </c:numRef>
          </c:xVal>
          <c:yVal>
            <c:numRef>
              <c:f>'Shallow-Water Complex'!$N$42:$N$47</c:f>
              <c:numCache>
                <c:formatCode>#,##0</c:formatCode>
                <c:ptCount val="6"/>
                <c:pt idx="0">
                  <c:v>5437.5706806800017</c:v>
                </c:pt>
                <c:pt idx="1">
                  <c:v>5437.5706806800017</c:v>
                </c:pt>
                <c:pt idx="2">
                  <c:v>5437.5706806800017</c:v>
                </c:pt>
                <c:pt idx="3">
                  <c:v>5437.5706806800017</c:v>
                </c:pt>
                <c:pt idx="4">
                  <c:v>5437.5706806800017</c:v>
                </c:pt>
                <c:pt idx="5">
                  <c:v>5437.5706806800017</c:v>
                </c:pt>
              </c:numCache>
            </c:numRef>
          </c:yVal>
          <c:smooth val="0"/>
          <c:extLst>
            <c:ext xmlns:c16="http://schemas.microsoft.com/office/drawing/2014/chart" uri="{C3380CC4-5D6E-409C-BE32-E72D297353CC}">
              <c16:uniqueId val="{00000003-89C2-47C4-AA94-8BD8A8C1AE13}"/>
            </c:ext>
          </c:extLst>
        </c:ser>
        <c:ser>
          <c:idx val="7"/>
          <c:order val="7"/>
          <c:spPr>
            <a:ln>
              <a:solidFill>
                <a:schemeClr val="tx1"/>
              </a:solidFill>
            </a:ln>
          </c:spPr>
          <c:marker>
            <c:symbol val="none"/>
          </c:marker>
          <c:xVal>
            <c:numRef>
              <c:f>'Shallow-Water Complex'!$CO$4:$CO$5</c:f>
              <c:numCache>
                <c:formatCode>General</c:formatCode>
                <c:ptCount val="2"/>
                <c:pt idx="0">
                  <c:v>1999</c:v>
                </c:pt>
                <c:pt idx="1">
                  <c:v>1999</c:v>
                </c:pt>
              </c:numCache>
            </c:numRef>
          </c:xVal>
          <c:yVal>
            <c:numRef>
              <c:f>'Shallow-Water Complex'!$CP$4:$CP$5</c:f>
              <c:numCache>
                <c:formatCode>#,##0</c:formatCode>
                <c:ptCount val="2"/>
                <c:pt idx="0">
                  <c:v>0</c:v>
                </c:pt>
                <c:pt idx="1">
                  <c:v>35000</c:v>
                </c:pt>
              </c:numCache>
            </c:numRef>
          </c:yVal>
          <c:smooth val="0"/>
          <c:extLst>
            <c:ext xmlns:c16="http://schemas.microsoft.com/office/drawing/2014/chart" uri="{C3380CC4-5D6E-409C-BE32-E72D297353CC}">
              <c16:uniqueId val="{00000004-89C2-47C4-AA94-8BD8A8C1AE13}"/>
            </c:ext>
          </c:extLst>
        </c:ser>
        <c:ser>
          <c:idx val="8"/>
          <c:order val="8"/>
          <c:spPr>
            <a:ln>
              <a:solidFill>
                <a:schemeClr val="tx1"/>
              </a:solidFill>
            </a:ln>
          </c:spPr>
          <c:marker>
            <c:symbol val="none"/>
          </c:marker>
          <c:xVal>
            <c:numRef>
              <c:f>'Shallow-Water Complex'!$CO$6:$CO$7</c:f>
              <c:numCache>
                <c:formatCode>General</c:formatCode>
                <c:ptCount val="2"/>
                <c:pt idx="0">
                  <c:v>2007</c:v>
                </c:pt>
                <c:pt idx="1">
                  <c:v>2007</c:v>
                </c:pt>
              </c:numCache>
            </c:numRef>
          </c:xVal>
          <c:yVal>
            <c:numRef>
              <c:f>'Shallow-Water Complex'!$CP$6:$CP$7</c:f>
              <c:numCache>
                <c:formatCode>#,##0</c:formatCode>
                <c:ptCount val="2"/>
                <c:pt idx="0">
                  <c:v>0</c:v>
                </c:pt>
                <c:pt idx="1">
                  <c:v>35000</c:v>
                </c:pt>
              </c:numCache>
            </c:numRef>
          </c:yVal>
          <c:smooth val="0"/>
          <c:extLst>
            <c:ext xmlns:c16="http://schemas.microsoft.com/office/drawing/2014/chart" uri="{C3380CC4-5D6E-409C-BE32-E72D297353CC}">
              <c16:uniqueId val="{00000005-89C2-47C4-AA94-8BD8A8C1AE13}"/>
            </c:ext>
          </c:extLst>
        </c:ser>
        <c:dLbls>
          <c:showLegendKey val="0"/>
          <c:showVal val="0"/>
          <c:showCatName val="0"/>
          <c:showSerName val="0"/>
          <c:showPercent val="0"/>
          <c:showBubbleSize val="0"/>
        </c:dLbls>
        <c:axId val="343538432"/>
        <c:axId val="343539008"/>
        <c:extLst>
          <c:ext xmlns:c15="http://schemas.microsoft.com/office/drawing/2012/chart" uri="{02D57815-91ED-43cb-92C2-25804820EDAC}">
            <c15:filteredScatterSeries>
              <c15:ser>
                <c:idx val="3"/>
                <c:order val="1"/>
                <c:tx>
                  <c:strRef>
                    <c:extLst>
                      <c:ext uri="{02D57815-91ED-43cb-92C2-25804820EDAC}">
                        <c15:formulaRef>
                          <c15:sqref>'Shallow-Water Complex'!$AH$3</c15:sqref>
                        </c15:formulaRef>
                      </c:ext>
                    </c:extLst>
                    <c:strCache>
                      <c:ptCount val="1"/>
                      <c:pt idx="0">
                        <c:v>New Wgt Rec</c:v>
                      </c:pt>
                    </c:strCache>
                  </c:strRef>
                </c:tx>
                <c:spPr>
                  <a:ln>
                    <a:solidFill>
                      <a:schemeClr val="accent2"/>
                    </a:solidFill>
                  </a:ln>
                </c:spPr>
                <c:marker>
                  <c:symbol val="square"/>
                  <c:size val="7"/>
                  <c:spPr>
                    <a:solidFill>
                      <a:schemeClr val="accent2"/>
                    </a:solidFill>
                    <a:ln>
                      <a:solidFill>
                        <a:schemeClr val="accent2"/>
                      </a:solidFill>
                    </a:ln>
                  </c:spPr>
                </c:marker>
                <c:xVal>
                  <c:numRef>
                    <c:extLst>
                      <c:ext uri="{02D57815-91ED-43cb-92C2-25804820EDAC}">
                        <c15:formulaRef>
                          <c15:sqref>'Shallow-Water Complex'!$AE$4:$AE$35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c:ext uri="{02D57815-91ED-43cb-92C2-25804820EDAC}">
                        <c15:formulaRef>
                          <c15:sqref>'Shallow-Water Complex'!$AH$4:$AH$35</c15:sqref>
                        </c15:formulaRef>
                      </c:ext>
                    </c:extLst>
                    <c:numCache>
                      <c:formatCode>#,##0</c:formatCode>
                      <c:ptCount val="32"/>
                      <c:pt idx="0">
                        <c:v>213.66542279999999</c:v>
                      </c:pt>
                      <c:pt idx="1">
                        <c:v>262.40692420000005</c:v>
                      </c:pt>
                      <c:pt idx="2">
                        <c:v>983.30338127000005</c:v>
                      </c:pt>
                      <c:pt idx="3">
                        <c:v>2586.9450254000003</c:v>
                      </c:pt>
                      <c:pt idx="4">
                        <c:v>1021.2368579999999</c:v>
                      </c:pt>
                      <c:pt idx="5">
                        <c:v>2377.7248291999999</c:v>
                      </c:pt>
                      <c:pt idx="6">
                        <c:v>3404.2825971799998</c:v>
                      </c:pt>
                      <c:pt idx="7">
                        <c:v>377.14092199999993</c:v>
                      </c:pt>
                      <c:pt idx="8">
                        <c:v>855.18638599999997</c:v>
                      </c:pt>
                      <c:pt idx="9">
                        <c:v>648.725596</c:v>
                      </c:pt>
                      <c:pt idx="10">
                        <c:v>398.30508200000003</c:v>
                      </c:pt>
                      <c:pt idx="11">
                        <c:v>487.34887599999996</c:v>
                      </c:pt>
                      <c:pt idx="12">
                        <c:v>998.68380000000036</c:v>
                      </c:pt>
                      <c:pt idx="13">
                        <c:v>2125.5527917999998</c:v>
                      </c:pt>
                      <c:pt idx="14">
                        <c:v>8205.7874845000006</c:v>
                      </c:pt>
                      <c:pt idx="15">
                        <c:v>308.20308</c:v>
                      </c:pt>
                      <c:pt idx="16">
                        <c:v>265.389748</c:v>
                      </c:pt>
                      <c:pt idx="17">
                        <c:v>1981.9199194</c:v>
                      </c:pt>
                      <c:pt idx="18">
                        <c:v>5556.9159661100011</c:v>
                      </c:pt>
                      <c:pt idx="19">
                        <c:v>5442.0663666999999</c:v>
                      </c:pt>
                      <c:pt idx="20">
                        <c:v>1018.7897519999999</c:v>
                      </c:pt>
                      <c:pt idx="21">
                        <c:v>34851.753549200002</c:v>
                      </c:pt>
                      <c:pt idx="22">
                        <c:v>341.183896</c:v>
                      </c:pt>
                      <c:pt idx="23">
                        <c:v>95.236515400000002</c:v>
                      </c:pt>
                      <c:pt idx="24">
                        <c:v>149.00583045799999</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c:ext xmlns:c16="http://schemas.microsoft.com/office/drawing/2014/chart" uri="{C3380CC4-5D6E-409C-BE32-E72D297353CC}">
                    <c16:uniqueId val="{00000006-89C2-47C4-AA94-8BD8A8C1AE13}"/>
                  </c:ext>
                </c:extLst>
              </c15:ser>
            </c15:filteredScatterSeries>
            <c15:filteredScatterSeries>
              <c15:ser>
                <c:idx val="6"/>
                <c:order val="3"/>
                <c:tx>
                  <c:strRef>
                    <c:extLst xmlns:c15="http://schemas.microsoft.com/office/drawing/2012/chart">
                      <c:ext xmlns:c15="http://schemas.microsoft.com/office/drawing/2012/chart" uri="{02D57815-91ED-43cb-92C2-25804820EDAC}">
                        <c15:formulaRef>
                          <c15:sqref>'Shallow-Water Complex'!$AU$102</c15:sqref>
                        </c15:formulaRef>
                      </c:ext>
                    </c:extLst>
                    <c:strCache>
                      <c:ptCount val="1"/>
                      <c:pt idx="0">
                        <c:v>Total New MRIP</c:v>
                      </c:pt>
                    </c:strCache>
                  </c:strRef>
                </c:tx>
                <c:spPr>
                  <a:ln>
                    <a:solidFill>
                      <a:schemeClr val="bg1">
                        <a:lumMod val="50000"/>
                      </a:schemeClr>
                    </a:solidFill>
                  </a:ln>
                </c:spPr>
                <c:marker>
                  <c:symbol val="star"/>
                  <c:size val="8"/>
                  <c:spPr>
                    <a:ln w="15875">
                      <a:solidFill>
                        <a:schemeClr val="bg1">
                          <a:lumMod val="50000"/>
                        </a:schemeClr>
                      </a:solidFill>
                    </a:ln>
                  </c:spPr>
                </c:marker>
                <c:xVal>
                  <c:numRef>
                    <c:extLst xmlns:c15="http://schemas.microsoft.com/office/drawing/2012/chart">
                      <c:ext xmlns:c15="http://schemas.microsoft.com/office/drawing/2012/chart" uri="{02D57815-91ED-43cb-92C2-25804820EDAC}">
                        <c15:formulaRef>
                          <c15:sqref>'Shallow-Water Complex'!$AK$103:$AK$134</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Complex'!$AU$103:$AU$134</c15:sqref>
                        </c15:formulaRef>
                      </c:ext>
                    </c:extLst>
                    <c:numCache>
                      <c:formatCode>#,##0</c:formatCode>
                      <c:ptCount val="32"/>
                      <c:pt idx="0">
                        <c:v>213.66542279999999</c:v>
                      </c:pt>
                      <c:pt idx="1">
                        <c:v>262.40692420000005</c:v>
                      </c:pt>
                      <c:pt idx="3">
                        <c:v>886.81476141309463</c:v>
                      </c:pt>
                      <c:pt idx="4">
                        <c:v>1021.2368579999999</c:v>
                      </c:pt>
                      <c:pt idx="5">
                        <c:v>1051.4927817760047</c:v>
                      </c:pt>
                      <c:pt idx="6">
                        <c:v>2805.0059095626957</c:v>
                      </c:pt>
                      <c:pt idx="7">
                        <c:v>377.14092199999993</c:v>
                      </c:pt>
                      <c:pt idx="8">
                        <c:v>867.18638599999997</c:v>
                      </c:pt>
                      <c:pt idx="9">
                        <c:v>666.725596</c:v>
                      </c:pt>
                      <c:pt idx="10">
                        <c:v>409.30508200000003</c:v>
                      </c:pt>
                      <c:pt idx="11">
                        <c:v>489.34887599999996</c:v>
                      </c:pt>
                      <c:pt idx="12">
                        <c:v>1153.6838000000002</c:v>
                      </c:pt>
                      <c:pt idx="15">
                        <c:v>312.20308</c:v>
                      </c:pt>
                      <c:pt idx="16">
                        <c:v>265.389748</c:v>
                      </c:pt>
                      <c:pt idx="17">
                        <c:v>1874.9190470891861</c:v>
                      </c:pt>
                      <c:pt idx="18">
                        <c:v>5536.1321381293892</c:v>
                      </c:pt>
                      <c:pt idx="19">
                        <c:v>3980.4320393779203</c:v>
                      </c:pt>
                      <c:pt idx="20">
                        <c:v>1104.7897519999999</c:v>
                      </c:pt>
                      <c:pt idx="21">
                        <c:v>32203.878458981166</c:v>
                      </c:pt>
                      <c:pt idx="22">
                        <c:v>341.183896</c:v>
                      </c:pt>
                      <c:pt idx="23">
                        <c:v>95.236515400000002</c:v>
                      </c:pt>
                      <c:pt idx="24">
                        <c:v>378.33565440782945</c:v>
                      </c:pt>
                      <c:pt idx="25">
                        <c:v>356.06725599999999</c:v>
                      </c:pt>
                      <c:pt idx="26">
                        <c:v>406.87650819999999</c:v>
                      </c:pt>
                      <c:pt idx="27">
                        <c:v>258.79447599999997</c:v>
                      </c:pt>
                      <c:pt idx="28">
                        <c:v>342.31160299999999</c:v>
                      </c:pt>
                      <c:pt idx="29">
                        <c:v>415.51389999999998</c:v>
                      </c:pt>
                      <c:pt idx="30">
                        <c:v>110.99275879999999</c:v>
                      </c:pt>
                      <c:pt idx="31">
                        <c:v>982.15491240000006</c:v>
                      </c:pt>
                    </c:numCache>
                  </c:numRef>
                </c:yVal>
                <c:smooth val="0"/>
                <c:extLst xmlns:c15="http://schemas.microsoft.com/office/drawing/2012/chart">
                  <c:ext xmlns:c16="http://schemas.microsoft.com/office/drawing/2014/chart" uri="{C3380CC4-5D6E-409C-BE32-E72D297353CC}">
                    <c16:uniqueId val="{00000007-89C2-47C4-AA94-8BD8A8C1AE13}"/>
                  </c:ext>
                </c:extLst>
              </c15:ser>
            </c15:filteredScatterSeries>
            <c15:filteredScatterSeries>
              <c15:ser>
                <c:idx val="5"/>
                <c:order val="4"/>
                <c:tx>
                  <c:strRef>
                    <c:extLst xmlns:c15="http://schemas.microsoft.com/office/drawing/2012/chart">
                      <c:ext xmlns:c15="http://schemas.microsoft.com/office/drawing/2012/chart" uri="{02D57815-91ED-43cb-92C2-25804820EDAC}">
                        <c15:formulaRef>
                          <c15:sqref>'Shallow-Water Complex'!$AQ$3</c15:sqref>
                        </c15:formulaRef>
                      </c:ext>
                    </c:extLst>
                    <c:strCache>
                      <c:ptCount val="1"/>
                      <c:pt idx="0">
                        <c:v>Orig FES Rec</c:v>
                      </c:pt>
                    </c:strCache>
                  </c:strRef>
                </c:tx>
                <c:xVal>
                  <c:numRef>
                    <c:extLst xmlns:c15="http://schemas.microsoft.com/office/drawing/2012/chart">
                      <c:ext xmlns:c15="http://schemas.microsoft.com/office/drawing/2012/chart" uri="{02D57815-91ED-43cb-92C2-25804820EDAC}">
                        <c15:formulaRef>
                          <c15:sqref>'Shallow-Water Complex'!$AN$4:$AN$35</c15:sqref>
                        </c15:formulaRef>
                      </c:ext>
                    </c:extLst>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extLst xmlns:c15="http://schemas.microsoft.com/office/drawing/2012/chart">
                      <c:ext xmlns:c15="http://schemas.microsoft.com/office/drawing/2012/chart" uri="{02D57815-91ED-43cb-92C2-25804820EDAC}">
                        <c15:formulaRef>
                          <c15:sqref>'Shallow-Water Complex'!$AQ$4:$AQ$35</c15:sqref>
                        </c15:formulaRef>
                      </c:ext>
                    </c:extLst>
                    <c:numCache>
                      <c:formatCode>#,##0</c:formatCode>
                      <c:ptCount val="32"/>
                      <c:pt idx="0">
                        <c:v>213.66542279999999</c:v>
                      </c:pt>
                      <c:pt idx="1">
                        <c:v>262.40692420000005</c:v>
                      </c:pt>
                      <c:pt idx="2">
                        <c:v>956.41537245000029</c:v>
                      </c:pt>
                      <c:pt idx="3">
                        <c:v>2498.5847723000006</c:v>
                      </c:pt>
                      <c:pt idx="4">
                        <c:v>1021.2368579999999</c:v>
                      </c:pt>
                      <c:pt idx="5">
                        <c:v>2285.7813498</c:v>
                      </c:pt>
                      <c:pt idx="6">
                        <c:v>3280.4377290500011</c:v>
                      </c:pt>
                      <c:pt idx="7">
                        <c:v>377.14092199999993</c:v>
                      </c:pt>
                      <c:pt idx="8">
                        <c:v>855.18638599999997</c:v>
                      </c:pt>
                      <c:pt idx="9">
                        <c:v>648.725596</c:v>
                      </c:pt>
                      <c:pt idx="10">
                        <c:v>398.30508200000003</c:v>
                      </c:pt>
                      <c:pt idx="11">
                        <c:v>487.34887599999996</c:v>
                      </c:pt>
                      <c:pt idx="12">
                        <c:v>998.68380000000036</c:v>
                      </c:pt>
                      <c:pt idx="13">
                        <c:v>2083.7615854699998</c:v>
                      </c:pt>
                      <c:pt idx="14">
                        <c:v>7888.9850333999984</c:v>
                      </c:pt>
                      <c:pt idx="15">
                        <c:v>308.20308</c:v>
                      </c:pt>
                      <c:pt idx="16">
                        <c:v>265.389748</c:v>
                      </c:pt>
                      <c:pt idx="17">
                        <c:v>1913.0738755000004</c:v>
                      </c:pt>
                      <c:pt idx="18">
                        <c:v>5387.5706806800017</c:v>
                      </c:pt>
                      <c:pt idx="19">
                        <c:v>5302.5303370000011</c:v>
                      </c:pt>
                      <c:pt idx="20">
                        <c:v>1018.7897519999999</c:v>
                      </c:pt>
                      <c:pt idx="21">
                        <c:v>33501.638706299993</c:v>
                      </c:pt>
                      <c:pt idx="22">
                        <c:v>341.183896</c:v>
                      </c:pt>
                      <c:pt idx="23">
                        <c:v>95.236515400000002</c:v>
                      </c:pt>
                      <c:pt idx="24">
                        <c:v>147.02882502099999</c:v>
                      </c:pt>
                      <c:pt idx="25">
                        <c:v>36.067256</c:v>
                      </c:pt>
                      <c:pt idx="26">
                        <c:v>61.876508199999996</c:v>
                      </c:pt>
                      <c:pt idx="27">
                        <c:v>125.79447599999999</c:v>
                      </c:pt>
                      <c:pt idx="28">
                        <c:v>115.31160300000001</c:v>
                      </c:pt>
                      <c:pt idx="29">
                        <c:v>102.51389999999999</c:v>
                      </c:pt>
                      <c:pt idx="30">
                        <c:v>105.99275879999999</c:v>
                      </c:pt>
                      <c:pt idx="31">
                        <c:v>90.154912400000001</c:v>
                      </c:pt>
                    </c:numCache>
                  </c:numRef>
                </c:yVal>
                <c:smooth val="0"/>
                <c:extLst xmlns:c15="http://schemas.microsoft.com/office/drawing/2012/chart">
                  <c:ext xmlns:c16="http://schemas.microsoft.com/office/drawing/2014/chart" uri="{C3380CC4-5D6E-409C-BE32-E72D297353CC}">
                    <c16:uniqueId val="{00000008-89C2-47C4-AA94-8BD8A8C1AE13}"/>
                  </c:ext>
                </c:extLst>
              </c15:ser>
            </c15:filteredScatterSeries>
          </c:ext>
        </c:extLst>
      </c:scatterChart>
      <c:valAx>
        <c:axId val="343538432"/>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43539008"/>
        <c:crosses val="autoZero"/>
        <c:crossBetween val="midCat"/>
      </c:valAx>
      <c:valAx>
        <c:axId val="343539008"/>
        <c:scaling>
          <c:orientation val="minMax"/>
          <c:max val="35000"/>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43538432"/>
        <c:crosses val="autoZero"/>
        <c:crossBetween val="midCat"/>
      </c:valAx>
    </c:plotArea>
    <c:legend>
      <c:legendPos val="b"/>
      <c:legendEntry>
        <c:idx val="4"/>
        <c:delete val="1"/>
      </c:legendEntry>
      <c:legendEntry>
        <c:idx val="5"/>
        <c:delete val="1"/>
      </c:legendEntry>
      <c:overlay val="0"/>
    </c:legend>
    <c:plotVisOnly val="1"/>
    <c:dispBlanksAs val="gap"/>
    <c:showDLblsOverMax val="0"/>
  </c:chart>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Dolphin MRIP CPUE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Dolphin!$AQ$1</c:f>
              <c:strCache>
                <c:ptCount val="1"/>
                <c:pt idx="0">
                  <c:v>Nominal CPUE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Dolphin!$AP$2:$AP$39</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xVal>
          <c:yVal>
            <c:numRef>
              <c:f>Dolphin!$AQ$2:$AQ$39</c:f>
              <c:numCache>
                <c:formatCode>General</c:formatCode>
                <c:ptCount val="38"/>
                <c:pt idx="0">
                  <c:v>0.61988947779116221</c:v>
                </c:pt>
                <c:pt idx="1">
                  <c:v>0.85174954462173225</c:v>
                </c:pt>
                <c:pt idx="2">
                  <c:v>1.192976591302763</c:v>
                </c:pt>
                <c:pt idx="3">
                  <c:v>0.68167746613800784</c:v>
                </c:pt>
                <c:pt idx="4">
                  <c:v>0.66456208902782465</c:v>
                </c:pt>
                <c:pt idx="5">
                  <c:v>0.62867768876990315</c:v>
                </c:pt>
                <c:pt idx="6">
                  <c:v>0.62248423882488024</c:v>
                </c:pt>
                <c:pt idx="7">
                  <c:v>0.85848297626879844</c:v>
                </c:pt>
                <c:pt idx="8">
                  <c:v>2.0801158552745833</c:v>
                </c:pt>
                <c:pt idx="9">
                  <c:v>0.98253607120800102</c:v>
                </c:pt>
                <c:pt idx="10">
                  <c:v>1.6707306820010102</c:v>
                </c:pt>
                <c:pt idx="11">
                  <c:v>0.9885938255882184</c:v>
                </c:pt>
                <c:pt idx="12">
                  <c:v>1.2726622650372281</c:v>
                </c:pt>
                <c:pt idx="13">
                  <c:v>0.84855302686376466</c:v>
                </c:pt>
                <c:pt idx="14">
                  <c:v>1.1937508236726606</c:v>
                </c:pt>
                <c:pt idx="15">
                  <c:v>1.0904475995569718</c:v>
                </c:pt>
                <c:pt idx="16">
                  <c:v>1.2586542907373528</c:v>
                </c:pt>
                <c:pt idx="17">
                  <c:v>1.2678457331245538</c:v>
                </c:pt>
                <c:pt idx="18">
                  <c:v>1.1882711896007303</c:v>
                </c:pt>
                <c:pt idx="19">
                  <c:v>1.3471996327344142</c:v>
                </c:pt>
                <c:pt idx="20">
                  <c:v>1.3068197341013081</c:v>
                </c:pt>
                <c:pt idx="21">
                  <c:v>0.89621035401261184</c:v>
                </c:pt>
                <c:pt idx="22">
                  <c:v>1.0098602384309132</c:v>
                </c:pt>
                <c:pt idx="23">
                  <c:v>0.59668265894263561</c:v>
                </c:pt>
                <c:pt idx="24">
                  <c:v>0.8874374754877622</c:v>
                </c:pt>
                <c:pt idx="25">
                  <c:v>0.88442775779771987</c:v>
                </c:pt>
                <c:pt idx="26">
                  <c:v>0.84735178658338883</c:v>
                </c:pt>
                <c:pt idx="27">
                  <c:v>1.1221525510221211</c:v>
                </c:pt>
                <c:pt idx="28">
                  <c:v>0.67221142675837176</c:v>
                </c:pt>
                <c:pt idx="29">
                  <c:v>0.73823279266281516</c:v>
                </c:pt>
                <c:pt idx="30">
                  <c:v>1.2630475046225966</c:v>
                </c:pt>
                <c:pt idx="31">
                  <c:v>0.79729556237276922</c:v>
                </c:pt>
                <c:pt idx="32">
                  <c:v>1.6201732319684243</c:v>
                </c:pt>
                <c:pt idx="33">
                  <c:v>0.84781745975118838</c:v>
                </c:pt>
                <c:pt idx="34">
                  <c:v>1.2824669988996933</c:v>
                </c:pt>
                <c:pt idx="35">
                  <c:v>0.47864678124186233</c:v>
                </c:pt>
                <c:pt idx="36">
                  <c:v>0.70280233183585339</c:v>
                </c:pt>
                <c:pt idx="37">
                  <c:v>0.7365022853634049</c:v>
                </c:pt>
              </c:numCache>
            </c:numRef>
          </c:yVal>
          <c:smooth val="0"/>
          <c:extLst>
            <c:ext xmlns:c16="http://schemas.microsoft.com/office/drawing/2014/chart" uri="{C3380CC4-5D6E-409C-BE32-E72D297353CC}">
              <c16:uniqueId val="{00000000-654A-4F46-810A-5CE7147E4C91}"/>
            </c:ext>
          </c:extLst>
        </c:ser>
        <c:ser>
          <c:idx val="1"/>
          <c:order val="1"/>
          <c:tx>
            <c:strRef>
              <c:f>Dolphin!$AR$1</c:f>
              <c:strCache>
                <c:ptCount val="1"/>
                <c:pt idx="0">
                  <c:v>Stand GLM</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Dolphin!$AS$2:$AS$39</c:f>
                <c:numCache>
                  <c:formatCode>General</c:formatCode>
                  <c:ptCount val="38"/>
                  <c:pt idx="0">
                    <c:v>1.4033250113945879E-2</c:v>
                  </c:pt>
                  <c:pt idx="1">
                    <c:v>1.1572163405913636E-2</c:v>
                  </c:pt>
                  <c:pt idx="2">
                    <c:v>1.7814964956356136E-2</c:v>
                  </c:pt>
                  <c:pt idx="3">
                    <c:v>1.4907487928881599E-2</c:v>
                  </c:pt>
                  <c:pt idx="4">
                    <c:v>2.3055645606471737E-2</c:v>
                  </c:pt>
                  <c:pt idx="5">
                    <c:v>2.5812117210220722E-2</c:v>
                  </c:pt>
                  <c:pt idx="6">
                    <c:v>1.0986726066682278E-2</c:v>
                  </c:pt>
                  <c:pt idx="7">
                    <c:v>3.0492523446532312E-2</c:v>
                  </c:pt>
                  <c:pt idx="8">
                    <c:v>0.10724412230978338</c:v>
                  </c:pt>
                  <c:pt idx="9">
                    <c:v>3.8389730885737758E-2</c:v>
                  </c:pt>
                  <c:pt idx="10">
                    <c:v>0.15548975233451345</c:v>
                  </c:pt>
                  <c:pt idx="11">
                    <c:v>0.10517789844316534</c:v>
                  </c:pt>
                  <c:pt idx="12">
                    <c:v>0.21962495728131856</c:v>
                  </c:pt>
                  <c:pt idx="13">
                    <c:v>0.12596575081894046</c:v>
                  </c:pt>
                  <c:pt idx="14">
                    <c:v>8.6553713661921175E-2</c:v>
                  </c:pt>
                  <c:pt idx="15">
                    <c:v>7.7544577249178778E-2</c:v>
                  </c:pt>
                  <c:pt idx="16">
                    <c:v>9.4201464090900661E-2</c:v>
                  </c:pt>
                  <c:pt idx="17">
                    <c:v>0.1648256453422462</c:v>
                  </c:pt>
                  <c:pt idx="18">
                    <c:v>0.22606173070674462</c:v>
                  </c:pt>
                  <c:pt idx="19">
                    <c:v>8.901735804909755E-2</c:v>
                  </c:pt>
                  <c:pt idx="20">
                    <c:v>0.14303086487242281</c:v>
                  </c:pt>
                  <c:pt idx="21">
                    <c:v>0.24709029125611259</c:v>
                  </c:pt>
                  <c:pt idx="22">
                    <c:v>0.16367126043389912</c:v>
                  </c:pt>
                  <c:pt idx="23">
                    <c:v>8.873671569314813E-2</c:v>
                  </c:pt>
                  <c:pt idx="24">
                    <c:v>7.9865430767188272E-2</c:v>
                  </c:pt>
                  <c:pt idx="25">
                    <c:v>0.13163171549637664</c:v>
                  </c:pt>
                  <c:pt idx="26">
                    <c:v>9.3201357249768996E-2</c:v>
                  </c:pt>
                  <c:pt idx="27">
                    <c:v>0.13997722439447166</c:v>
                  </c:pt>
                  <c:pt idx="28">
                    <c:v>0.15275739445441466</c:v>
                  </c:pt>
                  <c:pt idx="29">
                    <c:v>0.1263468738151361</c:v>
                  </c:pt>
                  <c:pt idx="30">
                    <c:v>9.4203976715684382E-2</c:v>
                  </c:pt>
                  <c:pt idx="31">
                    <c:v>0.1403800230243348</c:v>
                  </c:pt>
                  <c:pt idx="32">
                    <c:v>8.8188193871602816E-2</c:v>
                  </c:pt>
                  <c:pt idx="33">
                    <c:v>0.14848055382950068</c:v>
                  </c:pt>
                  <c:pt idx="34">
                    <c:v>0.33275489461381275</c:v>
                  </c:pt>
                  <c:pt idx="35">
                    <c:v>0.14075549638355306</c:v>
                  </c:pt>
                  <c:pt idx="36">
                    <c:v>0.11291341004540514</c:v>
                  </c:pt>
                  <c:pt idx="37">
                    <c:v>0.10617912642604461</c:v>
                  </c:pt>
                </c:numCache>
              </c:numRef>
            </c:plus>
            <c:minus>
              <c:numRef>
                <c:f>Dolphin!$AS$2:$AS$39</c:f>
                <c:numCache>
                  <c:formatCode>General</c:formatCode>
                  <c:ptCount val="38"/>
                  <c:pt idx="0">
                    <c:v>1.4033250113945879E-2</c:v>
                  </c:pt>
                  <c:pt idx="1">
                    <c:v>1.1572163405913636E-2</c:v>
                  </c:pt>
                  <c:pt idx="2">
                    <c:v>1.7814964956356136E-2</c:v>
                  </c:pt>
                  <c:pt idx="3">
                    <c:v>1.4907487928881599E-2</c:v>
                  </c:pt>
                  <c:pt idx="4">
                    <c:v>2.3055645606471737E-2</c:v>
                  </c:pt>
                  <c:pt idx="5">
                    <c:v>2.5812117210220722E-2</c:v>
                  </c:pt>
                  <c:pt idx="6">
                    <c:v>1.0986726066682278E-2</c:v>
                  </c:pt>
                  <c:pt idx="7">
                    <c:v>3.0492523446532312E-2</c:v>
                  </c:pt>
                  <c:pt idx="8">
                    <c:v>0.10724412230978338</c:v>
                  </c:pt>
                  <c:pt idx="9">
                    <c:v>3.8389730885737758E-2</c:v>
                  </c:pt>
                  <c:pt idx="10">
                    <c:v>0.15548975233451345</c:v>
                  </c:pt>
                  <c:pt idx="11">
                    <c:v>0.10517789844316534</c:v>
                  </c:pt>
                  <c:pt idx="12">
                    <c:v>0.21962495728131856</c:v>
                  </c:pt>
                  <c:pt idx="13">
                    <c:v>0.12596575081894046</c:v>
                  </c:pt>
                  <c:pt idx="14">
                    <c:v>8.6553713661921175E-2</c:v>
                  </c:pt>
                  <c:pt idx="15">
                    <c:v>7.7544577249178778E-2</c:v>
                  </c:pt>
                  <c:pt idx="16">
                    <c:v>9.4201464090900661E-2</c:v>
                  </c:pt>
                  <c:pt idx="17">
                    <c:v>0.1648256453422462</c:v>
                  </c:pt>
                  <c:pt idx="18">
                    <c:v>0.22606173070674462</c:v>
                  </c:pt>
                  <c:pt idx="19">
                    <c:v>8.901735804909755E-2</c:v>
                  </c:pt>
                  <c:pt idx="20">
                    <c:v>0.14303086487242281</c:v>
                  </c:pt>
                  <c:pt idx="21">
                    <c:v>0.24709029125611259</c:v>
                  </c:pt>
                  <c:pt idx="22">
                    <c:v>0.16367126043389912</c:v>
                  </c:pt>
                  <c:pt idx="23">
                    <c:v>8.873671569314813E-2</c:v>
                  </c:pt>
                  <c:pt idx="24">
                    <c:v>7.9865430767188272E-2</c:v>
                  </c:pt>
                  <c:pt idx="25">
                    <c:v>0.13163171549637664</c:v>
                  </c:pt>
                  <c:pt idx="26">
                    <c:v>9.3201357249768996E-2</c:v>
                  </c:pt>
                  <c:pt idx="27">
                    <c:v>0.13997722439447166</c:v>
                  </c:pt>
                  <c:pt idx="28">
                    <c:v>0.15275739445441466</c:v>
                  </c:pt>
                  <c:pt idx="29">
                    <c:v>0.1263468738151361</c:v>
                  </c:pt>
                  <c:pt idx="30">
                    <c:v>9.4203976715684382E-2</c:v>
                  </c:pt>
                  <c:pt idx="31">
                    <c:v>0.1403800230243348</c:v>
                  </c:pt>
                  <c:pt idx="32">
                    <c:v>8.8188193871602816E-2</c:v>
                  </c:pt>
                  <c:pt idx="33">
                    <c:v>0.14848055382950068</c:v>
                  </c:pt>
                  <c:pt idx="34">
                    <c:v>0.33275489461381275</c:v>
                  </c:pt>
                  <c:pt idx="35">
                    <c:v>0.14075549638355306</c:v>
                  </c:pt>
                  <c:pt idx="36">
                    <c:v>0.11291341004540514</c:v>
                  </c:pt>
                  <c:pt idx="37">
                    <c:v>0.10617912642604461</c:v>
                  </c:pt>
                </c:numCache>
              </c:numRef>
            </c:minus>
            <c:spPr>
              <a:noFill/>
              <a:ln w="9525" cap="flat" cmpd="sng" algn="ctr">
                <a:solidFill>
                  <a:schemeClr val="tx1">
                    <a:lumMod val="65000"/>
                    <a:lumOff val="35000"/>
                  </a:schemeClr>
                </a:solidFill>
                <a:round/>
              </a:ln>
              <a:effectLst/>
            </c:spPr>
          </c:errBars>
          <c:xVal>
            <c:numRef>
              <c:f>Dolphin!$AP$2:$AP$39</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xVal>
          <c:yVal>
            <c:numRef>
              <c:f>Dolphin!$AR$2:$AR$39</c:f>
              <c:numCache>
                <c:formatCode>General</c:formatCode>
                <c:ptCount val="38"/>
                <c:pt idx="0">
                  <c:v>0.11380216086275584</c:v>
                </c:pt>
                <c:pt idx="1">
                  <c:v>7.506022096384718E-2</c:v>
                </c:pt>
                <c:pt idx="2">
                  <c:v>0.13147476837924016</c:v>
                </c:pt>
                <c:pt idx="3">
                  <c:v>0.10837087927135827</c:v>
                </c:pt>
                <c:pt idx="4">
                  <c:v>0.20483025272992961</c:v>
                </c:pt>
                <c:pt idx="5">
                  <c:v>0.28067986103610892</c:v>
                </c:pt>
                <c:pt idx="6">
                  <c:v>0.11437631737742154</c:v>
                </c:pt>
                <c:pt idx="7">
                  <c:v>0.26805120225236129</c:v>
                </c:pt>
                <c:pt idx="8">
                  <c:v>1.3406770826590289</c:v>
                </c:pt>
                <c:pt idx="9">
                  <c:v>0.41458448327558917</c:v>
                </c:pt>
                <c:pt idx="10">
                  <c:v>1.3709004007545857</c:v>
                </c:pt>
                <c:pt idx="11">
                  <c:v>0.80251248039053247</c:v>
                </c:pt>
                <c:pt idx="12">
                  <c:v>1.7784496505781648</c:v>
                </c:pt>
                <c:pt idx="13">
                  <c:v>1.0130223536959029</c:v>
                </c:pt>
                <c:pt idx="14">
                  <c:v>0.6608641944690018</c:v>
                </c:pt>
                <c:pt idx="15">
                  <c:v>0.56191301937098248</c:v>
                </c:pt>
                <c:pt idx="16">
                  <c:v>0.72620164107417118</c:v>
                </c:pt>
                <c:pt idx="17">
                  <c:v>1.3201565360779828</c:v>
                </c:pt>
                <c:pt idx="18">
                  <c:v>1.9466319644596661</c:v>
                </c:pt>
                <c:pt idx="19">
                  <c:v>0.81654608370640547</c:v>
                </c:pt>
                <c:pt idx="20">
                  <c:v>1.3319320030019455</c:v>
                </c:pt>
                <c:pt idx="21">
                  <c:v>2.2473208342234572</c:v>
                </c:pt>
                <c:pt idx="22">
                  <c:v>1.3944698530477879</c:v>
                </c:pt>
                <c:pt idx="23">
                  <c:v>0.80362438229720123</c:v>
                </c:pt>
                <c:pt idx="24">
                  <c:v>0.66693655495326942</c:v>
                </c:pt>
                <c:pt idx="25">
                  <c:v>1.1626996707507771</c:v>
                </c:pt>
                <c:pt idx="26">
                  <c:v>0.89448590176964426</c:v>
                </c:pt>
                <c:pt idx="27">
                  <c:v>1.2071321245413469</c:v>
                </c:pt>
                <c:pt idx="28">
                  <c:v>1.5163641752710197</c:v>
                </c:pt>
                <c:pt idx="29">
                  <c:v>1.1519601970380862</c:v>
                </c:pt>
                <c:pt idx="30">
                  <c:v>0.81272386129730567</c:v>
                </c:pt>
                <c:pt idx="31">
                  <c:v>1.2391754130208819</c:v>
                </c:pt>
                <c:pt idx="32">
                  <c:v>0.80958396935032584</c:v>
                </c:pt>
                <c:pt idx="33">
                  <c:v>1.5246115760937999</c:v>
                </c:pt>
                <c:pt idx="34">
                  <c:v>3.5578345830105893</c:v>
                </c:pt>
                <c:pt idx="35">
                  <c:v>1.5043690378101697</c:v>
                </c:pt>
                <c:pt idx="36">
                  <c:v>1.2608704269096529</c:v>
                </c:pt>
                <c:pt idx="37">
                  <c:v>0.86479988222770865</c:v>
                </c:pt>
              </c:numCache>
            </c:numRef>
          </c:yVal>
          <c:smooth val="0"/>
          <c:extLst>
            <c:ext xmlns:c16="http://schemas.microsoft.com/office/drawing/2014/chart" uri="{C3380CC4-5D6E-409C-BE32-E72D297353CC}">
              <c16:uniqueId val="{00000001-654A-4F46-810A-5CE7147E4C91}"/>
            </c:ext>
          </c:extLst>
        </c:ser>
        <c:dLbls>
          <c:showLegendKey val="0"/>
          <c:showVal val="0"/>
          <c:showCatName val="0"/>
          <c:showSerName val="0"/>
          <c:showPercent val="0"/>
          <c:showBubbleSize val="0"/>
        </c:dLbls>
        <c:axId val="675226640"/>
        <c:axId val="1591666143"/>
      </c:scatterChart>
      <c:valAx>
        <c:axId val="675226640"/>
        <c:scaling>
          <c:orientation val="minMax"/>
          <c:max val="2018"/>
          <c:min val="1981"/>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1666143"/>
        <c:crosses val="autoZero"/>
        <c:crossBetween val="midCat"/>
        <c:majorUnit val="2"/>
      </c:valAx>
      <c:valAx>
        <c:axId val="1591666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5226640"/>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Landings</a:t>
            </a:r>
          </a:p>
        </c:rich>
      </c:tx>
      <c:overlay val="0"/>
    </c:title>
    <c:autoTitleDeleted val="0"/>
    <c:plotArea>
      <c:layout/>
      <c:scatterChart>
        <c:scatterStyle val="lineMarker"/>
        <c:varyColors val="0"/>
        <c:ser>
          <c:idx val="0"/>
          <c:order val="0"/>
          <c:tx>
            <c:strRef>
              <c:f>Wahoo!$E$3</c:f>
              <c:strCache>
                <c:ptCount val="1"/>
                <c:pt idx="0">
                  <c:v>Total New Wgt</c:v>
                </c:pt>
              </c:strCache>
            </c:strRef>
          </c:tx>
          <c:xVal>
            <c:numRef>
              <c:f>Wahoo!$D$4:$D$35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Wahoo!$E$4:$E$35</c:f>
              <c:numCache>
                <c:formatCode>#,##0</c:formatCode>
                <c:ptCount val="32"/>
                <c:pt idx="0">
                  <c:v>2917526.414933701</c:v>
                </c:pt>
                <c:pt idx="1">
                  <c:v>2262168.4654296702</c:v>
                </c:pt>
                <c:pt idx="2">
                  <c:v>1246790.6537249899</c:v>
                </c:pt>
                <c:pt idx="3">
                  <c:v>811727.91482479987</c:v>
                </c:pt>
                <c:pt idx="4">
                  <c:v>689688.26021339989</c:v>
                </c:pt>
                <c:pt idx="5">
                  <c:v>2213856.9742541499</c:v>
                </c:pt>
                <c:pt idx="6">
                  <c:v>1415108.7480908902</c:v>
                </c:pt>
                <c:pt idx="7">
                  <c:v>1262266.8727517999</c:v>
                </c:pt>
                <c:pt idx="8">
                  <c:v>926459.17671919998</c:v>
                </c:pt>
                <c:pt idx="9">
                  <c:v>1771884.6354011006</c:v>
                </c:pt>
                <c:pt idx="10">
                  <c:v>1621488.8369359504</c:v>
                </c:pt>
                <c:pt idx="11">
                  <c:v>1212219.3172153796</c:v>
                </c:pt>
                <c:pt idx="12">
                  <c:v>1425193.5631423101</c:v>
                </c:pt>
                <c:pt idx="13">
                  <c:v>2011878.1029466104</c:v>
                </c:pt>
                <c:pt idx="14">
                  <c:v>1855839.2365002602</c:v>
                </c:pt>
                <c:pt idx="15">
                  <c:v>1866482.8828791506</c:v>
                </c:pt>
                <c:pt idx="16">
                  <c:v>2885303.1330168797</c:v>
                </c:pt>
                <c:pt idx="17">
                  <c:v>2056314.3799314406</c:v>
                </c:pt>
                <c:pt idx="18">
                  <c:v>3180058.12191037</c:v>
                </c:pt>
                <c:pt idx="19">
                  <c:v>1722712.9036722297</c:v>
                </c:pt>
                <c:pt idx="20">
                  <c:v>1101481.24713195</c:v>
                </c:pt>
                <c:pt idx="21">
                  <c:v>3746181.7622820162</c:v>
                </c:pt>
                <c:pt idx="22">
                  <c:v>1236426.2401378602</c:v>
                </c:pt>
                <c:pt idx="23">
                  <c:v>2349102.6495041414</c:v>
                </c:pt>
                <c:pt idx="24">
                  <c:v>1295624.52733358</c:v>
                </c:pt>
                <c:pt idx="25">
                  <c:v>1390823.1411243698</c:v>
                </c:pt>
                <c:pt idx="26">
                  <c:v>2118283.1577607081</c:v>
                </c:pt>
                <c:pt idx="27">
                  <c:v>786110.43528469</c:v>
                </c:pt>
                <c:pt idx="28">
                  <c:v>1772238.3196001402</c:v>
                </c:pt>
                <c:pt idx="29">
                  <c:v>2991213.9365142998</c:v>
                </c:pt>
                <c:pt idx="30">
                  <c:v>5067709.638781731</c:v>
                </c:pt>
                <c:pt idx="31">
                  <c:v>3611199.5908464803</c:v>
                </c:pt>
              </c:numCache>
            </c:numRef>
          </c:yVal>
          <c:smooth val="0"/>
          <c:extLst>
            <c:ext xmlns:c16="http://schemas.microsoft.com/office/drawing/2014/chart" uri="{C3380CC4-5D6E-409C-BE32-E72D297353CC}">
              <c16:uniqueId val="{00000000-35D8-4346-8B40-F4B82E66A1E7}"/>
            </c:ext>
          </c:extLst>
        </c:ser>
        <c:ser>
          <c:idx val="6"/>
          <c:order val="1"/>
          <c:tx>
            <c:strRef>
              <c:f>Wahoo!$H$3</c:f>
              <c:strCache>
                <c:ptCount val="1"/>
                <c:pt idx="0">
                  <c:v>Total Orig FES</c:v>
                </c:pt>
              </c:strCache>
            </c:strRef>
          </c:tx>
          <c:spPr>
            <a:ln>
              <a:solidFill>
                <a:schemeClr val="accent2"/>
              </a:solidFill>
            </a:ln>
          </c:spPr>
          <c:marker>
            <c:symbol val="x"/>
            <c:size val="7"/>
            <c:spPr>
              <a:ln>
                <a:solidFill>
                  <a:schemeClr val="accent2"/>
                </a:solidFill>
              </a:ln>
            </c:spPr>
          </c:marker>
          <c:xVal>
            <c:numRef>
              <c:f>Wahoo!$D$4:$D$35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Wahoo!$H$4:$H$35</c:f>
              <c:numCache>
                <c:formatCode>#,##0</c:formatCode>
                <c:ptCount val="32"/>
                <c:pt idx="0">
                  <c:v>3170004.7874319092</c:v>
                </c:pt>
                <c:pt idx="1">
                  <c:v>2323680.0903636711</c:v>
                </c:pt>
                <c:pt idx="2">
                  <c:v>1425797.6860989905</c:v>
                </c:pt>
                <c:pt idx="3">
                  <c:v>817261.03201919969</c:v>
                </c:pt>
                <c:pt idx="4">
                  <c:v>771464.84541079984</c:v>
                </c:pt>
                <c:pt idx="5">
                  <c:v>2507930.7192032491</c:v>
                </c:pt>
                <c:pt idx="6">
                  <c:v>2014584.7924843796</c:v>
                </c:pt>
                <c:pt idx="7">
                  <c:v>1702879.4326952205</c:v>
                </c:pt>
                <c:pt idx="8">
                  <c:v>1051006.2257197099</c:v>
                </c:pt>
                <c:pt idx="9">
                  <c:v>1859296.1858809001</c:v>
                </c:pt>
                <c:pt idx="10">
                  <c:v>1527291.0208316501</c:v>
                </c:pt>
                <c:pt idx="11">
                  <c:v>1456614.4476146987</c:v>
                </c:pt>
                <c:pt idx="12">
                  <c:v>1516570.9519685498</c:v>
                </c:pt>
                <c:pt idx="13">
                  <c:v>2185680.2554577794</c:v>
                </c:pt>
                <c:pt idx="14">
                  <c:v>1920836.3034087303</c:v>
                </c:pt>
                <c:pt idx="15">
                  <c:v>1937904.0291686002</c:v>
                </c:pt>
                <c:pt idx="16">
                  <c:v>2909574.3205151493</c:v>
                </c:pt>
                <c:pt idx="17">
                  <c:v>2343668.3068354102</c:v>
                </c:pt>
                <c:pt idx="18">
                  <c:v>2838886.4132012911</c:v>
                </c:pt>
                <c:pt idx="19">
                  <c:v>1498862.4204232795</c:v>
                </c:pt>
                <c:pt idx="20">
                  <c:v>1204411.4472212794</c:v>
                </c:pt>
                <c:pt idx="21">
                  <c:v>3766982.2522946955</c:v>
                </c:pt>
                <c:pt idx="22">
                  <c:v>1306224.1684707608</c:v>
                </c:pt>
                <c:pt idx="23">
                  <c:v>2369830.9453073414</c:v>
                </c:pt>
                <c:pt idx="24">
                  <c:v>1500044.8068743302</c:v>
                </c:pt>
                <c:pt idx="25">
                  <c:v>1348200.5414636699</c:v>
                </c:pt>
                <c:pt idx="26">
                  <c:v>2133261.8790593077</c:v>
                </c:pt>
                <c:pt idx="27">
                  <c:v>827882.61762357026</c:v>
                </c:pt>
                <c:pt idx="28">
                  <c:v>2063272.6413484295</c:v>
                </c:pt>
                <c:pt idx="29">
                  <c:v>3034156.9775158088</c:v>
                </c:pt>
                <c:pt idx="30">
                  <c:v>4236069.5848269397</c:v>
                </c:pt>
                <c:pt idx="31">
                  <c:v>3651006.2084904104</c:v>
                </c:pt>
              </c:numCache>
            </c:numRef>
          </c:yVal>
          <c:smooth val="0"/>
          <c:extLst>
            <c:ext xmlns:c16="http://schemas.microsoft.com/office/drawing/2014/chart" uri="{C3380CC4-5D6E-409C-BE32-E72D297353CC}">
              <c16:uniqueId val="{00000003-35D8-4346-8B40-F4B82E66A1E7}"/>
            </c:ext>
          </c:extLst>
        </c:ser>
        <c:ser>
          <c:idx val="3"/>
          <c:order val="2"/>
          <c:tx>
            <c:strRef>
              <c:f>Wahoo!$J$3</c:f>
              <c:strCache>
                <c:ptCount val="1"/>
                <c:pt idx="0">
                  <c:v>New Wgt ABC</c:v>
                </c:pt>
              </c:strCache>
            </c:strRef>
          </c:tx>
          <c:spPr>
            <a:ln w="38100">
              <a:solidFill>
                <a:schemeClr val="tx1"/>
              </a:solidFill>
            </a:ln>
          </c:spPr>
          <c:marker>
            <c:symbol val="none"/>
          </c:marker>
          <c:xVal>
            <c:numRef>
              <c:f>Wahoo!$D$4:$D$35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Wahoo!$J$4:$J$35</c:f>
              <c:numCache>
                <c:formatCode>#,##0</c:formatCode>
                <c:ptCount val="32"/>
                <c:pt idx="26">
                  <c:v>2011878.1029466104</c:v>
                </c:pt>
                <c:pt idx="27">
                  <c:v>2011878.1029466104</c:v>
                </c:pt>
                <c:pt idx="28">
                  <c:v>2011878.1029466104</c:v>
                </c:pt>
                <c:pt idx="29">
                  <c:v>2011878.1029466104</c:v>
                </c:pt>
                <c:pt idx="30">
                  <c:v>2011878.1029466104</c:v>
                </c:pt>
                <c:pt idx="31">
                  <c:v>2011878.1029466104</c:v>
                </c:pt>
              </c:numCache>
            </c:numRef>
          </c:yVal>
          <c:smooth val="0"/>
          <c:extLst>
            <c:ext xmlns:c16="http://schemas.microsoft.com/office/drawing/2014/chart" uri="{C3380CC4-5D6E-409C-BE32-E72D297353CC}">
              <c16:uniqueId val="{00000005-35D8-4346-8B40-F4B82E66A1E7}"/>
            </c:ext>
          </c:extLst>
        </c:ser>
        <c:ser>
          <c:idx val="4"/>
          <c:order val="3"/>
          <c:tx>
            <c:strRef>
              <c:f>Wahoo!$K$1</c:f>
              <c:strCache>
                <c:ptCount val="1"/>
                <c:pt idx="0">
                  <c:v>3rd Highest</c:v>
                </c:pt>
              </c:strCache>
              <c:extLst xmlns:c15="http://schemas.microsoft.com/office/drawing/2012/chart"/>
            </c:strRef>
          </c:tx>
          <c:spPr>
            <a:ln>
              <a:solidFill>
                <a:srgbClr val="7030A0"/>
              </a:solidFill>
            </a:ln>
          </c:spPr>
          <c:marker>
            <c:symbol val="none"/>
          </c:marker>
          <c:xVal>
            <c:numRef>
              <c:f>Wahoo!$D$4:$D$35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extLst xmlns:c15="http://schemas.microsoft.com/office/drawing/2012/chart"/>
            </c:numRef>
          </c:xVal>
          <c:yVal>
            <c:numRef>
              <c:f>Wahoo!$K$4:$K$35</c:f>
              <c:numCache>
                <c:formatCode>General</c:formatCode>
                <c:ptCount val="32"/>
                <c:pt idx="26" formatCode="#,##0">
                  <c:v>2185680.2554577794</c:v>
                </c:pt>
                <c:pt idx="27" formatCode="#,##0">
                  <c:v>2185680.2554577794</c:v>
                </c:pt>
                <c:pt idx="28" formatCode="#,##0">
                  <c:v>2185680.2554577794</c:v>
                </c:pt>
                <c:pt idx="29" formatCode="#,##0">
                  <c:v>2185680.2554577794</c:v>
                </c:pt>
                <c:pt idx="30" formatCode="#,##0">
                  <c:v>2185680.2554577794</c:v>
                </c:pt>
                <c:pt idx="31" formatCode="#,##0">
                  <c:v>2185680.2554577794</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35D8-4346-8B40-F4B82E66A1E7}"/>
            </c:ext>
          </c:extLst>
        </c:ser>
        <c:dLbls>
          <c:showLegendKey val="0"/>
          <c:showVal val="0"/>
          <c:showCatName val="0"/>
          <c:showSerName val="0"/>
          <c:showPercent val="0"/>
          <c:showBubbleSize val="0"/>
        </c:dLbls>
        <c:axId val="345433216"/>
        <c:axId val="345433792"/>
        <c:extLst/>
      </c:scatterChart>
      <c:valAx>
        <c:axId val="345433216"/>
        <c:scaling>
          <c:orientation val="minMax"/>
          <c:max val="2017"/>
          <c:min val="1986"/>
        </c:scaling>
        <c:delete val="0"/>
        <c:axPos val="b"/>
        <c:numFmt formatCode="General" sourceLinked="1"/>
        <c:majorTickMark val="out"/>
        <c:minorTickMark val="none"/>
        <c:tickLblPos val="nextTo"/>
        <c:crossAx val="345433792"/>
        <c:crosses val="autoZero"/>
        <c:crossBetween val="midCat"/>
      </c:valAx>
      <c:valAx>
        <c:axId val="345433792"/>
        <c:scaling>
          <c:orientation val="minMax"/>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Recreational Landings</a:t>
            </a:r>
          </a:p>
        </c:rich>
      </c:tx>
      <c:overlay val="0"/>
    </c:title>
    <c:autoTitleDeleted val="0"/>
    <c:plotArea>
      <c:layout/>
      <c:areaChart>
        <c:grouping val="standard"/>
        <c:varyColors val="0"/>
        <c:ser>
          <c:idx val="2"/>
          <c:order val="3"/>
          <c:tx>
            <c:strRef>
              <c:f>Wahoo!$G$3</c:f>
              <c:strCache>
                <c:ptCount val="1"/>
                <c:pt idx="0">
                  <c:v>Commercial</c:v>
                </c:pt>
              </c:strCache>
            </c:strRef>
          </c:tx>
          <c:cat>
            <c:numRef>
              <c:f>Wahoo!$D$4:$D$35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Wahoo!$G$4:$G$35</c:f>
              <c:numCache>
                <c:formatCode>#,##0</c:formatCode>
                <c:ptCount val="32"/>
                <c:pt idx="0">
                  <c:v>26713</c:v>
                </c:pt>
                <c:pt idx="1">
                  <c:v>51750</c:v>
                </c:pt>
                <c:pt idx="2">
                  <c:v>53164</c:v>
                </c:pt>
                <c:pt idx="3">
                  <c:v>39028</c:v>
                </c:pt>
                <c:pt idx="4">
                  <c:v>53829</c:v>
                </c:pt>
                <c:pt idx="5">
                  <c:v>61126</c:v>
                </c:pt>
                <c:pt idx="6">
                  <c:v>66739</c:v>
                </c:pt>
                <c:pt idx="7">
                  <c:v>71960</c:v>
                </c:pt>
                <c:pt idx="8">
                  <c:v>84966</c:v>
                </c:pt>
                <c:pt idx="9">
                  <c:v>107497</c:v>
                </c:pt>
                <c:pt idx="10">
                  <c:v>83451</c:v>
                </c:pt>
                <c:pt idx="11">
                  <c:v>93135</c:v>
                </c:pt>
                <c:pt idx="12">
                  <c:v>77964</c:v>
                </c:pt>
                <c:pt idx="13">
                  <c:v>99767</c:v>
                </c:pt>
                <c:pt idx="14">
                  <c:v>65887</c:v>
                </c:pt>
                <c:pt idx="15">
                  <c:v>59215</c:v>
                </c:pt>
                <c:pt idx="16">
                  <c:v>59288</c:v>
                </c:pt>
                <c:pt idx="17">
                  <c:v>58832</c:v>
                </c:pt>
                <c:pt idx="18">
                  <c:v>65943</c:v>
                </c:pt>
                <c:pt idx="19">
                  <c:v>46543</c:v>
                </c:pt>
                <c:pt idx="20">
                  <c:v>40177</c:v>
                </c:pt>
                <c:pt idx="21">
                  <c:v>59144</c:v>
                </c:pt>
                <c:pt idx="22">
                  <c:v>42211</c:v>
                </c:pt>
                <c:pt idx="23">
                  <c:v>45617</c:v>
                </c:pt>
                <c:pt idx="24">
                  <c:v>43630</c:v>
                </c:pt>
                <c:pt idx="25">
                  <c:v>60967</c:v>
                </c:pt>
                <c:pt idx="26">
                  <c:v>66618</c:v>
                </c:pt>
                <c:pt idx="27">
                  <c:v>65738</c:v>
                </c:pt>
                <c:pt idx="28">
                  <c:v>62458</c:v>
                </c:pt>
                <c:pt idx="29">
                  <c:v>64490</c:v>
                </c:pt>
                <c:pt idx="30">
                  <c:v>67609</c:v>
                </c:pt>
                <c:pt idx="31">
                  <c:v>55079</c:v>
                </c:pt>
              </c:numCache>
            </c:numRef>
          </c:val>
          <c:extLst>
            <c:ext xmlns:c16="http://schemas.microsoft.com/office/drawing/2014/chart" uri="{C3380CC4-5D6E-409C-BE32-E72D297353CC}">
              <c16:uniqueId val="{00000002-F3C9-4AA9-8D99-3AF78CA58DD2}"/>
            </c:ext>
          </c:extLst>
        </c:ser>
        <c:dLbls>
          <c:showLegendKey val="0"/>
          <c:showVal val="0"/>
          <c:showCatName val="0"/>
          <c:showSerName val="0"/>
          <c:showPercent val="0"/>
          <c:showBubbleSize val="0"/>
        </c:dLbls>
        <c:axId val="345433216"/>
        <c:axId val="345433792"/>
      </c:areaChart>
      <c:lineChart>
        <c:grouping val="standard"/>
        <c:varyColors val="0"/>
        <c:ser>
          <c:idx val="1"/>
          <c:order val="0"/>
          <c:tx>
            <c:strRef>
              <c:f>Wahoo!$F$3</c:f>
              <c:strCache>
                <c:ptCount val="1"/>
                <c:pt idx="0">
                  <c:v>New Wgt Rec</c:v>
                </c:pt>
              </c:strCache>
            </c:strRef>
          </c:tx>
          <c:spPr>
            <a:ln>
              <a:solidFill>
                <a:schemeClr val="accent5"/>
              </a:solidFill>
            </a:ln>
          </c:spPr>
          <c:marker>
            <c:spPr>
              <a:solidFill>
                <a:schemeClr val="accent5"/>
              </a:solidFill>
              <a:ln>
                <a:solidFill>
                  <a:schemeClr val="accent5"/>
                </a:solidFill>
              </a:ln>
            </c:spPr>
          </c:marker>
          <c:cat>
            <c:numRef>
              <c:f>Wahoo!$AB$30:$AB$61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Wahoo!$F$4:$F$35</c:f>
              <c:numCache>
                <c:formatCode>#,##0</c:formatCode>
                <c:ptCount val="32"/>
                <c:pt idx="0">
                  <c:v>2890813.414933701</c:v>
                </c:pt>
                <c:pt idx="1">
                  <c:v>2210418.4654296702</c:v>
                </c:pt>
                <c:pt idx="2">
                  <c:v>1193626.6537249899</c:v>
                </c:pt>
                <c:pt idx="3">
                  <c:v>772699.91482479987</c:v>
                </c:pt>
                <c:pt idx="4">
                  <c:v>635859.26021339989</c:v>
                </c:pt>
                <c:pt idx="5">
                  <c:v>2152730.9742541499</c:v>
                </c:pt>
                <c:pt idx="6">
                  <c:v>1348369.7480908902</c:v>
                </c:pt>
                <c:pt idx="7">
                  <c:v>1190306.8727517999</c:v>
                </c:pt>
                <c:pt idx="8">
                  <c:v>841493.17671919998</c:v>
                </c:pt>
                <c:pt idx="9">
                  <c:v>1664387.6354011006</c:v>
                </c:pt>
                <c:pt idx="10">
                  <c:v>1538037.8369359504</c:v>
                </c:pt>
                <c:pt idx="11">
                  <c:v>1119084.3172153796</c:v>
                </c:pt>
                <c:pt idx="12">
                  <c:v>1347229.5631423101</c:v>
                </c:pt>
                <c:pt idx="13">
                  <c:v>1912111.1029466104</c:v>
                </c:pt>
                <c:pt idx="14">
                  <c:v>1789952.2365002602</c:v>
                </c:pt>
                <c:pt idx="15">
                  <c:v>1807267.8828791506</c:v>
                </c:pt>
                <c:pt idx="16">
                  <c:v>2826015.1330168797</c:v>
                </c:pt>
                <c:pt idx="17">
                  <c:v>1997482.3799314406</c:v>
                </c:pt>
                <c:pt idx="18">
                  <c:v>3114115.12191037</c:v>
                </c:pt>
                <c:pt idx="19">
                  <c:v>1676169.9036722297</c:v>
                </c:pt>
                <c:pt idx="20">
                  <c:v>1061304.24713195</c:v>
                </c:pt>
                <c:pt idx="21">
                  <c:v>3687037.7622820162</c:v>
                </c:pt>
                <c:pt idx="22">
                  <c:v>1194215.2401378602</c:v>
                </c:pt>
                <c:pt idx="23">
                  <c:v>2303485.6495041414</c:v>
                </c:pt>
                <c:pt idx="24">
                  <c:v>1251994.52733358</c:v>
                </c:pt>
                <c:pt idx="25">
                  <c:v>1329856.1411243698</c:v>
                </c:pt>
                <c:pt idx="26">
                  <c:v>2051665.1577607081</c:v>
                </c:pt>
                <c:pt idx="27">
                  <c:v>720372.43528469</c:v>
                </c:pt>
                <c:pt idx="28">
                  <c:v>1709780.3196001402</c:v>
                </c:pt>
                <c:pt idx="29">
                  <c:v>2926723.9365142998</c:v>
                </c:pt>
                <c:pt idx="30">
                  <c:v>5000100.638781731</c:v>
                </c:pt>
                <c:pt idx="31">
                  <c:v>3556120.5908464803</c:v>
                </c:pt>
              </c:numCache>
            </c:numRef>
          </c:val>
          <c:smooth val="0"/>
          <c:extLst>
            <c:ext xmlns:c16="http://schemas.microsoft.com/office/drawing/2014/chart" uri="{C3380CC4-5D6E-409C-BE32-E72D297353CC}">
              <c16:uniqueId val="{00000001-F3C9-4AA9-8D99-3AF78CA58DD2}"/>
            </c:ext>
          </c:extLst>
        </c:ser>
        <c:ser>
          <c:idx val="5"/>
          <c:order val="1"/>
          <c:tx>
            <c:strRef>
              <c:f>Wahoo!$I$3</c:f>
              <c:strCache>
                <c:ptCount val="1"/>
                <c:pt idx="0">
                  <c:v>Orig FES Rec</c:v>
                </c:pt>
              </c:strCache>
            </c:strRef>
          </c:tx>
          <c:cat>
            <c:numRef>
              <c:f>Wahoo!$AB$30:$AB$61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Wahoo!$I$4:$I$35</c:f>
              <c:numCache>
                <c:formatCode>#,##0</c:formatCode>
                <c:ptCount val="32"/>
                <c:pt idx="0">
                  <c:v>3143291.7874319092</c:v>
                </c:pt>
                <c:pt idx="1">
                  <c:v>2271930.0903636711</c:v>
                </c:pt>
                <c:pt idx="2">
                  <c:v>1372633.6860989905</c:v>
                </c:pt>
                <c:pt idx="3">
                  <c:v>778233.03201919969</c:v>
                </c:pt>
                <c:pt idx="4">
                  <c:v>717635.84541079984</c:v>
                </c:pt>
                <c:pt idx="5">
                  <c:v>2446804.7192032491</c:v>
                </c:pt>
                <c:pt idx="6">
                  <c:v>1947845.7924843796</c:v>
                </c:pt>
                <c:pt idx="7">
                  <c:v>1630919.4326952205</c:v>
                </c:pt>
                <c:pt idx="8">
                  <c:v>966040.22571970976</c:v>
                </c:pt>
                <c:pt idx="9">
                  <c:v>1751799.1858809001</c:v>
                </c:pt>
                <c:pt idx="10">
                  <c:v>1443840.0208316501</c:v>
                </c:pt>
                <c:pt idx="11">
                  <c:v>1363479.4476146987</c:v>
                </c:pt>
                <c:pt idx="12">
                  <c:v>1438606.9519685498</c:v>
                </c:pt>
                <c:pt idx="13">
                  <c:v>2085913.2554577794</c:v>
                </c:pt>
                <c:pt idx="14">
                  <c:v>1854949.3034087303</c:v>
                </c:pt>
                <c:pt idx="15">
                  <c:v>1878689.0291686002</c:v>
                </c:pt>
                <c:pt idx="16">
                  <c:v>2850286.3205151493</c:v>
                </c:pt>
                <c:pt idx="17">
                  <c:v>2284836.3068354102</c:v>
                </c:pt>
                <c:pt idx="18">
                  <c:v>2772943.4132012911</c:v>
                </c:pt>
                <c:pt idx="19">
                  <c:v>1452319.4204232795</c:v>
                </c:pt>
                <c:pt idx="20">
                  <c:v>1164234.4472212794</c:v>
                </c:pt>
                <c:pt idx="21">
                  <c:v>3707838.2522946955</c:v>
                </c:pt>
                <c:pt idx="22">
                  <c:v>1264013.1684707608</c:v>
                </c:pt>
                <c:pt idx="23">
                  <c:v>2324213.9453073414</c:v>
                </c:pt>
                <c:pt idx="24">
                  <c:v>1456414.8068743302</c:v>
                </c:pt>
                <c:pt idx="25">
                  <c:v>1287233.5414636699</c:v>
                </c:pt>
                <c:pt idx="26">
                  <c:v>2066643.8790593077</c:v>
                </c:pt>
                <c:pt idx="27">
                  <c:v>762144.61762357026</c:v>
                </c:pt>
                <c:pt idx="28">
                  <c:v>2000814.6413484295</c:v>
                </c:pt>
                <c:pt idx="29">
                  <c:v>2969666.9775158088</c:v>
                </c:pt>
                <c:pt idx="30">
                  <c:v>4168460.5848269397</c:v>
                </c:pt>
                <c:pt idx="31">
                  <c:v>3595927.2084904104</c:v>
                </c:pt>
              </c:numCache>
            </c:numRef>
          </c:val>
          <c:smooth val="0"/>
          <c:extLst>
            <c:ext xmlns:c16="http://schemas.microsoft.com/office/drawing/2014/chart" uri="{C3380CC4-5D6E-409C-BE32-E72D297353CC}">
              <c16:uniqueId val="{00000004-F3C9-4AA9-8D99-3AF78CA58DD2}"/>
            </c:ext>
          </c:extLst>
        </c:ser>
        <c:ser>
          <c:idx val="0"/>
          <c:order val="2"/>
          <c:tx>
            <c:strRef>
              <c:f>Wahoo!$AI$29</c:f>
              <c:strCache>
                <c:ptCount val="1"/>
                <c:pt idx="0">
                  <c:v>MRIP+HB</c:v>
                </c:pt>
              </c:strCache>
            </c:strRef>
          </c:tx>
          <c:spPr>
            <a:ln>
              <a:solidFill>
                <a:schemeClr val="bg1">
                  <a:lumMod val="50000"/>
                </a:schemeClr>
              </a:solidFill>
            </a:ln>
          </c:spPr>
          <c:marker>
            <c:symbol val="star"/>
            <c:size val="8"/>
            <c:spPr>
              <a:ln w="15875">
                <a:solidFill>
                  <a:schemeClr val="bg1">
                    <a:lumMod val="50000"/>
                  </a:schemeClr>
                </a:solidFill>
              </a:ln>
            </c:spPr>
          </c:marker>
          <c:cat>
            <c:numRef>
              <c:f>Wahoo!$AB$30:$AB$61</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cat>
          <c:val>
            <c:numRef>
              <c:f>Wahoo!$AI$30:$AI$61</c:f>
              <c:numCache>
                <c:formatCode>#,##0</c:formatCode>
                <c:ptCount val="32"/>
                <c:pt idx="0">
                  <c:v>2818243.3760749605</c:v>
                </c:pt>
                <c:pt idx="1">
                  <c:v>2223564.1413926976</c:v>
                </c:pt>
                <c:pt idx="3">
                  <c:v>986680.24275471363</c:v>
                </c:pt>
                <c:pt idx="4">
                  <c:v>506148.22597096767</c:v>
                </c:pt>
                <c:pt idx="5">
                  <c:v>2158567.2494212706</c:v>
                </c:pt>
                <c:pt idx="7">
                  <c:v>1265559.9371263459</c:v>
                </c:pt>
                <c:pt idx="8">
                  <c:v>994406.4041827732</c:v>
                </c:pt>
                <c:pt idx="9">
                  <c:v>1892856.2406929603</c:v>
                </c:pt>
                <c:pt idx="10">
                  <c:v>1626650.1496862478</c:v>
                </c:pt>
                <c:pt idx="11">
                  <c:v>1180819.5439061897</c:v>
                </c:pt>
                <c:pt idx="12">
                  <c:v>1206216.4056023802</c:v>
                </c:pt>
                <c:pt idx="13">
                  <c:v>1648888.4037384472</c:v>
                </c:pt>
                <c:pt idx="14">
                  <c:v>1674509.3537302336</c:v>
                </c:pt>
                <c:pt idx="15">
                  <c:v>1617303.8816631534</c:v>
                </c:pt>
                <c:pt idx="16">
                  <c:v>2274780.1435572859</c:v>
                </c:pt>
                <c:pt idx="17">
                  <c:v>1828324.4225713981</c:v>
                </c:pt>
                <c:pt idx="18">
                  <c:v>2633260.0638290578</c:v>
                </c:pt>
                <c:pt idx="19">
                  <c:v>1554052.5622321186</c:v>
                </c:pt>
                <c:pt idx="20">
                  <c:v>1024616.8399375567</c:v>
                </c:pt>
                <c:pt idx="21">
                  <c:v>3786867.0162698566</c:v>
                </c:pt>
                <c:pt idx="22">
                  <c:v>1139840.4213753776</c:v>
                </c:pt>
                <c:pt idx="23">
                  <c:v>2653968.7542930916</c:v>
                </c:pt>
                <c:pt idx="24">
                  <c:v>1270148.353217134</c:v>
                </c:pt>
                <c:pt idx="25">
                  <c:v>1073944.155563191</c:v>
                </c:pt>
                <c:pt idx="26">
                  <c:v>1569173.3053112254</c:v>
                </c:pt>
                <c:pt idx="27">
                  <c:v>563179.77874829469</c:v>
                </c:pt>
                <c:pt idx="28">
                  <c:v>1665137.1431800486</c:v>
                </c:pt>
                <c:pt idx="29">
                  <c:v>2112000.1991381454</c:v>
                </c:pt>
                <c:pt idx="30">
                  <c:v>5256689.1200676262</c:v>
                </c:pt>
                <c:pt idx="31">
                  <c:v>2319752.3278428027</c:v>
                </c:pt>
              </c:numCache>
            </c:numRef>
          </c:val>
          <c:smooth val="0"/>
          <c:extLst>
            <c:ext xmlns:c16="http://schemas.microsoft.com/office/drawing/2014/chart" uri="{C3380CC4-5D6E-409C-BE32-E72D297353CC}">
              <c16:uniqueId val="{00000000-722E-485F-BE43-4E7E92818EB4}"/>
            </c:ext>
          </c:extLst>
        </c:ser>
        <c:dLbls>
          <c:showLegendKey val="0"/>
          <c:showVal val="0"/>
          <c:showCatName val="0"/>
          <c:showSerName val="0"/>
          <c:showPercent val="0"/>
          <c:showBubbleSize val="0"/>
        </c:dLbls>
        <c:marker val="1"/>
        <c:smooth val="0"/>
        <c:axId val="345433216"/>
        <c:axId val="345433792"/>
      </c:lineChart>
      <c:catAx>
        <c:axId val="345433216"/>
        <c:scaling>
          <c:orientation val="minMax"/>
        </c:scaling>
        <c:delete val="0"/>
        <c:axPos val="b"/>
        <c:numFmt formatCode="General" sourceLinked="1"/>
        <c:majorTickMark val="out"/>
        <c:minorTickMark val="none"/>
        <c:tickLblPos val="nextTo"/>
        <c:crossAx val="345433792"/>
        <c:crosses val="autoZero"/>
        <c:auto val="1"/>
        <c:lblAlgn val="ctr"/>
        <c:lblOffset val="100"/>
        <c:noMultiLvlLbl val="1"/>
      </c:catAx>
      <c:valAx>
        <c:axId val="345433792"/>
        <c:scaling>
          <c:orientation val="minMax"/>
          <c:max val="5100000"/>
          <c:min val="0"/>
        </c:scaling>
        <c:delete val="0"/>
        <c:axPos val="l"/>
        <c:majorGridlines/>
        <c:numFmt formatCode="#,##0" sourceLinked="1"/>
        <c:majorTickMark val="out"/>
        <c:minorTickMark val="none"/>
        <c:tickLblPos val="nextTo"/>
        <c:crossAx val="3454332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Wahoo MRIP</a:t>
            </a:r>
            <a:r>
              <a:rPr lang="en-US" baseline="0"/>
              <a:t> CPUE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Wahoo!$AP$1</c:f>
              <c:strCache>
                <c:ptCount val="1"/>
                <c:pt idx="0">
                  <c:v>Nominal CPUE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Wahoo!$AO$2:$AO$39</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xVal>
          <c:yVal>
            <c:numRef>
              <c:f>Wahoo!$AP$2:$AP$39</c:f>
              <c:numCache>
                <c:formatCode>General</c:formatCode>
                <c:ptCount val="38"/>
                <c:pt idx="0">
                  <c:v>1.1551199240590564</c:v>
                </c:pt>
                <c:pt idx="1">
                  <c:v>0.79167199930295118</c:v>
                </c:pt>
                <c:pt idx="2">
                  <c:v>1.7615158047026425</c:v>
                </c:pt>
                <c:pt idx="3">
                  <c:v>0.47459014991718357</c:v>
                </c:pt>
                <c:pt idx="4">
                  <c:v>0.53947255726885346</c:v>
                </c:pt>
                <c:pt idx="5">
                  <c:v>1.2704188353294692</c:v>
                </c:pt>
                <c:pt idx="6">
                  <c:v>1.4455018358841465</c:v>
                </c:pt>
                <c:pt idx="7">
                  <c:v>1.3062281061061893</c:v>
                </c:pt>
                <c:pt idx="8">
                  <c:v>0.48802532026317647</c:v>
                </c:pt>
                <c:pt idx="9">
                  <c:v>0.32213080545900463</c:v>
                </c:pt>
                <c:pt idx="10">
                  <c:v>1.0397935944242527</c:v>
                </c:pt>
                <c:pt idx="11">
                  <c:v>1.0393993382210809</c:v>
                </c:pt>
                <c:pt idx="12">
                  <c:v>0.90147792723785991</c:v>
                </c:pt>
                <c:pt idx="13">
                  <c:v>0.48018078035140715</c:v>
                </c:pt>
                <c:pt idx="14">
                  <c:v>1.1320425360440871</c:v>
                </c:pt>
                <c:pt idx="15">
                  <c:v>1.153890422163115</c:v>
                </c:pt>
                <c:pt idx="16">
                  <c:v>0.85511710907848981</c:v>
                </c:pt>
                <c:pt idx="17">
                  <c:v>0.98983008285723639</c:v>
                </c:pt>
                <c:pt idx="18">
                  <c:v>1.1851939775556843</c:v>
                </c:pt>
                <c:pt idx="19">
                  <c:v>0.95517959180191281</c:v>
                </c:pt>
                <c:pt idx="20">
                  <c:v>0.89547978232543135</c:v>
                </c:pt>
                <c:pt idx="21">
                  <c:v>1.3501145262792145</c:v>
                </c:pt>
                <c:pt idx="22">
                  <c:v>1.0899232079026826</c:v>
                </c:pt>
                <c:pt idx="23">
                  <c:v>1.2350691199102179</c:v>
                </c:pt>
                <c:pt idx="24">
                  <c:v>1.0294368410588604</c:v>
                </c:pt>
                <c:pt idx="25">
                  <c:v>0.93299059139870155</c:v>
                </c:pt>
                <c:pt idx="26">
                  <c:v>2.3416365157358534</c:v>
                </c:pt>
                <c:pt idx="27">
                  <c:v>0.86205859779396099</c:v>
                </c:pt>
                <c:pt idx="28">
                  <c:v>0.9889813771761321</c:v>
                </c:pt>
                <c:pt idx="29">
                  <c:v>0.78613797579668476</c:v>
                </c:pt>
                <c:pt idx="30">
                  <c:v>0.62551811084614473</c:v>
                </c:pt>
                <c:pt idx="31">
                  <c:v>0.95597730293847205</c:v>
                </c:pt>
                <c:pt idx="32">
                  <c:v>0.38910842839204168</c:v>
                </c:pt>
                <c:pt idx="33">
                  <c:v>0.70309368291955709</c:v>
                </c:pt>
                <c:pt idx="34">
                  <c:v>1.076440483056158</c:v>
                </c:pt>
                <c:pt idx="35">
                  <c:v>1.5772989050025517</c:v>
                </c:pt>
                <c:pt idx="36">
                  <c:v>1.1470952516706028</c:v>
                </c:pt>
                <c:pt idx="37">
                  <c:v>0.28153394006160387</c:v>
                </c:pt>
              </c:numCache>
            </c:numRef>
          </c:yVal>
          <c:smooth val="0"/>
          <c:extLst>
            <c:ext xmlns:c16="http://schemas.microsoft.com/office/drawing/2014/chart" uri="{C3380CC4-5D6E-409C-BE32-E72D297353CC}">
              <c16:uniqueId val="{00000000-8DA2-4AFD-B0CC-55A15DCBF1AA}"/>
            </c:ext>
          </c:extLst>
        </c:ser>
        <c:ser>
          <c:idx val="1"/>
          <c:order val="1"/>
          <c:tx>
            <c:strRef>
              <c:f>Wahoo!$AQ$1</c:f>
              <c:strCache>
                <c:ptCount val="1"/>
                <c:pt idx="0">
                  <c:v>Stand GLM</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Wahoo!$AR$2:$AR$39</c:f>
                <c:numCache>
                  <c:formatCode>General</c:formatCode>
                  <c:ptCount val="38"/>
                  <c:pt idx="0">
                    <c:v>0.11678631116638778</c:v>
                  </c:pt>
                  <c:pt idx="1">
                    <c:v>3.5543471269700373E-2</c:v>
                  </c:pt>
                  <c:pt idx="2">
                    <c:v>0.23796848028203188</c:v>
                  </c:pt>
                  <c:pt idx="3">
                    <c:v>4.1567060810519821E-2</c:v>
                  </c:pt>
                  <c:pt idx="4">
                    <c:v>7.1677180700819701E-2</c:v>
                  </c:pt>
                  <c:pt idx="5">
                    <c:v>9.9749774126076052E-2</c:v>
                  </c:pt>
                  <c:pt idx="6">
                    <c:v>8.152061170203756E-2</c:v>
                  </c:pt>
                  <c:pt idx="7">
                    <c:v>7.1547049088750911E-2</c:v>
                  </c:pt>
                  <c:pt idx="8">
                    <c:v>1.6284695531945483E-2</c:v>
                  </c:pt>
                  <c:pt idx="9">
                    <c:v>1.8970425383446708E-2</c:v>
                  </c:pt>
                  <c:pt idx="10">
                    <c:v>0.13899440916230288</c:v>
                  </c:pt>
                  <c:pt idx="11">
                    <c:v>0.17632784960076628</c:v>
                  </c:pt>
                  <c:pt idx="12">
                    <c:v>0.14782585204040652</c:v>
                  </c:pt>
                  <c:pt idx="13">
                    <c:v>0.12382420644984579</c:v>
                  </c:pt>
                  <c:pt idx="14">
                    <c:v>0.18271573482830145</c:v>
                  </c:pt>
                  <c:pt idx="15">
                    <c:v>0.18907127345267119</c:v>
                  </c:pt>
                  <c:pt idx="16">
                    <c:v>0.13881607455306122</c:v>
                  </c:pt>
                  <c:pt idx="17">
                    <c:v>0.45081326608826061</c:v>
                  </c:pt>
                  <c:pt idx="18">
                    <c:v>0.50448121843791349</c:v>
                  </c:pt>
                  <c:pt idx="19">
                    <c:v>0.41908887125966032</c:v>
                  </c:pt>
                  <c:pt idx="20">
                    <c:v>0.19814473460605292</c:v>
                  </c:pt>
                  <c:pt idx="21">
                    <c:v>0.49753103173222818</c:v>
                  </c:pt>
                  <c:pt idx="22">
                    <c:v>0.36953527913767314</c:v>
                  </c:pt>
                  <c:pt idx="23">
                    <c:v>0.13571336169188405</c:v>
                  </c:pt>
                  <c:pt idx="24">
                    <c:v>7.7570778617248121E-2</c:v>
                  </c:pt>
                  <c:pt idx="25">
                    <c:v>0.14561876625361125</c:v>
                  </c:pt>
                  <c:pt idx="26">
                    <c:v>0.29506971575155494</c:v>
                  </c:pt>
                  <c:pt idx="27">
                    <c:v>0.15029675871584808</c:v>
                  </c:pt>
                  <c:pt idx="28">
                    <c:v>0.15368167879846714</c:v>
                  </c:pt>
                  <c:pt idx="29">
                    <c:v>9.8833141216114542E-2</c:v>
                  </c:pt>
                  <c:pt idx="30">
                    <c:v>0.18408383609898452</c:v>
                  </c:pt>
                  <c:pt idx="31">
                    <c:v>0.17443268659560668</c:v>
                  </c:pt>
                  <c:pt idx="32">
                    <c:v>4.550342125123686E-2</c:v>
                  </c:pt>
                  <c:pt idx="33">
                    <c:v>9.3937031667329474E-2</c:v>
                  </c:pt>
                  <c:pt idx="34">
                    <c:v>0.28096909436063139</c:v>
                  </c:pt>
                  <c:pt idx="35">
                    <c:v>0.20699858874168112</c:v>
                  </c:pt>
                  <c:pt idx="36">
                    <c:v>8.7781019239479438E-2</c:v>
                  </c:pt>
                  <c:pt idx="37">
                    <c:v>0.10415728537107426</c:v>
                  </c:pt>
                </c:numCache>
              </c:numRef>
            </c:plus>
            <c:minus>
              <c:numRef>
                <c:f>Wahoo!$AR$2:$AR$39</c:f>
                <c:numCache>
                  <c:formatCode>General</c:formatCode>
                  <c:ptCount val="38"/>
                  <c:pt idx="0">
                    <c:v>0.11678631116638778</c:v>
                  </c:pt>
                  <c:pt idx="1">
                    <c:v>3.5543471269700373E-2</c:v>
                  </c:pt>
                  <c:pt idx="2">
                    <c:v>0.23796848028203188</c:v>
                  </c:pt>
                  <c:pt idx="3">
                    <c:v>4.1567060810519821E-2</c:v>
                  </c:pt>
                  <c:pt idx="4">
                    <c:v>7.1677180700819701E-2</c:v>
                  </c:pt>
                  <c:pt idx="5">
                    <c:v>9.9749774126076052E-2</c:v>
                  </c:pt>
                  <c:pt idx="6">
                    <c:v>8.152061170203756E-2</c:v>
                  </c:pt>
                  <c:pt idx="7">
                    <c:v>7.1547049088750911E-2</c:v>
                  </c:pt>
                  <c:pt idx="8">
                    <c:v>1.6284695531945483E-2</c:v>
                  </c:pt>
                  <c:pt idx="9">
                    <c:v>1.8970425383446708E-2</c:v>
                  </c:pt>
                  <c:pt idx="10">
                    <c:v>0.13899440916230288</c:v>
                  </c:pt>
                  <c:pt idx="11">
                    <c:v>0.17632784960076628</c:v>
                  </c:pt>
                  <c:pt idx="12">
                    <c:v>0.14782585204040652</c:v>
                  </c:pt>
                  <c:pt idx="13">
                    <c:v>0.12382420644984579</c:v>
                  </c:pt>
                  <c:pt idx="14">
                    <c:v>0.18271573482830145</c:v>
                  </c:pt>
                  <c:pt idx="15">
                    <c:v>0.18907127345267119</c:v>
                  </c:pt>
                  <c:pt idx="16">
                    <c:v>0.13881607455306122</c:v>
                  </c:pt>
                  <c:pt idx="17">
                    <c:v>0.45081326608826061</c:v>
                  </c:pt>
                  <c:pt idx="18">
                    <c:v>0.50448121843791349</c:v>
                  </c:pt>
                  <c:pt idx="19">
                    <c:v>0.41908887125966032</c:v>
                  </c:pt>
                  <c:pt idx="20">
                    <c:v>0.19814473460605292</c:v>
                  </c:pt>
                  <c:pt idx="21">
                    <c:v>0.49753103173222818</c:v>
                  </c:pt>
                  <c:pt idx="22">
                    <c:v>0.36953527913767314</c:v>
                  </c:pt>
                  <c:pt idx="23">
                    <c:v>0.13571336169188405</c:v>
                  </c:pt>
                  <c:pt idx="24">
                    <c:v>7.7570778617248121E-2</c:v>
                  </c:pt>
                  <c:pt idx="25">
                    <c:v>0.14561876625361125</c:v>
                  </c:pt>
                  <c:pt idx="26">
                    <c:v>0.29506971575155494</c:v>
                  </c:pt>
                  <c:pt idx="27">
                    <c:v>0.15029675871584808</c:v>
                  </c:pt>
                  <c:pt idx="28">
                    <c:v>0.15368167879846714</c:v>
                  </c:pt>
                  <c:pt idx="29">
                    <c:v>9.8833141216114542E-2</c:v>
                  </c:pt>
                  <c:pt idx="30">
                    <c:v>0.18408383609898452</c:v>
                  </c:pt>
                  <c:pt idx="31">
                    <c:v>0.17443268659560668</c:v>
                  </c:pt>
                  <c:pt idx="32">
                    <c:v>4.550342125123686E-2</c:v>
                  </c:pt>
                  <c:pt idx="33">
                    <c:v>9.3937031667329474E-2</c:v>
                  </c:pt>
                  <c:pt idx="34">
                    <c:v>0.28096909436063139</c:v>
                  </c:pt>
                  <c:pt idx="35">
                    <c:v>0.20699858874168112</c:v>
                  </c:pt>
                  <c:pt idx="36">
                    <c:v>8.7781019239479438E-2</c:v>
                  </c:pt>
                  <c:pt idx="37">
                    <c:v>0.10415728537107426</c:v>
                  </c:pt>
                </c:numCache>
              </c:numRef>
            </c:minus>
            <c:spPr>
              <a:noFill/>
              <a:ln w="9525" cap="flat" cmpd="sng" algn="ctr">
                <a:solidFill>
                  <a:schemeClr val="tx1">
                    <a:lumMod val="65000"/>
                    <a:lumOff val="35000"/>
                  </a:schemeClr>
                </a:solidFill>
                <a:round/>
              </a:ln>
              <a:effectLst/>
            </c:spPr>
          </c:errBars>
          <c:xVal>
            <c:numRef>
              <c:f>Wahoo!$AO$2:$AO$39</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xVal>
          <c:yVal>
            <c:numRef>
              <c:f>Wahoo!$AQ$2:$AQ$39</c:f>
              <c:numCache>
                <c:formatCode>General</c:formatCode>
                <c:ptCount val="38"/>
                <c:pt idx="0">
                  <c:v>0.72618010938139566</c:v>
                </c:pt>
                <c:pt idx="1">
                  <c:v>0.15191325241389658</c:v>
                </c:pt>
                <c:pt idx="2">
                  <c:v>1.2168107803867063</c:v>
                </c:pt>
                <c:pt idx="3">
                  <c:v>0.21243196065176934</c:v>
                </c:pt>
                <c:pt idx="4">
                  <c:v>0.37842721188815687</c:v>
                </c:pt>
                <c:pt idx="5">
                  <c:v>0.66847305808129054</c:v>
                </c:pt>
                <c:pt idx="6">
                  <c:v>0.57310197817570441</c:v>
                </c:pt>
                <c:pt idx="7">
                  <c:v>0.42492787604893639</c:v>
                </c:pt>
                <c:pt idx="8">
                  <c:v>0.11297395241555411</c:v>
                </c:pt>
                <c:pt idx="9">
                  <c:v>0.11877942786223504</c:v>
                </c:pt>
                <c:pt idx="10">
                  <c:v>0.70323813787871803</c:v>
                </c:pt>
                <c:pt idx="11">
                  <c:v>0.84229709999932134</c:v>
                </c:pt>
                <c:pt idx="12">
                  <c:v>0.70889809482340405</c:v>
                </c:pt>
                <c:pt idx="13">
                  <c:v>0.59654371757902225</c:v>
                </c:pt>
                <c:pt idx="14">
                  <c:v>0.93525650627210055</c:v>
                </c:pt>
                <c:pt idx="15">
                  <c:v>0.91170642909281618</c:v>
                </c:pt>
                <c:pt idx="16">
                  <c:v>0.6413833423469103</c:v>
                </c:pt>
                <c:pt idx="17">
                  <c:v>2.3215208819611282</c:v>
                </c:pt>
                <c:pt idx="18">
                  <c:v>3.0359639899333848</c:v>
                </c:pt>
                <c:pt idx="19">
                  <c:v>2.7177018881815815</c:v>
                </c:pt>
                <c:pt idx="20">
                  <c:v>1.1440464727673236</c:v>
                </c:pt>
                <c:pt idx="21">
                  <c:v>2.849779601411881</c:v>
                </c:pt>
                <c:pt idx="22">
                  <c:v>2.103760689808003</c:v>
                </c:pt>
                <c:pt idx="23">
                  <c:v>0.76005214407119304</c:v>
                </c:pt>
                <c:pt idx="24">
                  <c:v>0.40359022453018767</c:v>
                </c:pt>
                <c:pt idx="25">
                  <c:v>0.74269027641323948</c:v>
                </c:pt>
                <c:pt idx="26">
                  <c:v>1.9411406289182942</c:v>
                </c:pt>
                <c:pt idx="27">
                  <c:v>0.89024935882361533</c:v>
                </c:pt>
                <c:pt idx="28">
                  <c:v>1.0170455865043786</c:v>
                </c:pt>
                <c:pt idx="29">
                  <c:v>0.5935311842331058</c:v>
                </c:pt>
                <c:pt idx="30">
                  <c:v>1.0903858960134651</c:v>
                </c:pt>
                <c:pt idx="31">
                  <c:v>1.0158241950514879</c:v>
                </c:pt>
                <c:pt idx="32">
                  <c:v>0.25656669918846425</c:v>
                </c:pt>
                <c:pt idx="33">
                  <c:v>0.61779198459160467</c:v>
                </c:pt>
                <c:pt idx="34">
                  <c:v>2.011988876277321</c:v>
                </c:pt>
                <c:pt idx="35">
                  <c:v>1.4191259446886979</c:v>
                </c:pt>
                <c:pt idx="36">
                  <c:v>0.57496980783319851</c:v>
                </c:pt>
                <c:pt idx="37">
                  <c:v>0.56893073350050993</c:v>
                </c:pt>
              </c:numCache>
            </c:numRef>
          </c:yVal>
          <c:smooth val="0"/>
          <c:extLst>
            <c:ext xmlns:c16="http://schemas.microsoft.com/office/drawing/2014/chart" uri="{C3380CC4-5D6E-409C-BE32-E72D297353CC}">
              <c16:uniqueId val="{00000001-8DA2-4AFD-B0CC-55A15DCBF1AA}"/>
            </c:ext>
          </c:extLst>
        </c:ser>
        <c:dLbls>
          <c:showLegendKey val="0"/>
          <c:showVal val="0"/>
          <c:showCatName val="0"/>
          <c:showSerName val="0"/>
          <c:showPercent val="0"/>
          <c:showBubbleSize val="0"/>
        </c:dLbls>
        <c:axId val="1168045727"/>
        <c:axId val="1205405839"/>
      </c:scatterChart>
      <c:valAx>
        <c:axId val="1168045727"/>
        <c:scaling>
          <c:orientation val="minMax"/>
          <c:max val="2018"/>
          <c:min val="1981"/>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405839"/>
        <c:crosses val="autoZero"/>
        <c:crossBetween val="midCat"/>
        <c:majorUnit val="2"/>
      </c:valAx>
      <c:valAx>
        <c:axId val="120540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8045727"/>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'GA-NC Hogfish'!$D$2</c:f>
              <c:strCache>
                <c:ptCount val="1"/>
                <c:pt idx="0">
                  <c:v>Total New Wgt</c:v>
                </c:pt>
              </c:strCache>
            </c:strRef>
          </c:tx>
          <c:xVal>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Hogfish'!$D$3:$D$34</c:f>
              <c:numCache>
                <c:formatCode>#,##0</c:formatCode>
                <c:ptCount val="32"/>
                <c:pt idx="0">
                  <c:v>39984.325427800002</c:v>
                </c:pt>
                <c:pt idx="1">
                  <c:v>13292.66173003</c:v>
                </c:pt>
                <c:pt idx="2">
                  <c:v>14133.775102600001</c:v>
                </c:pt>
                <c:pt idx="3">
                  <c:v>16144.67644379</c:v>
                </c:pt>
                <c:pt idx="4">
                  <c:v>35362.90586898</c:v>
                </c:pt>
                <c:pt idx="5">
                  <c:v>27067.149616000002</c:v>
                </c:pt>
                <c:pt idx="6">
                  <c:v>35071.015581722997</c:v>
                </c:pt>
                <c:pt idx="7">
                  <c:v>37424.074532400002</c:v>
                </c:pt>
                <c:pt idx="8">
                  <c:v>24346.35430879</c:v>
                </c:pt>
                <c:pt idx="9">
                  <c:v>107904.01589560001</c:v>
                </c:pt>
                <c:pt idx="10">
                  <c:v>18161.679134000002</c:v>
                </c:pt>
                <c:pt idx="11">
                  <c:v>27113.46494482</c:v>
                </c:pt>
                <c:pt idx="12">
                  <c:v>27366.694379200002</c:v>
                </c:pt>
                <c:pt idx="13">
                  <c:v>32728.102491770002</c:v>
                </c:pt>
                <c:pt idx="14">
                  <c:v>26534.991768075</c:v>
                </c:pt>
                <c:pt idx="15">
                  <c:v>15565.165086000001</c:v>
                </c:pt>
                <c:pt idx="16">
                  <c:v>29824.255493290002</c:v>
                </c:pt>
                <c:pt idx="17">
                  <c:v>18014.453414049</c:v>
                </c:pt>
                <c:pt idx="18">
                  <c:v>20969.563967999999</c:v>
                </c:pt>
                <c:pt idx="19">
                  <c:v>25198.0843695</c:v>
                </c:pt>
                <c:pt idx="20">
                  <c:v>32634.891861730001</c:v>
                </c:pt>
                <c:pt idx="21">
                  <c:v>26155.531178101999</c:v>
                </c:pt>
                <c:pt idx="22">
                  <c:v>33178.816266383998</c:v>
                </c:pt>
                <c:pt idx="23">
                  <c:v>35351.991875348998</c:v>
                </c:pt>
                <c:pt idx="24">
                  <c:v>49008.1700356</c:v>
                </c:pt>
                <c:pt idx="25">
                  <c:v>36591.86264721</c:v>
                </c:pt>
                <c:pt idx="26">
                  <c:v>26757.39993928</c:v>
                </c:pt>
                <c:pt idx="27">
                  <c:v>22452.115432679999</c:v>
                </c:pt>
                <c:pt idx="28">
                  <c:v>21368.809679999998</c:v>
                </c:pt>
                <c:pt idx="29">
                  <c:v>14653.0737058</c:v>
                </c:pt>
                <c:pt idx="30">
                  <c:v>17110.048195179999</c:v>
                </c:pt>
                <c:pt idx="31">
                  <c:v>23836.5395202</c:v>
                </c:pt>
              </c:numCache>
            </c:numRef>
          </c:yVal>
          <c:smooth val="0"/>
          <c:extLst>
            <c:ext xmlns:c16="http://schemas.microsoft.com/office/drawing/2014/chart" uri="{C3380CC4-5D6E-409C-BE32-E72D297353CC}">
              <c16:uniqueId val="{00000000-DEA3-4DA2-A436-1498BEEEA303}"/>
            </c:ext>
          </c:extLst>
        </c:ser>
        <c:ser>
          <c:idx val="3"/>
          <c:order val="1"/>
          <c:tx>
            <c:strRef>
              <c:f>'GA-NC Hogfish'!$G$2</c:f>
              <c:strCache>
                <c:ptCount val="1"/>
                <c:pt idx="0">
                  <c:v>Total Orig FES</c:v>
                </c:pt>
              </c:strCache>
            </c:strRef>
          </c:tx>
          <c:spPr>
            <a:ln>
              <a:solidFill>
                <a:schemeClr val="accent2"/>
              </a:solidFill>
            </a:ln>
          </c:spPr>
          <c:marker>
            <c:spPr>
              <a:ln>
                <a:solidFill>
                  <a:schemeClr val="accent2"/>
                </a:solidFill>
              </a:ln>
            </c:spPr>
          </c:marker>
          <c:xVal>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Hogfish'!$G$3:$G$34</c:f>
              <c:numCache>
                <c:formatCode>#,##0</c:formatCode>
                <c:ptCount val="32"/>
                <c:pt idx="0">
                  <c:v>38287.684454799994</c:v>
                </c:pt>
                <c:pt idx="1">
                  <c:v>13292.66173003</c:v>
                </c:pt>
                <c:pt idx="2">
                  <c:v>14133.463643499999</c:v>
                </c:pt>
                <c:pt idx="3">
                  <c:v>16144.60048995</c:v>
                </c:pt>
                <c:pt idx="4">
                  <c:v>35362.303570429998</c:v>
                </c:pt>
                <c:pt idx="5">
                  <c:v>27067.149616000002</c:v>
                </c:pt>
                <c:pt idx="6">
                  <c:v>35071.015581722997</c:v>
                </c:pt>
                <c:pt idx="7">
                  <c:v>37424.074532400002</c:v>
                </c:pt>
                <c:pt idx="8">
                  <c:v>24346.35430879</c:v>
                </c:pt>
                <c:pt idx="9">
                  <c:v>106114.59184959999</c:v>
                </c:pt>
                <c:pt idx="10">
                  <c:v>18134.849151999999</c:v>
                </c:pt>
                <c:pt idx="11">
                  <c:v>26980.373242819998</c:v>
                </c:pt>
                <c:pt idx="12">
                  <c:v>27366.694379199995</c:v>
                </c:pt>
                <c:pt idx="13">
                  <c:v>32728.102491770002</c:v>
                </c:pt>
                <c:pt idx="14">
                  <c:v>26493.715974631999</c:v>
                </c:pt>
                <c:pt idx="15">
                  <c:v>15491.972366</c:v>
                </c:pt>
                <c:pt idx="16">
                  <c:v>29563.164715289997</c:v>
                </c:pt>
                <c:pt idx="17">
                  <c:v>18014.453414049</c:v>
                </c:pt>
                <c:pt idx="18">
                  <c:v>20969.563967999999</c:v>
                </c:pt>
                <c:pt idx="19">
                  <c:v>25198.0843695</c:v>
                </c:pt>
                <c:pt idx="20">
                  <c:v>32634.891861729997</c:v>
                </c:pt>
                <c:pt idx="21">
                  <c:v>26155.531178101999</c:v>
                </c:pt>
                <c:pt idx="22">
                  <c:v>33178.816266383998</c:v>
                </c:pt>
                <c:pt idx="23">
                  <c:v>35351.991875348998</c:v>
                </c:pt>
                <c:pt idx="24">
                  <c:v>49008.170035599993</c:v>
                </c:pt>
                <c:pt idx="25">
                  <c:v>36591.86264721</c:v>
                </c:pt>
                <c:pt idx="26">
                  <c:v>26757.39993928</c:v>
                </c:pt>
                <c:pt idx="27">
                  <c:v>22452.115432679999</c:v>
                </c:pt>
                <c:pt idx="28">
                  <c:v>21368.809679999998</c:v>
                </c:pt>
                <c:pt idx="29">
                  <c:v>14653.0737058</c:v>
                </c:pt>
                <c:pt idx="30">
                  <c:v>17110.048195179999</c:v>
                </c:pt>
                <c:pt idx="31">
                  <c:v>23836.5395202</c:v>
                </c:pt>
              </c:numCache>
            </c:numRef>
          </c:yVal>
          <c:smooth val="0"/>
          <c:extLst>
            <c:ext xmlns:c16="http://schemas.microsoft.com/office/drawing/2014/chart" uri="{C3380CC4-5D6E-409C-BE32-E72D297353CC}">
              <c16:uniqueId val="{00000003-DEA3-4DA2-A436-1498BEEEA303}"/>
            </c:ext>
          </c:extLst>
        </c:ser>
        <c:ser>
          <c:idx val="4"/>
          <c:order val="2"/>
          <c:tx>
            <c:strRef>
              <c:f>'GA-NC Hogfish'!$I$2</c:f>
              <c:strCache>
                <c:ptCount val="1"/>
                <c:pt idx="0">
                  <c:v>New Wgt ABC</c:v>
                </c:pt>
              </c:strCache>
            </c:strRef>
          </c:tx>
          <c:spPr>
            <a:ln w="31750">
              <a:solidFill>
                <a:schemeClr val="tx1"/>
              </a:solidFill>
            </a:ln>
          </c:spPr>
          <c:marker>
            <c:symbol val="none"/>
          </c:marker>
          <c:xVal>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Hogfish'!$I$3:$I$34</c:f>
              <c:numCache>
                <c:formatCode>#,##0</c:formatCode>
                <c:ptCount val="32"/>
                <c:pt idx="29">
                  <c:v>28637.089680298752</c:v>
                </c:pt>
                <c:pt idx="30">
                  <c:v>28637.089680298752</c:v>
                </c:pt>
                <c:pt idx="31">
                  <c:v>28637.089680298752</c:v>
                </c:pt>
              </c:numCache>
            </c:numRef>
          </c:yVal>
          <c:smooth val="0"/>
          <c:extLst>
            <c:ext xmlns:c16="http://schemas.microsoft.com/office/drawing/2014/chart" uri="{C3380CC4-5D6E-409C-BE32-E72D297353CC}">
              <c16:uniqueId val="{00000005-DEA3-4DA2-A436-1498BEEEA303}"/>
            </c:ext>
          </c:extLst>
        </c:ser>
        <c:ser>
          <c:idx val="6"/>
          <c:order val="3"/>
          <c:tx>
            <c:strRef>
              <c:f>'GA-NC Hogfish'!$J$2</c:f>
              <c:strCache>
                <c:ptCount val="1"/>
                <c:pt idx="0">
                  <c:v>Orig Rec ABC</c:v>
                </c:pt>
              </c:strCache>
            </c:strRef>
          </c:tx>
          <c:spPr>
            <a:ln w="31750">
              <a:solidFill>
                <a:srgbClr val="7030A0"/>
              </a:solidFill>
            </a:ln>
          </c:spPr>
          <c:marker>
            <c:symbol val="none"/>
          </c:marker>
          <c:xVal>
            <c:numRef>
              <c:f>'GA-NC Hogfish'!$C$3:$C$34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Hogfish'!$J$3:$J$34</c:f>
              <c:numCache>
                <c:formatCode>General</c:formatCode>
                <c:ptCount val="32"/>
                <c:pt idx="29" formatCode="#,##0">
                  <c:v>28637.089680298752</c:v>
                </c:pt>
                <c:pt idx="30" formatCode="#,##0">
                  <c:v>28637.089680298752</c:v>
                </c:pt>
                <c:pt idx="31" formatCode="#,##0">
                  <c:v>28637.089680298752</c:v>
                </c:pt>
              </c:numCache>
            </c:numRef>
          </c:yVal>
          <c:smooth val="0"/>
          <c:extLst>
            <c:ext xmlns:c16="http://schemas.microsoft.com/office/drawing/2014/chart" uri="{C3380CC4-5D6E-409C-BE32-E72D297353CC}">
              <c16:uniqueId val="{00000006-DEA3-4DA2-A436-1498BEEEA303}"/>
            </c:ext>
          </c:extLst>
        </c:ser>
        <c:dLbls>
          <c:showLegendKey val="0"/>
          <c:showVal val="0"/>
          <c:showCatName val="0"/>
          <c:showSerName val="0"/>
          <c:showPercent val="0"/>
          <c:showBubbleSize val="0"/>
        </c:dLbls>
        <c:axId val="339800576"/>
        <c:axId val="339801152"/>
      </c:scatterChart>
      <c:valAx>
        <c:axId val="339800576"/>
        <c:scaling>
          <c:orientation val="minMax"/>
          <c:max val="2017"/>
          <c:min val="1986"/>
        </c:scaling>
        <c:delete val="0"/>
        <c:axPos val="b"/>
        <c:title>
          <c:tx>
            <c:rich>
              <a:bodyPr/>
              <a:lstStyle/>
              <a:p>
                <a:pPr>
                  <a:defRPr/>
                </a:pPr>
                <a:r>
                  <a:rPr lang="en-US"/>
                  <a:t>Year</a:t>
                </a:r>
              </a:p>
            </c:rich>
          </c:tx>
          <c:overlay val="0"/>
        </c:title>
        <c:numFmt formatCode="General" sourceLinked="1"/>
        <c:majorTickMark val="out"/>
        <c:minorTickMark val="none"/>
        <c:tickLblPos val="nextTo"/>
        <c:crossAx val="339801152"/>
        <c:crosses val="autoZero"/>
        <c:crossBetween val="midCat"/>
      </c:valAx>
      <c:valAx>
        <c:axId val="339801152"/>
        <c:scaling>
          <c:orientation val="minMax"/>
        </c:scaling>
        <c:delete val="0"/>
        <c:axPos val="l"/>
        <c:majorGridlines/>
        <c:title>
          <c:tx>
            <c:rich>
              <a:bodyPr rot="-5400000" vert="horz"/>
              <a:lstStyle/>
              <a:p>
                <a:pPr>
                  <a:defRPr/>
                </a:pPr>
                <a:r>
                  <a:rPr lang="en-US"/>
                  <a:t>Pounds Whole Weight</a:t>
                </a:r>
              </a:p>
            </c:rich>
          </c:tx>
          <c:overlay val="0"/>
        </c:title>
        <c:numFmt formatCode="#,##0" sourceLinked="1"/>
        <c:majorTickMark val="out"/>
        <c:minorTickMark val="none"/>
        <c:tickLblPos val="nextTo"/>
        <c:crossAx val="3398005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6" Type="http://schemas.openxmlformats.org/officeDocument/2006/relationships/chart" Target="../charts/chart28.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52.xml"/><Relationship Id="rId3" Type="http://schemas.openxmlformats.org/officeDocument/2006/relationships/chart" Target="../charts/chart47.xml"/><Relationship Id="rId7" Type="http://schemas.openxmlformats.org/officeDocument/2006/relationships/chart" Target="../charts/chart51.xml"/><Relationship Id="rId12" Type="http://schemas.openxmlformats.org/officeDocument/2006/relationships/image" Target="../media/image5.emf"/><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11" Type="http://schemas.openxmlformats.org/officeDocument/2006/relationships/image" Target="../media/image4.emf"/><Relationship Id="rId5" Type="http://schemas.openxmlformats.org/officeDocument/2006/relationships/chart" Target="../charts/chart49.xml"/><Relationship Id="rId10" Type="http://schemas.openxmlformats.org/officeDocument/2006/relationships/chart" Target="../charts/chart54.xml"/><Relationship Id="rId4" Type="http://schemas.openxmlformats.org/officeDocument/2006/relationships/chart" Target="../charts/chart48.xml"/><Relationship Id="rId9" Type="http://schemas.openxmlformats.org/officeDocument/2006/relationships/chart" Target="../charts/chart5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8" Type="http://schemas.openxmlformats.org/officeDocument/2006/relationships/chart" Target="../charts/chart62.xml"/><Relationship Id="rId13" Type="http://schemas.openxmlformats.org/officeDocument/2006/relationships/chart" Target="../charts/chart67.xml"/><Relationship Id="rId3" Type="http://schemas.openxmlformats.org/officeDocument/2006/relationships/chart" Target="../charts/chart57.xml"/><Relationship Id="rId7" Type="http://schemas.openxmlformats.org/officeDocument/2006/relationships/chart" Target="../charts/chart61.xml"/><Relationship Id="rId12" Type="http://schemas.openxmlformats.org/officeDocument/2006/relationships/chart" Target="../charts/chart66.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11" Type="http://schemas.openxmlformats.org/officeDocument/2006/relationships/chart" Target="../charts/chart65.xml"/><Relationship Id="rId5" Type="http://schemas.openxmlformats.org/officeDocument/2006/relationships/chart" Target="../charts/chart59.xml"/><Relationship Id="rId10" Type="http://schemas.openxmlformats.org/officeDocument/2006/relationships/chart" Target="../charts/chart64.xml"/><Relationship Id="rId4" Type="http://schemas.openxmlformats.org/officeDocument/2006/relationships/chart" Target="../charts/chart58.xml"/><Relationship Id="rId9" Type="http://schemas.openxmlformats.org/officeDocument/2006/relationships/chart" Target="../charts/chart63.xml"/><Relationship Id="rId14" Type="http://schemas.openxmlformats.org/officeDocument/2006/relationships/chart" Target="../charts/chart68.xml"/></Relationships>
</file>

<file path=xl/drawings/_rels/drawing39.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image" Target="../media/image6.emf"/><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image" Target="../media/image7.emf"/></Relationships>
</file>

<file path=xl/drawings/_rels/drawing45.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5" Type="http://schemas.openxmlformats.org/officeDocument/2006/relationships/chart" Target="../charts/chart85.xml"/><Relationship Id="rId4" Type="http://schemas.openxmlformats.org/officeDocument/2006/relationships/chart" Target="../charts/chart84.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99060</xdr:rowOff>
    </xdr:from>
    <xdr:to>
      <xdr:col>10</xdr:col>
      <xdr:colOff>411480</xdr:colOff>
      <xdr:row>23</xdr:row>
      <xdr:rowOff>68580</xdr:rowOff>
    </xdr:to>
    <xdr:sp macro="" textlink="">
      <xdr:nvSpPr>
        <xdr:cNvPr id="2" name="TextBox 1">
          <a:extLst>
            <a:ext uri="{FF2B5EF4-FFF2-40B4-BE49-F238E27FC236}">
              <a16:creationId xmlns:a16="http://schemas.microsoft.com/office/drawing/2014/main" id="{8009B506-6547-41FB-B9AA-1F02F3D25F4F}"/>
            </a:ext>
          </a:extLst>
        </xdr:cNvPr>
        <xdr:cNvSpPr txBox="1"/>
      </xdr:nvSpPr>
      <xdr:spPr>
        <a:xfrm>
          <a:off x="91440" y="281940"/>
          <a:ext cx="6416040" cy="399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Each tab represents either a single</a:t>
          </a:r>
          <a:r>
            <a:rPr lang="en-US" sz="1200" baseline="0"/>
            <a:t> stock or a complex. The data presented currently only contains landings (lbs ww for most, unless otherwise noted) from commercial (ALS), headboat (SRHS), and general recreation (MRIP/calibrated data from SEFSC from SAFE files). </a:t>
          </a:r>
        </a:p>
        <a:p>
          <a:endParaRPr lang="en-US" sz="1200" baseline="0"/>
        </a:p>
        <a:p>
          <a:r>
            <a:rPr lang="en-US" sz="1200" baseline="0"/>
            <a:t>The same color scheme is followed throughout the document. Commercial is always green. Rec estimates using the new weigt estimation procedure with a 15 sample cut-off (New Wgt) are all in shades of blue. Rec estimates the original weight estimation procedure with a 30 sample cut-off (Orig FES) are in shades of red/orange. These estmates are all calibrated to the new FES and APAIS methodologies.</a:t>
          </a:r>
        </a:p>
        <a:p>
          <a:endParaRPr lang="en-US" sz="1200" baseline="0"/>
        </a:p>
        <a:p>
          <a:r>
            <a:rPr lang="en-US" sz="1200" baseline="0"/>
            <a:t>Most tabs have at least 2 graphs for each species. One shows the total landings, New Wgt vs. Orig FES, along with the Orig FES ABC and the updated ABC based on the SSC's decisions from the Oct 2019 meeting. The second graph breaks down the landings into their component sectors (commercial and rec). There is also a line representing the estimates from MRIP in gray. Theses estimates are directly from MRIP and do not include any of the post-processing done by the SEFSC.</a:t>
          </a:r>
        </a:p>
        <a:p>
          <a:endParaRPr lang="en-US" sz="1200" baseline="0"/>
        </a:p>
        <a:p>
          <a:r>
            <a:rPr lang="en-US" sz="1200" baseline="0"/>
            <a:t>There is also a second table for each species used to compare the differences between the MRIP estimates and those produced by the SEFSC. There are two % difference columns to help compare the difference. The first is the % difference from that year's estimate. The second is the % difference from the mean estimate.</a:t>
          </a:r>
          <a:endParaRPr lang="en-US" sz="12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0.42366</cdr:x>
      <cdr:y>0.11073</cdr:y>
    </cdr:from>
    <cdr:to>
      <cdr:x>0.75033</cdr:x>
      <cdr:y>0.33655</cdr:y>
    </cdr:to>
    <cdr:sp macro="" textlink="">
      <cdr:nvSpPr>
        <cdr:cNvPr id="2" name="TextBox 3">
          <a:extLst xmlns:a="http://schemas.openxmlformats.org/drawingml/2006/main">
            <a:ext uri="{FF2B5EF4-FFF2-40B4-BE49-F238E27FC236}">
              <a16:creationId xmlns:a16="http://schemas.microsoft.com/office/drawing/2014/main" id="{AECC58B2-BCDC-4498-A856-48346238DC1B}"/>
            </a:ext>
          </a:extLst>
        </cdr:cNvPr>
        <cdr:cNvSpPr txBox="1"/>
      </cdr:nvSpPr>
      <cdr:spPr>
        <a:xfrm xmlns:a="http://schemas.openxmlformats.org/drawingml/2006/main">
          <a:off x="4041775" y="612775"/>
          <a:ext cx="3116580" cy="124968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Based on the information we have, this may be an under-estimate of the actual catches. Spear</a:t>
          </a:r>
          <a:r>
            <a:rPr lang="en-US" sz="1100" baseline="0"/>
            <a:t> landings north of FL were not sampled by MRIP until recently. Due to the small diff, SSC recommends using ORCS.</a:t>
          </a:r>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183514</xdr:colOff>
      <xdr:row>0</xdr:row>
      <xdr:rowOff>0</xdr:rowOff>
    </xdr:from>
    <xdr:to>
      <xdr:col>26</xdr:col>
      <xdr:colOff>373379</xdr:colOff>
      <xdr:row>30</xdr:row>
      <xdr:rowOff>19050</xdr:rowOff>
    </xdr:to>
    <xdr:graphicFrame macro="">
      <xdr:nvGraphicFramePr>
        <xdr:cNvPr id="7" name="Chart 6">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0</xdr:colOff>
      <xdr:row>0</xdr:row>
      <xdr:rowOff>0</xdr:rowOff>
    </xdr:from>
    <xdr:to>
      <xdr:col>42</xdr:col>
      <xdr:colOff>307975</xdr:colOff>
      <xdr:row>30</xdr:row>
      <xdr:rowOff>19050</xdr:rowOff>
    </xdr:to>
    <xdr:graphicFrame macro="">
      <xdr:nvGraphicFramePr>
        <xdr:cNvPr id="3" name="Chart 2">
          <a:extLst>
            <a:ext uri="{FF2B5EF4-FFF2-40B4-BE49-F238E27FC236}">
              <a16:creationId xmlns:a16="http://schemas.microsoft.com/office/drawing/2014/main" id="{630CCA0D-F817-4B57-AEED-A59C7D632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xdr:colOff>
      <xdr:row>15</xdr:row>
      <xdr:rowOff>57149</xdr:rowOff>
    </xdr:from>
    <xdr:to>
      <xdr:col>20</xdr:col>
      <xdr:colOff>542925</xdr:colOff>
      <xdr:row>25</xdr:row>
      <xdr:rowOff>161924</xdr:rowOff>
    </xdr:to>
    <xdr:sp macro="" textlink="">
      <xdr:nvSpPr>
        <xdr:cNvPr id="2" name="TextBox 1">
          <a:extLst>
            <a:ext uri="{FF2B5EF4-FFF2-40B4-BE49-F238E27FC236}">
              <a16:creationId xmlns:a16="http://schemas.microsoft.com/office/drawing/2014/main" id="{71093EA5-38CC-4662-A829-A76399980D16}"/>
            </a:ext>
          </a:extLst>
        </xdr:cNvPr>
        <xdr:cNvSpPr txBox="1"/>
      </xdr:nvSpPr>
      <xdr:spPr>
        <a:xfrm>
          <a:off x="6991350" y="2905124"/>
          <a:ext cx="5381625" cy="2009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SSC</a:t>
          </a:r>
          <a:r>
            <a:rPr lang="en-US" sz="1100" baseline="0"/>
            <a:t> has concerns for this species and recommends the Council be more conservative when setting the ACL. Landings trends and SERFS trap index both trend downward for the latter half of the time series. The reference period may not be reflective of the current state of the stock. Productivity of the stock may differ between the reference period and currently. There are concerns from the fishing community that scamp are encountered much less frequently. The SSC recommends using a value of 0.5 as the scalar for the Risk of Overexploitation in the ORCS methodology. Recommend clarifying the ORCS scalars and perhaps revising what scalars apply to stocks deemed heavily overexploited. The SSC recommends an ABC of 300,000 lbs ww (~avg of most recent 7 years plus a 50% buffer for the average PSE in those years). The SSC also recoemmends the Council add an additional buffer for this species.</a:t>
          </a:r>
          <a:endParaRPr lang="en-US" sz="1100"/>
        </a:p>
      </xdr:txBody>
    </xdr:sp>
    <xdr:clientData/>
  </xdr:twoCellAnchor>
  <xdr:twoCellAnchor editAs="oneCell">
    <xdr:from>
      <xdr:col>43</xdr:col>
      <xdr:colOff>38100</xdr:colOff>
      <xdr:row>0</xdr:row>
      <xdr:rowOff>0</xdr:rowOff>
    </xdr:from>
    <xdr:to>
      <xdr:col>56</xdr:col>
      <xdr:colOff>567690</xdr:colOff>
      <xdr:row>29</xdr:row>
      <xdr:rowOff>34290</xdr:rowOff>
    </xdr:to>
    <xdr:pic>
      <xdr:nvPicPr>
        <xdr:cNvPr id="5" name="Picture 4">
          <a:extLst>
            <a:ext uri="{FF2B5EF4-FFF2-40B4-BE49-F238E27FC236}">
              <a16:creationId xmlns:a16="http://schemas.microsoft.com/office/drawing/2014/main" id="{83151E77-6525-4B3A-AF61-A2C988D5FC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8620" y="0"/>
          <a:ext cx="8435340" cy="533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xdr:colOff>
      <xdr:row>45</xdr:row>
      <xdr:rowOff>89535</xdr:rowOff>
    </xdr:from>
    <xdr:to>
      <xdr:col>9</xdr:col>
      <xdr:colOff>546735</xdr:colOff>
      <xdr:row>59</xdr:row>
      <xdr:rowOff>1905</xdr:rowOff>
    </xdr:to>
    <xdr:sp macro="" textlink="">
      <xdr:nvSpPr>
        <xdr:cNvPr id="4" name="TextBox 3">
          <a:extLst>
            <a:ext uri="{FF2B5EF4-FFF2-40B4-BE49-F238E27FC236}">
              <a16:creationId xmlns:a16="http://schemas.microsoft.com/office/drawing/2014/main" id="{FD2462A6-653B-4C48-A552-4DB4CA9C3CD1}"/>
            </a:ext>
          </a:extLst>
        </xdr:cNvPr>
        <xdr:cNvSpPr txBox="1"/>
      </xdr:nvSpPr>
      <xdr:spPr>
        <a:xfrm>
          <a:off x="51435" y="8456295"/>
          <a:ext cx="6301740" cy="257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1)Does the SSC want to include 2014 in htis calculation? </a:t>
          </a:r>
        </a:p>
        <a:p>
          <a:endParaRPr lang="en-US" sz="1100"/>
        </a:p>
        <a:p>
          <a:endParaRPr lang="en-US" sz="1100"/>
        </a:p>
        <a:p>
          <a:endParaRPr lang="en-US" sz="1100"/>
        </a:p>
        <a:p>
          <a:endParaRPr lang="en-US" sz="1100"/>
        </a:p>
        <a:p>
          <a:r>
            <a:rPr lang="en-US" sz="1100"/>
            <a:t>2) Does</a:t>
          </a:r>
          <a:r>
            <a:rPr lang="en-US" sz="1100" baseline="0"/>
            <a:t> the SSC want to include 2010 in this calculation?</a:t>
          </a:r>
        </a:p>
        <a:p>
          <a:endParaRPr lang="en-US" sz="1100" baseline="0"/>
        </a:p>
        <a:p>
          <a:endParaRPr lang="en-US" sz="1100" baseline="0"/>
        </a:p>
        <a:p>
          <a:endParaRPr lang="en-US" sz="1100" baseline="0"/>
        </a:p>
        <a:p>
          <a:endParaRPr lang="en-US" sz="1100" baseline="0"/>
        </a:p>
        <a:p>
          <a:r>
            <a:rPr lang="en-US" sz="1100" baseline="0"/>
            <a:t>3) How should rounding be dealt with?</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59</xdr:row>
      <xdr:rowOff>133985</xdr:rowOff>
    </xdr:from>
    <xdr:to>
      <xdr:col>8</xdr:col>
      <xdr:colOff>876300</xdr:colOff>
      <xdr:row>86</xdr:row>
      <xdr:rowOff>144780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59</xdr:row>
      <xdr:rowOff>175260</xdr:rowOff>
    </xdr:from>
    <xdr:to>
      <xdr:col>17</xdr:col>
      <xdr:colOff>0</xdr:colOff>
      <xdr:row>82</xdr:row>
      <xdr:rowOff>45720</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88</xdr:row>
      <xdr:rowOff>0</xdr:rowOff>
    </xdr:from>
    <xdr:to>
      <xdr:col>8</xdr:col>
      <xdr:colOff>876300</xdr:colOff>
      <xdr:row>115</xdr:row>
      <xdr:rowOff>10795</xdr:rowOff>
    </xdr:to>
    <xdr:graphicFrame macro="">
      <xdr:nvGraphicFramePr>
        <xdr:cNvPr id="10" name="Chart 9">
          <a:extLst>
            <a:ext uri="{FF2B5EF4-FFF2-40B4-BE49-F238E27FC236}">
              <a16:creationId xmlns:a16="http://schemas.microsoft.com/office/drawing/2014/main" id="{8D79E7E6-6E9D-48F1-A695-351378EEA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895350</xdr:colOff>
      <xdr:row>60</xdr:row>
      <xdr:rowOff>5715</xdr:rowOff>
    </xdr:from>
    <xdr:to>
      <xdr:col>30</xdr:col>
      <xdr:colOff>0</xdr:colOff>
      <xdr:row>82</xdr:row>
      <xdr:rowOff>51435</xdr:rowOff>
    </xdr:to>
    <xdr:graphicFrame macro="">
      <xdr:nvGraphicFramePr>
        <xdr:cNvPr id="11" name="Chart 10">
          <a:extLst>
            <a:ext uri="{FF2B5EF4-FFF2-40B4-BE49-F238E27FC236}">
              <a16:creationId xmlns:a16="http://schemas.microsoft.com/office/drawing/2014/main" id="{504A1F70-2598-4CB5-AEDE-885A89DEC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3810</xdr:colOff>
      <xdr:row>60</xdr:row>
      <xdr:rowOff>5715</xdr:rowOff>
    </xdr:from>
    <xdr:to>
      <xdr:col>40</xdr:col>
      <xdr:colOff>868680</xdr:colOff>
      <xdr:row>82</xdr:row>
      <xdr:rowOff>51435</xdr:rowOff>
    </xdr:to>
    <xdr:graphicFrame macro="">
      <xdr:nvGraphicFramePr>
        <xdr:cNvPr id="12" name="Chart 11">
          <a:extLst>
            <a:ext uri="{FF2B5EF4-FFF2-40B4-BE49-F238E27FC236}">
              <a16:creationId xmlns:a16="http://schemas.microsoft.com/office/drawing/2014/main" id="{F8F53B3A-985A-45B9-B69E-EB36E238A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84</xdr:row>
      <xdr:rowOff>0</xdr:rowOff>
    </xdr:from>
    <xdr:to>
      <xdr:col>17</xdr:col>
      <xdr:colOff>0</xdr:colOff>
      <xdr:row>106</xdr:row>
      <xdr:rowOff>53340</xdr:rowOff>
    </xdr:to>
    <xdr:graphicFrame macro="">
      <xdr:nvGraphicFramePr>
        <xdr:cNvPr id="13" name="Chart 12">
          <a:extLst>
            <a:ext uri="{FF2B5EF4-FFF2-40B4-BE49-F238E27FC236}">
              <a16:creationId xmlns:a16="http://schemas.microsoft.com/office/drawing/2014/main" id="{52FCBE2A-9706-4CBC-B619-9C090DA49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895350</xdr:colOff>
      <xdr:row>83</xdr:row>
      <xdr:rowOff>188595</xdr:rowOff>
    </xdr:from>
    <xdr:to>
      <xdr:col>30</xdr:col>
      <xdr:colOff>0</xdr:colOff>
      <xdr:row>106</xdr:row>
      <xdr:rowOff>51435</xdr:rowOff>
    </xdr:to>
    <xdr:graphicFrame macro="">
      <xdr:nvGraphicFramePr>
        <xdr:cNvPr id="14" name="Chart 13">
          <a:extLst>
            <a:ext uri="{FF2B5EF4-FFF2-40B4-BE49-F238E27FC236}">
              <a16:creationId xmlns:a16="http://schemas.microsoft.com/office/drawing/2014/main" id="{A5A2ECA1-C3CF-4DAC-84B4-73D969EC5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3810</xdr:colOff>
      <xdr:row>83</xdr:row>
      <xdr:rowOff>188595</xdr:rowOff>
    </xdr:from>
    <xdr:to>
      <xdr:col>40</xdr:col>
      <xdr:colOff>868680</xdr:colOff>
      <xdr:row>106</xdr:row>
      <xdr:rowOff>51435</xdr:rowOff>
    </xdr:to>
    <xdr:graphicFrame macro="">
      <xdr:nvGraphicFramePr>
        <xdr:cNvPr id="15" name="Chart 14">
          <a:extLst>
            <a:ext uri="{FF2B5EF4-FFF2-40B4-BE49-F238E27FC236}">
              <a16:creationId xmlns:a16="http://schemas.microsoft.com/office/drawing/2014/main" id="{CA299179-C269-4BC5-AE68-F1F72D52D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42</xdr:col>
      <xdr:colOff>0</xdr:colOff>
      <xdr:row>60</xdr:row>
      <xdr:rowOff>0</xdr:rowOff>
    </xdr:from>
    <xdr:to>
      <xdr:col>50</xdr:col>
      <xdr:colOff>876300</xdr:colOff>
      <xdr:row>82</xdr:row>
      <xdr:rowOff>53340</xdr:rowOff>
    </xdr:to>
    <xdr:graphicFrame macro="">
      <xdr:nvGraphicFramePr>
        <xdr:cNvPr id="16" name="Chart 15">
          <a:extLst>
            <a:ext uri="{FF2B5EF4-FFF2-40B4-BE49-F238E27FC236}">
              <a16:creationId xmlns:a16="http://schemas.microsoft.com/office/drawing/2014/main" id="{47AFFB5F-6E09-4FF3-B1E2-6664FAC7A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47</xdr:col>
      <xdr:colOff>0</xdr:colOff>
      <xdr:row>0</xdr:row>
      <xdr:rowOff>0</xdr:rowOff>
    </xdr:from>
    <xdr:to>
      <xdr:col>56</xdr:col>
      <xdr:colOff>114300</xdr:colOff>
      <xdr:row>22</xdr:row>
      <xdr:rowOff>53340</xdr:rowOff>
    </xdr:to>
    <xdr:graphicFrame macro="">
      <xdr:nvGraphicFramePr>
        <xdr:cNvPr id="17" name="Chart 16">
          <a:extLst>
            <a:ext uri="{FF2B5EF4-FFF2-40B4-BE49-F238E27FC236}">
              <a16:creationId xmlns:a16="http://schemas.microsoft.com/office/drawing/2014/main" id="{ECE80C2C-BF93-48DF-8C23-0ABD948CB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300990</xdr:colOff>
      <xdr:row>0</xdr:row>
      <xdr:rowOff>5715</xdr:rowOff>
    </xdr:from>
    <xdr:to>
      <xdr:col>69</xdr:col>
      <xdr:colOff>382905</xdr:colOff>
      <xdr:row>22</xdr:row>
      <xdr:rowOff>51435</xdr:rowOff>
    </xdr:to>
    <xdr:graphicFrame macro="">
      <xdr:nvGraphicFramePr>
        <xdr:cNvPr id="18" name="Chart 17">
          <a:extLst>
            <a:ext uri="{FF2B5EF4-FFF2-40B4-BE49-F238E27FC236}">
              <a16:creationId xmlns:a16="http://schemas.microsoft.com/office/drawing/2014/main" id="{8048A157-E433-4834-9BEE-4655A33FF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70</xdr:col>
      <xdr:colOff>95250</xdr:colOff>
      <xdr:row>0</xdr:row>
      <xdr:rowOff>5715</xdr:rowOff>
    </xdr:from>
    <xdr:to>
      <xdr:col>82</xdr:col>
      <xdr:colOff>196215</xdr:colOff>
      <xdr:row>22</xdr:row>
      <xdr:rowOff>51435</xdr:rowOff>
    </xdr:to>
    <xdr:graphicFrame macro="">
      <xdr:nvGraphicFramePr>
        <xdr:cNvPr id="19" name="Chart 18">
          <a:extLst>
            <a:ext uri="{FF2B5EF4-FFF2-40B4-BE49-F238E27FC236}">
              <a16:creationId xmlns:a16="http://schemas.microsoft.com/office/drawing/2014/main" id="{D68ADBD1-3302-41F6-81F1-7A8B50ACB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47</xdr:col>
      <xdr:colOff>0</xdr:colOff>
      <xdr:row>24</xdr:row>
      <xdr:rowOff>22860</xdr:rowOff>
    </xdr:from>
    <xdr:to>
      <xdr:col>56</xdr:col>
      <xdr:colOff>114300</xdr:colOff>
      <xdr:row>47</xdr:row>
      <xdr:rowOff>91440</xdr:rowOff>
    </xdr:to>
    <xdr:graphicFrame macro="">
      <xdr:nvGraphicFramePr>
        <xdr:cNvPr id="20" name="Chart 19">
          <a:extLst>
            <a:ext uri="{FF2B5EF4-FFF2-40B4-BE49-F238E27FC236}">
              <a16:creationId xmlns:a16="http://schemas.microsoft.com/office/drawing/2014/main" id="{515D1423-7CFC-44D4-99B8-1B70A4BBB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57</xdr:col>
      <xdr:colOff>300990</xdr:colOff>
      <xdr:row>24</xdr:row>
      <xdr:rowOff>13335</xdr:rowOff>
    </xdr:from>
    <xdr:to>
      <xdr:col>69</xdr:col>
      <xdr:colOff>382905</xdr:colOff>
      <xdr:row>47</xdr:row>
      <xdr:rowOff>81915</xdr:rowOff>
    </xdr:to>
    <xdr:graphicFrame macro="">
      <xdr:nvGraphicFramePr>
        <xdr:cNvPr id="21" name="Chart 20">
          <a:extLst>
            <a:ext uri="{FF2B5EF4-FFF2-40B4-BE49-F238E27FC236}">
              <a16:creationId xmlns:a16="http://schemas.microsoft.com/office/drawing/2014/main" id="{532AED33-8DA8-4336-AFD4-A36FFAB4A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70</xdr:col>
      <xdr:colOff>95250</xdr:colOff>
      <xdr:row>24</xdr:row>
      <xdr:rowOff>13335</xdr:rowOff>
    </xdr:from>
    <xdr:to>
      <xdr:col>82</xdr:col>
      <xdr:colOff>196215</xdr:colOff>
      <xdr:row>47</xdr:row>
      <xdr:rowOff>81915</xdr:rowOff>
    </xdr:to>
    <xdr:graphicFrame macro="">
      <xdr:nvGraphicFramePr>
        <xdr:cNvPr id="22" name="Chart 21">
          <a:extLst>
            <a:ext uri="{FF2B5EF4-FFF2-40B4-BE49-F238E27FC236}">
              <a16:creationId xmlns:a16="http://schemas.microsoft.com/office/drawing/2014/main" id="{443A1EC6-1341-441B-9A11-0D6761B7E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83</xdr:col>
      <xdr:colOff>0</xdr:colOff>
      <xdr:row>0</xdr:row>
      <xdr:rowOff>0</xdr:rowOff>
    </xdr:from>
    <xdr:to>
      <xdr:col>95</xdr:col>
      <xdr:colOff>100965</xdr:colOff>
      <xdr:row>22</xdr:row>
      <xdr:rowOff>45720</xdr:rowOff>
    </xdr:to>
    <xdr:graphicFrame macro="">
      <xdr:nvGraphicFramePr>
        <xdr:cNvPr id="23" name="Chart 22">
          <a:extLst>
            <a:ext uri="{FF2B5EF4-FFF2-40B4-BE49-F238E27FC236}">
              <a16:creationId xmlns:a16="http://schemas.microsoft.com/office/drawing/2014/main" id="{19BB06E0-94B4-48EC-B53B-3DDFBC25D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0.54415</cdr:x>
      <cdr:y>0.16944</cdr:y>
    </cdr:from>
    <cdr:to>
      <cdr:x>0.81496</cdr:x>
      <cdr:y>0.40261</cdr:y>
    </cdr:to>
    <cdr:sp macro="" textlink="">
      <cdr:nvSpPr>
        <cdr:cNvPr id="2" name="TextBox 1">
          <a:extLst xmlns:a="http://schemas.openxmlformats.org/drawingml/2006/main">
            <a:ext uri="{FF2B5EF4-FFF2-40B4-BE49-F238E27FC236}">
              <a16:creationId xmlns:a16="http://schemas.microsoft.com/office/drawing/2014/main" id="{D79444F6-AC96-4038-BB7A-5486D558A3B5}"/>
            </a:ext>
          </a:extLst>
        </cdr:cNvPr>
        <cdr:cNvSpPr txBox="1"/>
      </cdr:nvSpPr>
      <cdr:spPr>
        <a:xfrm xmlns:a="http://schemas.openxmlformats.org/drawingml/2006/main">
          <a:off x="4089400" y="717550"/>
          <a:ext cx="2035175" cy="9874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Since 1999, very low landings. Recommend for Ecosystem Component. SSC agrees with workgroup.</a:t>
          </a:r>
        </a:p>
      </cdr:txBody>
    </cdr:sp>
  </cdr:relSizeAnchor>
</c:userShapes>
</file>

<file path=xl/drawings/drawing14.xml><?xml version="1.0" encoding="utf-8"?>
<c:userShapes xmlns:c="http://schemas.openxmlformats.org/drawingml/2006/chart">
  <cdr:relSizeAnchor xmlns:cdr="http://schemas.openxmlformats.org/drawingml/2006/chartDrawing">
    <cdr:from>
      <cdr:x>0.10473</cdr:x>
      <cdr:y>0.14947</cdr:y>
    </cdr:from>
    <cdr:to>
      <cdr:x>0.39068</cdr:x>
      <cdr:y>0.40198</cdr:y>
    </cdr:to>
    <cdr:sp macro="" textlink="">
      <cdr:nvSpPr>
        <cdr:cNvPr id="2" name="TextBox 3">
          <a:extLst xmlns:a="http://schemas.openxmlformats.org/drawingml/2006/main">
            <a:ext uri="{FF2B5EF4-FFF2-40B4-BE49-F238E27FC236}">
              <a16:creationId xmlns:a16="http://schemas.microsoft.com/office/drawing/2014/main" id="{21E2C51E-21C2-465E-976E-C552A01EA314}"/>
            </a:ext>
          </a:extLst>
        </cdr:cNvPr>
        <cdr:cNvSpPr txBox="1"/>
      </cdr:nvSpPr>
      <cdr:spPr>
        <a:xfrm xmlns:a="http://schemas.openxmlformats.org/drawingml/2006/main">
          <a:off x="774700" y="631825"/>
          <a:ext cx="2115185" cy="106743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0.14042</cdr:x>
      <cdr:y>0.14271</cdr:y>
    </cdr:from>
    <cdr:to>
      <cdr:x>0.47521</cdr:x>
      <cdr:y>0.40198</cdr:y>
    </cdr:to>
    <cdr:sp macro="" textlink="">
      <cdr:nvSpPr>
        <cdr:cNvPr id="2" name="TextBox 3">
          <a:extLst xmlns:a="http://schemas.openxmlformats.org/drawingml/2006/main">
            <a:ext uri="{FF2B5EF4-FFF2-40B4-BE49-F238E27FC236}">
              <a16:creationId xmlns:a16="http://schemas.microsoft.com/office/drawing/2014/main" id="{4CD3EF12-C116-413E-AADC-4B5E70D0A21E}"/>
            </a:ext>
          </a:extLst>
        </cdr:cNvPr>
        <cdr:cNvSpPr txBox="1"/>
      </cdr:nvSpPr>
      <cdr:spPr>
        <a:xfrm xmlns:a="http://schemas.openxmlformats.org/drawingml/2006/main">
          <a:off x="1041400" y="603250"/>
          <a:ext cx="2482850" cy="109601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2017 is a weighting issue with SEFSC weight method.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6.xml><?xml version="1.0" encoding="utf-8"?>
<c:userShapes xmlns:c="http://schemas.openxmlformats.org/drawingml/2006/chart">
  <cdr:relSizeAnchor xmlns:cdr="http://schemas.openxmlformats.org/drawingml/2006/chartDrawing">
    <cdr:from>
      <cdr:x>0.58597</cdr:x>
      <cdr:y>0.16846</cdr:y>
    </cdr:from>
    <cdr:to>
      <cdr:x>0.90621</cdr:x>
      <cdr:y>0.39714</cdr:y>
    </cdr:to>
    <cdr:sp macro="" textlink="">
      <cdr:nvSpPr>
        <cdr:cNvPr id="2" name="TextBox 3">
          <a:extLst xmlns:a="http://schemas.openxmlformats.org/drawingml/2006/main">
            <a:ext uri="{FF2B5EF4-FFF2-40B4-BE49-F238E27FC236}">
              <a16:creationId xmlns:a16="http://schemas.microsoft.com/office/drawing/2014/main" id="{216F9147-5821-46BD-8DDB-95402923C777}"/>
            </a:ext>
          </a:extLst>
        </cdr:cNvPr>
        <cdr:cNvSpPr txBox="1"/>
      </cdr:nvSpPr>
      <cdr:spPr>
        <a:xfrm xmlns:a="http://schemas.openxmlformats.org/drawingml/2006/main">
          <a:off x="4403725" y="717550"/>
          <a:ext cx="2406650" cy="97409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Agree with</a:t>
          </a:r>
          <a:r>
            <a:rPr lang="en-US" sz="1100" baseline="0"/>
            <a:t> workgroup.</a:t>
          </a:r>
          <a:endParaRPr 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0.10087</cdr:x>
      <cdr:y>0.14833</cdr:y>
    </cdr:from>
    <cdr:to>
      <cdr:x>0.45506</cdr:x>
      <cdr:y>0.35018</cdr:y>
    </cdr:to>
    <cdr:sp macro="" textlink="">
      <cdr:nvSpPr>
        <cdr:cNvPr id="2" name="TextBox 1">
          <a:extLst xmlns:a="http://schemas.openxmlformats.org/drawingml/2006/main">
            <a:ext uri="{FF2B5EF4-FFF2-40B4-BE49-F238E27FC236}">
              <a16:creationId xmlns:a16="http://schemas.microsoft.com/office/drawing/2014/main" id="{F41FAAD2-437D-4AA0-8E6B-29D6267EC294}"/>
            </a:ext>
          </a:extLst>
        </cdr:cNvPr>
        <cdr:cNvSpPr txBox="1"/>
      </cdr:nvSpPr>
      <cdr:spPr>
        <a:xfrm xmlns:a="http://schemas.openxmlformats.org/drawingml/2006/main">
          <a:off x="746126" y="631826"/>
          <a:ext cx="2620010" cy="85979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Same</a:t>
          </a:r>
          <a:r>
            <a:rPr lang="en-US" sz="1100" baseline="0"/>
            <a:t> trend, increase in magnitude and perhaps variability. Results in higher ABC. </a:t>
          </a:r>
          <a:r>
            <a:rPr lang="en-US" sz="1100">
              <a:effectLst/>
              <a:latin typeface="+mn-lt"/>
              <a:ea typeface="+mn-ea"/>
              <a:cs typeface="+mn-cs"/>
            </a:rPr>
            <a:t>Agree with</a:t>
          </a:r>
          <a:r>
            <a:rPr lang="en-US" sz="1100" baseline="0">
              <a:effectLst/>
              <a:latin typeface="+mn-lt"/>
              <a:ea typeface="+mn-ea"/>
              <a:cs typeface="+mn-cs"/>
            </a:rPr>
            <a:t> workgroup.</a:t>
          </a:r>
          <a:endParaRPr 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0.10831</cdr:x>
      <cdr:y>0.15727</cdr:y>
    </cdr:from>
    <cdr:to>
      <cdr:x>0.46494</cdr:x>
      <cdr:y>0.37925</cdr:y>
    </cdr:to>
    <cdr:sp macro="" textlink="">
      <cdr:nvSpPr>
        <cdr:cNvPr id="2" name="TextBox 3">
          <a:extLst xmlns:a="http://schemas.openxmlformats.org/drawingml/2006/main">
            <a:ext uri="{FF2B5EF4-FFF2-40B4-BE49-F238E27FC236}">
              <a16:creationId xmlns:a16="http://schemas.microsoft.com/office/drawing/2014/main" id="{3EF013DC-6CFB-44C3-BE9F-CBF0DB36E540}"/>
            </a:ext>
          </a:extLst>
        </cdr:cNvPr>
        <cdr:cNvSpPr txBox="1"/>
      </cdr:nvSpPr>
      <cdr:spPr>
        <a:xfrm xmlns:a="http://schemas.openxmlformats.org/drawingml/2006/main">
          <a:off x="803275" y="669925"/>
          <a:ext cx="2644775" cy="94551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Landings extremely low. Almost no change in trend or magnitude of landings. Recommend for Ecosystem Component. </a:t>
          </a:r>
          <a:r>
            <a:rPr lang="en-US" sz="1100">
              <a:solidFill>
                <a:schemeClr val="dk1"/>
              </a:solidFill>
              <a:effectLst/>
              <a:latin typeface="+mn-lt"/>
              <a:ea typeface="+mn-ea"/>
              <a:cs typeface="+mn-cs"/>
            </a:rPr>
            <a:t>Agree with</a:t>
          </a:r>
          <a:r>
            <a:rPr lang="en-US" sz="1100" baseline="0">
              <a:solidFill>
                <a:schemeClr val="dk1"/>
              </a:solidFill>
              <a:effectLst/>
              <a:latin typeface="+mn-lt"/>
              <a:ea typeface="+mn-ea"/>
              <a:cs typeface="+mn-cs"/>
            </a:rPr>
            <a:t> workgroup.</a:t>
          </a:r>
          <a:endParaRPr 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51</xdr:row>
      <xdr:rowOff>3174</xdr:rowOff>
    </xdr:from>
    <xdr:to>
      <xdr:col>15</xdr:col>
      <xdr:colOff>43180</xdr:colOff>
      <xdr:row>78</xdr:row>
      <xdr:rowOff>149859</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38</xdr:row>
      <xdr:rowOff>7620</xdr:rowOff>
    </xdr:from>
    <xdr:to>
      <xdr:col>26</xdr:col>
      <xdr:colOff>312420</xdr:colOff>
      <xdr:row>62</xdr:row>
      <xdr:rowOff>175259</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0</xdr:colOff>
      <xdr:row>38</xdr:row>
      <xdr:rowOff>0</xdr:rowOff>
    </xdr:from>
    <xdr:to>
      <xdr:col>36</xdr:col>
      <xdr:colOff>1135380</xdr:colOff>
      <xdr:row>62</xdr:row>
      <xdr:rowOff>167639</xdr:rowOff>
    </xdr:to>
    <xdr:graphicFrame macro="">
      <xdr:nvGraphicFramePr>
        <xdr:cNvPr id="8" name="Chart 7">
          <a:extLst>
            <a:ext uri="{FF2B5EF4-FFF2-40B4-BE49-F238E27FC236}">
              <a16:creationId xmlns:a16="http://schemas.microsoft.com/office/drawing/2014/main" id="{A3C8CA13-17CD-4A8F-BB25-703146968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38</xdr:col>
      <xdr:colOff>3810</xdr:colOff>
      <xdr:row>37</xdr:row>
      <xdr:rowOff>180975</xdr:rowOff>
    </xdr:from>
    <xdr:to>
      <xdr:col>50</xdr:col>
      <xdr:colOff>491490</xdr:colOff>
      <xdr:row>62</xdr:row>
      <xdr:rowOff>158114</xdr:rowOff>
    </xdr:to>
    <xdr:graphicFrame macro="">
      <xdr:nvGraphicFramePr>
        <xdr:cNvPr id="9" name="Chart 8">
          <a:extLst>
            <a:ext uri="{FF2B5EF4-FFF2-40B4-BE49-F238E27FC236}">
              <a16:creationId xmlns:a16="http://schemas.microsoft.com/office/drawing/2014/main" id="{14902564-5BFE-45D0-9AB8-6E6AFE928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0</xdr:colOff>
      <xdr:row>0</xdr:row>
      <xdr:rowOff>7620</xdr:rowOff>
    </xdr:from>
    <xdr:to>
      <xdr:col>46</xdr:col>
      <xdr:colOff>0</xdr:colOff>
      <xdr:row>33</xdr:row>
      <xdr:rowOff>171450</xdr:rowOff>
    </xdr:to>
    <xdr:graphicFrame macro="">
      <xdr:nvGraphicFramePr>
        <xdr:cNvPr id="6" name="Chart 5">
          <a:extLst>
            <a:ext uri="{FF2B5EF4-FFF2-40B4-BE49-F238E27FC236}">
              <a16:creationId xmlns:a16="http://schemas.microsoft.com/office/drawing/2014/main" id="{88044A7E-2B6F-46E8-82E7-F30A41F44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51</xdr:col>
      <xdr:colOff>177165</xdr:colOff>
      <xdr:row>0</xdr:row>
      <xdr:rowOff>0</xdr:rowOff>
    </xdr:from>
    <xdr:to>
      <xdr:col>64</xdr:col>
      <xdr:colOff>318135</xdr:colOff>
      <xdr:row>24</xdr:row>
      <xdr:rowOff>167639</xdr:rowOff>
    </xdr:to>
    <xdr:graphicFrame macro="">
      <xdr:nvGraphicFramePr>
        <xdr:cNvPr id="7" name="Chart 6">
          <a:extLst>
            <a:ext uri="{FF2B5EF4-FFF2-40B4-BE49-F238E27FC236}">
              <a16:creationId xmlns:a16="http://schemas.microsoft.com/office/drawing/2014/main" id="{A92B2152-1DDD-4428-B7C8-9AD3FA5A8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65</xdr:col>
      <xdr:colOff>161925</xdr:colOff>
      <xdr:row>0</xdr:row>
      <xdr:rowOff>9525</xdr:rowOff>
    </xdr:from>
    <xdr:to>
      <xdr:col>78</xdr:col>
      <xdr:colOff>352425</xdr:colOff>
      <xdr:row>24</xdr:row>
      <xdr:rowOff>169544</xdr:rowOff>
    </xdr:to>
    <xdr:graphicFrame macro="">
      <xdr:nvGraphicFramePr>
        <xdr:cNvPr id="10" name="Chart 9">
          <a:extLst>
            <a:ext uri="{FF2B5EF4-FFF2-40B4-BE49-F238E27FC236}">
              <a16:creationId xmlns:a16="http://schemas.microsoft.com/office/drawing/2014/main" id="{78AB0343-E1E2-4AEF-ACAD-3A0D8656B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79</xdr:row>
      <xdr:rowOff>91440</xdr:rowOff>
    </xdr:from>
    <xdr:to>
      <xdr:col>15</xdr:col>
      <xdr:colOff>43180</xdr:colOff>
      <xdr:row>107</xdr:row>
      <xdr:rowOff>55245</xdr:rowOff>
    </xdr:to>
    <xdr:graphicFrame macro="">
      <xdr:nvGraphicFramePr>
        <xdr:cNvPr id="11" name="Chart 10">
          <a:extLst>
            <a:ext uri="{FF2B5EF4-FFF2-40B4-BE49-F238E27FC236}">
              <a16:creationId xmlns:a16="http://schemas.microsoft.com/office/drawing/2014/main" id="{45C5E053-7F23-4C0D-A83E-E1AD7B2AF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107949</xdr:colOff>
      <xdr:row>0</xdr:row>
      <xdr:rowOff>16933</xdr:rowOff>
    </xdr:from>
    <xdr:to>
      <xdr:col>25</xdr:col>
      <xdr:colOff>285750</xdr:colOff>
      <xdr:row>31</xdr:row>
      <xdr:rowOff>153458</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983191</xdr:colOff>
      <xdr:row>0</xdr:row>
      <xdr:rowOff>0</xdr:rowOff>
    </xdr:from>
    <xdr:to>
      <xdr:col>43</xdr:col>
      <xdr:colOff>31750</xdr:colOff>
      <xdr:row>31</xdr:row>
      <xdr:rowOff>136525</xdr:rowOff>
    </xdr:to>
    <xdr:graphicFrame macro="">
      <xdr:nvGraphicFramePr>
        <xdr:cNvPr id="3" name="Chart 2">
          <a:extLst>
            <a:ext uri="{FF2B5EF4-FFF2-40B4-BE49-F238E27FC236}">
              <a16:creationId xmlns:a16="http://schemas.microsoft.com/office/drawing/2014/main" id="{61BD7196-2539-4764-A9D0-45CEA50C5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247650</xdr:colOff>
      <xdr:row>45</xdr:row>
      <xdr:rowOff>52918</xdr:rowOff>
    </xdr:from>
    <xdr:to>
      <xdr:col>7</xdr:col>
      <xdr:colOff>57150</xdr:colOff>
      <xdr:row>56</xdr:row>
      <xdr:rowOff>110068</xdr:rowOff>
    </xdr:to>
    <xdr:sp macro="" textlink="">
      <xdr:nvSpPr>
        <xdr:cNvPr id="2" name="TextBox 1">
          <a:extLst>
            <a:ext uri="{FF2B5EF4-FFF2-40B4-BE49-F238E27FC236}">
              <a16:creationId xmlns:a16="http://schemas.microsoft.com/office/drawing/2014/main" id="{07F2CAF2-5E31-4AEE-B629-7BD53F13565A}"/>
            </a:ext>
          </a:extLst>
        </xdr:cNvPr>
        <xdr:cNvSpPr txBox="1"/>
      </xdr:nvSpPr>
      <xdr:spPr>
        <a:xfrm>
          <a:off x="840317" y="8614835"/>
          <a:ext cx="4603750"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 examined the spike in the Atlantic Spadefish data that is heavily exagerated</a:t>
          </a:r>
          <a:r>
            <a:rPr lang="en-US" sz="1100" baseline="0"/>
            <a:t> in the calibrated FES data in 2014 to see if I could deterine its cause. After looking at the MRIP intercepts and not finding anything I noticed that the estimates published by MRIP were significantly different than those published by the Science Center. As you go through this document, you will see every species has a comparison graph of the MRIP estimates to the Science Center estimtes and they are mostly very close to one another. There are random years with larger divergences, but nothing systematic I can discern. However, the discrepancy for Atlantic Spadefish in 2014 is the largest I have seen for any species. You'll also notice a significant divergence in 2015.</a:t>
          </a:r>
          <a:endParaRPr lang="en-US" sz="1100"/>
        </a:p>
      </xdr:txBody>
    </xdr:sp>
    <xdr:clientData/>
  </xdr:twoCellAnchor>
  <xdr:twoCellAnchor>
    <xdr:from>
      <xdr:col>12</xdr:col>
      <xdr:colOff>476250</xdr:colOff>
      <xdr:row>2</xdr:row>
      <xdr:rowOff>171450</xdr:rowOff>
    </xdr:from>
    <xdr:to>
      <xdr:col>16</xdr:col>
      <xdr:colOff>74083</xdr:colOff>
      <xdr:row>11</xdr:row>
      <xdr:rowOff>63500</xdr:rowOff>
    </xdr:to>
    <xdr:sp macro="" textlink="">
      <xdr:nvSpPr>
        <xdr:cNvPr id="5" name="TextBox 1">
          <a:extLst>
            <a:ext uri="{FF2B5EF4-FFF2-40B4-BE49-F238E27FC236}">
              <a16:creationId xmlns:a16="http://schemas.microsoft.com/office/drawing/2014/main" id="{F94FD673-7667-42A5-B09A-29642DF69C95}"/>
            </a:ext>
          </a:extLst>
        </xdr:cNvPr>
        <xdr:cNvSpPr txBox="1"/>
      </xdr:nvSpPr>
      <xdr:spPr>
        <a:xfrm>
          <a:off x="8096250" y="552450"/>
          <a:ext cx="3175000" cy="1606550"/>
        </a:xfrm>
        <a:prstGeom prst="rect">
          <a:avLst/>
        </a:prstGeom>
        <a:solidFill>
          <a:schemeClr val="bg1"/>
        </a:solidFill>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a:t>Some concern over the changing difference between</a:t>
          </a:r>
          <a:r>
            <a:rPr lang="en-US" sz="1100" baseline="0"/>
            <a:t> old and new landings. Huge spike due to SEFSC weight methodology. Bring to full SSC. SSC recommends revisiting the ORCS methododlogy when discussing the ABC Control Rule revisions. Recommend setting the ABC using ORCS and the reference period 99-07.</a:t>
          </a:r>
          <a:endParaRPr lang="en-US"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0.06739</cdr:x>
      <cdr:y>0.04697</cdr:y>
    </cdr:from>
    <cdr:to>
      <cdr:x>0.51069</cdr:x>
      <cdr:y>0.42655</cdr:y>
    </cdr:to>
    <cdr:sp macro="" textlink="">
      <cdr:nvSpPr>
        <cdr:cNvPr id="2" name="TextBox 1">
          <a:extLst xmlns:a="http://schemas.openxmlformats.org/drawingml/2006/main">
            <a:ext uri="{FF2B5EF4-FFF2-40B4-BE49-F238E27FC236}">
              <a16:creationId xmlns:a16="http://schemas.microsoft.com/office/drawing/2014/main" id="{C9208AF2-8BA9-4EA3-9235-FEF04C5FCCF6}"/>
            </a:ext>
          </a:extLst>
        </cdr:cNvPr>
        <cdr:cNvSpPr txBox="1"/>
      </cdr:nvSpPr>
      <cdr:spPr>
        <a:xfrm xmlns:a="http://schemas.openxmlformats.org/drawingml/2006/main">
          <a:off x="731800" y="291180"/>
          <a:ext cx="4813573" cy="235296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t>Trend is same during reference period, but significant increase in later part. Should reevaluate</a:t>
          </a:r>
          <a:r>
            <a:rPr lang="en-US" sz="1600" baseline="0"/>
            <a:t> use of third highest. Maybe remove from complex due to targeting. Seems to follow Greater AJ. Ask SEFSC to use Data Limited approaches to assess. Seen increase in SERFS. SSC recommends consideration of removal of Almaco from Jacks. SSC recommends ORCS to get ABC. Use Moderate for Risk of Overexploitation. Consider for SEDAR assessment.</a:t>
          </a:r>
          <a:endParaRPr lang="en-US" sz="1600"/>
        </a:p>
      </cdr:txBody>
    </cdr:sp>
  </cdr:relSizeAnchor>
</c:userShapes>
</file>

<file path=xl/drawings/drawing21.xml><?xml version="1.0" encoding="utf-8"?>
<c:userShapes xmlns:c="http://schemas.openxmlformats.org/drawingml/2006/chart">
  <cdr:relSizeAnchor xmlns:cdr="http://schemas.openxmlformats.org/drawingml/2006/chartDrawing">
    <cdr:from>
      <cdr:x>0.12439</cdr:x>
      <cdr:y>0.11723</cdr:y>
    </cdr:from>
    <cdr:to>
      <cdr:x>0.38294</cdr:x>
      <cdr:y>0.33142</cdr:y>
    </cdr:to>
    <cdr:sp macro="" textlink="">
      <cdr:nvSpPr>
        <cdr:cNvPr id="2" name="TextBox 1">
          <a:extLst xmlns:a="http://schemas.openxmlformats.org/drawingml/2006/main">
            <a:ext uri="{FF2B5EF4-FFF2-40B4-BE49-F238E27FC236}">
              <a16:creationId xmlns:a16="http://schemas.microsoft.com/office/drawing/2014/main" id="{15481293-3A8A-401F-B1E9-6426F5469262}"/>
            </a:ext>
          </a:extLst>
        </cdr:cNvPr>
        <cdr:cNvSpPr txBox="1"/>
      </cdr:nvSpPr>
      <cdr:spPr>
        <a:xfrm xmlns:a="http://schemas.openxmlformats.org/drawingml/2006/main">
          <a:off x="1003300" y="555625"/>
          <a:ext cx="2085443" cy="101517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Generally same trend. Note declining trend</a:t>
          </a:r>
          <a:r>
            <a:rPr lang="en-US" sz="1100" baseline="0"/>
            <a:t> in recent years. May be regulatory. Concur with workgroup.</a:t>
          </a:r>
          <a:endParaRPr lang="en-US" sz="1100"/>
        </a:p>
      </cdr:txBody>
    </cdr:sp>
  </cdr:relSizeAnchor>
</c:userShapes>
</file>

<file path=xl/drawings/drawing22.xml><?xml version="1.0" encoding="utf-8"?>
<c:userShapes xmlns:c="http://schemas.openxmlformats.org/drawingml/2006/chart">
  <cdr:relSizeAnchor xmlns:cdr="http://schemas.openxmlformats.org/drawingml/2006/chartDrawing">
    <cdr:from>
      <cdr:x>0.12246</cdr:x>
      <cdr:y>0.11742</cdr:y>
    </cdr:from>
    <cdr:to>
      <cdr:x>0.37922</cdr:x>
      <cdr:y>0.33195</cdr:y>
    </cdr:to>
    <cdr:sp macro="" textlink="">
      <cdr:nvSpPr>
        <cdr:cNvPr id="2" name="TextBox 1">
          <a:extLst xmlns:a="http://schemas.openxmlformats.org/drawingml/2006/main">
            <a:ext uri="{FF2B5EF4-FFF2-40B4-BE49-F238E27FC236}">
              <a16:creationId xmlns:a16="http://schemas.microsoft.com/office/drawing/2014/main" id="{05F7C614-C748-4ADF-A299-3BAF743FAA6D}"/>
            </a:ext>
          </a:extLst>
        </cdr:cNvPr>
        <cdr:cNvSpPr txBox="1"/>
      </cdr:nvSpPr>
      <cdr:spPr>
        <a:xfrm xmlns:a="http://schemas.openxmlformats.org/drawingml/2006/main">
          <a:off x="993775" y="555625"/>
          <a:ext cx="2083738" cy="101517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Generally same trend. Increase in avg landings may just be due to high variation. Concur with workgroup.</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58</xdr:row>
      <xdr:rowOff>0</xdr:rowOff>
    </xdr:from>
    <xdr:to>
      <xdr:col>11</xdr:col>
      <xdr:colOff>400050</xdr:colOff>
      <xdr:row>83</xdr:row>
      <xdr:rowOff>33020</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xdr:colOff>
      <xdr:row>40</xdr:row>
      <xdr:rowOff>7620</xdr:rowOff>
    </xdr:from>
    <xdr:to>
      <xdr:col>21</xdr:col>
      <xdr:colOff>603885</xdr:colOff>
      <xdr:row>62</xdr:row>
      <xdr:rowOff>7620</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85</xdr:row>
      <xdr:rowOff>19050</xdr:rowOff>
    </xdr:from>
    <xdr:to>
      <xdr:col>11</xdr:col>
      <xdr:colOff>400050</xdr:colOff>
      <xdr:row>110</xdr:row>
      <xdr:rowOff>44450</xdr:rowOff>
    </xdr:to>
    <xdr:graphicFrame macro="">
      <xdr:nvGraphicFramePr>
        <xdr:cNvPr id="7" name="Chart 6">
          <a:extLst>
            <a:ext uri="{FF2B5EF4-FFF2-40B4-BE49-F238E27FC236}">
              <a16:creationId xmlns:a16="http://schemas.microsoft.com/office/drawing/2014/main" id="{86A36FC4-8F26-4775-811C-77DA469A3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0</xdr:colOff>
      <xdr:row>40</xdr:row>
      <xdr:rowOff>0</xdr:rowOff>
    </xdr:from>
    <xdr:to>
      <xdr:col>31</xdr:col>
      <xdr:colOff>110490</xdr:colOff>
      <xdr:row>62</xdr:row>
      <xdr:rowOff>0</xdr:rowOff>
    </xdr:to>
    <xdr:graphicFrame macro="">
      <xdr:nvGraphicFramePr>
        <xdr:cNvPr id="5" name="Chart 4">
          <a:extLst>
            <a:ext uri="{FF2B5EF4-FFF2-40B4-BE49-F238E27FC236}">
              <a16:creationId xmlns:a16="http://schemas.microsoft.com/office/drawing/2014/main" id="{33C253FD-7CA0-4A42-9D98-BB0716EFE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0</xdr:colOff>
      <xdr:row>39</xdr:row>
      <xdr:rowOff>175260</xdr:rowOff>
    </xdr:from>
    <xdr:to>
      <xdr:col>44</xdr:col>
      <xdr:colOff>384810</xdr:colOff>
      <xdr:row>61</xdr:row>
      <xdr:rowOff>175260</xdr:rowOff>
    </xdr:to>
    <xdr:graphicFrame macro="">
      <xdr:nvGraphicFramePr>
        <xdr:cNvPr id="6" name="Chart 5">
          <a:extLst>
            <a:ext uri="{FF2B5EF4-FFF2-40B4-BE49-F238E27FC236}">
              <a16:creationId xmlns:a16="http://schemas.microsoft.com/office/drawing/2014/main" id="{B150BD48-AE93-4BB5-9606-CC56E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0</xdr:row>
      <xdr:rowOff>15240</xdr:rowOff>
    </xdr:from>
    <xdr:to>
      <xdr:col>43</xdr:col>
      <xdr:colOff>510540</xdr:colOff>
      <xdr:row>27</xdr:row>
      <xdr:rowOff>83820</xdr:rowOff>
    </xdr:to>
    <xdr:graphicFrame macro="">
      <xdr:nvGraphicFramePr>
        <xdr:cNvPr id="8" name="Chart 7">
          <a:extLst>
            <a:ext uri="{FF2B5EF4-FFF2-40B4-BE49-F238E27FC236}">
              <a16:creationId xmlns:a16="http://schemas.microsoft.com/office/drawing/2014/main" id="{AA468131-7A2C-423D-902E-4626550AF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43</xdr:col>
      <xdr:colOff>558164</xdr:colOff>
      <xdr:row>0</xdr:row>
      <xdr:rowOff>7620</xdr:rowOff>
    </xdr:from>
    <xdr:to>
      <xdr:col>56</xdr:col>
      <xdr:colOff>487679</xdr:colOff>
      <xdr:row>27</xdr:row>
      <xdr:rowOff>83820</xdr:rowOff>
    </xdr:to>
    <xdr:graphicFrame macro="">
      <xdr:nvGraphicFramePr>
        <xdr:cNvPr id="9" name="Chart 8">
          <a:extLst>
            <a:ext uri="{FF2B5EF4-FFF2-40B4-BE49-F238E27FC236}">
              <a16:creationId xmlns:a16="http://schemas.microsoft.com/office/drawing/2014/main" id="{2567502A-4291-4B20-8C77-61CE509E5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56</xdr:col>
      <xdr:colOff>603884</xdr:colOff>
      <xdr:row>0</xdr:row>
      <xdr:rowOff>0</xdr:rowOff>
    </xdr:from>
    <xdr:to>
      <xdr:col>70</xdr:col>
      <xdr:colOff>45719</xdr:colOff>
      <xdr:row>27</xdr:row>
      <xdr:rowOff>83820</xdr:rowOff>
    </xdr:to>
    <xdr:graphicFrame macro="">
      <xdr:nvGraphicFramePr>
        <xdr:cNvPr id="10" name="Chart 9">
          <a:extLst>
            <a:ext uri="{FF2B5EF4-FFF2-40B4-BE49-F238E27FC236}">
              <a16:creationId xmlns:a16="http://schemas.microsoft.com/office/drawing/2014/main" id="{03F0616F-B144-46EF-B532-B7E3B8821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0.16558</cdr:x>
      <cdr:y>0.11358</cdr:y>
    </cdr:from>
    <cdr:to>
      <cdr:x>0.70959</cdr:x>
      <cdr:y>0.44115</cdr:y>
    </cdr:to>
    <cdr:sp macro="" textlink="">
      <cdr:nvSpPr>
        <cdr:cNvPr id="2" name="TextBox 1">
          <a:extLst xmlns:a="http://schemas.openxmlformats.org/drawingml/2006/main">
            <a:ext uri="{FF2B5EF4-FFF2-40B4-BE49-F238E27FC236}">
              <a16:creationId xmlns:a16="http://schemas.microsoft.com/office/drawing/2014/main" id="{DCF80670-A85F-4C0C-A968-CA203B61CE3E}"/>
            </a:ext>
          </a:extLst>
        </cdr:cNvPr>
        <cdr:cNvSpPr txBox="1"/>
      </cdr:nvSpPr>
      <cdr:spPr>
        <a:xfrm xmlns:a="http://schemas.openxmlformats.org/drawingml/2006/main">
          <a:off x="1295785" y="591987"/>
          <a:ext cx="4257289" cy="170734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similar until 2012, then diverges. Steep increase in landings after that. Magnitude higher in new landings. Look more into landings in later part of time series. Also look at landings</a:t>
          </a:r>
          <a:r>
            <a:rPr lang="en-US" sz="1100" baseline="0"/>
            <a:t> post 2017. Concern over the cause of the sudden increase in landings from 2013 to 2017. Perhaps shift in effort/availability of other Shore Mode species. Not enough information to justify increasing the ABC to levels congruent with the most recent landings. SSC recommends using the current reference period and the ORCS methodology to set the ABC using the new time series. Recommend SEDAR consider this for an assessment.</a:t>
          </a:r>
          <a:endParaRPr lang="en-US" sz="1100"/>
        </a:p>
      </cdr:txBody>
    </cdr:sp>
  </cdr:relSizeAnchor>
</c:userShapes>
</file>

<file path=xl/drawings/drawing25.xml><?xml version="1.0" encoding="utf-8"?>
<c:userShapes xmlns:c="http://schemas.openxmlformats.org/drawingml/2006/chart">
  <cdr:relSizeAnchor xmlns:cdr="http://schemas.openxmlformats.org/drawingml/2006/chartDrawing">
    <cdr:from>
      <cdr:x>0.19597</cdr:x>
      <cdr:y>0.11761</cdr:y>
    </cdr:from>
    <cdr:to>
      <cdr:x>0.47562</cdr:x>
      <cdr:y>0.3414</cdr:y>
    </cdr:to>
    <cdr:sp macro="" textlink="">
      <cdr:nvSpPr>
        <cdr:cNvPr id="2" name="TextBox 1">
          <a:extLst xmlns:a="http://schemas.openxmlformats.org/drawingml/2006/main">
            <a:ext uri="{FF2B5EF4-FFF2-40B4-BE49-F238E27FC236}">
              <a16:creationId xmlns:a16="http://schemas.microsoft.com/office/drawing/2014/main" id="{20B41628-4A55-4BAD-9E46-6D6FF06EC7DD}"/>
            </a:ext>
          </a:extLst>
        </cdr:cNvPr>
        <cdr:cNvSpPr txBox="1"/>
      </cdr:nvSpPr>
      <cdr:spPr>
        <a:xfrm xmlns:a="http://schemas.openxmlformats.org/drawingml/2006/main">
          <a:off x="1612366" y="589692"/>
          <a:ext cx="2300874" cy="1122074"/>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New landings significantly higher in many years than old. Magnitude in reference period</a:t>
          </a:r>
          <a:r>
            <a:rPr lang="en-US" sz="1100" baseline="0"/>
            <a:t> similar to recent landings. SSC concurs with workgroup. SSC recommends revisiting the ORCS methodology.</a:t>
          </a:r>
          <a:endParaRPr lang="en-US" sz="1100"/>
        </a:p>
      </cdr:txBody>
    </cdr:sp>
  </cdr:relSizeAnchor>
</c:userShapes>
</file>

<file path=xl/drawings/drawing26.xml><?xml version="1.0" encoding="utf-8"?>
<c:userShapes xmlns:c="http://schemas.openxmlformats.org/drawingml/2006/chart">
  <cdr:relSizeAnchor xmlns:cdr="http://schemas.openxmlformats.org/drawingml/2006/chartDrawing">
    <cdr:from>
      <cdr:x>0.51046</cdr:x>
      <cdr:y>0.1297</cdr:y>
    </cdr:from>
    <cdr:to>
      <cdr:x>0.82181</cdr:x>
      <cdr:y>0.41801</cdr:y>
    </cdr:to>
    <cdr:sp macro="" textlink="">
      <cdr:nvSpPr>
        <cdr:cNvPr id="2" name="TextBox 1">
          <a:extLst xmlns:a="http://schemas.openxmlformats.org/drawingml/2006/main">
            <a:ext uri="{FF2B5EF4-FFF2-40B4-BE49-F238E27FC236}">
              <a16:creationId xmlns:a16="http://schemas.microsoft.com/office/drawing/2014/main" id="{B88DFE85-BE3E-4F53-9FF4-A879B775D019}"/>
            </a:ext>
          </a:extLst>
        </cdr:cNvPr>
        <cdr:cNvSpPr txBox="1"/>
      </cdr:nvSpPr>
      <cdr:spPr>
        <a:xfrm xmlns:a="http://schemas.openxmlformats.org/drawingml/2006/main">
          <a:off x="3689350" y="612775"/>
          <a:ext cx="2250353" cy="1362075"/>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Rare event species most likely contributing to this variability.</a:t>
          </a:r>
          <a:r>
            <a:rPr lang="en-US" sz="1100" baseline="0"/>
            <a:t> Consider as Ecosystem Component. SSC concurs with workgroup.</a:t>
          </a:r>
          <a:endParaRPr lang="en-US" sz="1100"/>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1</xdr:colOff>
      <xdr:row>59</xdr:row>
      <xdr:rowOff>24765</xdr:rowOff>
    </xdr:from>
    <xdr:to>
      <xdr:col>14</xdr:col>
      <xdr:colOff>485776</xdr:colOff>
      <xdr:row>88</xdr:row>
      <xdr:rowOff>104775</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7620</xdr:colOff>
      <xdr:row>39</xdr:row>
      <xdr:rowOff>175260</xdr:rowOff>
    </xdr:from>
    <xdr:to>
      <xdr:col>30</xdr:col>
      <xdr:colOff>586740</xdr:colOff>
      <xdr:row>64</xdr:row>
      <xdr:rowOff>167640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89</xdr:row>
      <xdr:rowOff>47625</xdr:rowOff>
    </xdr:from>
    <xdr:to>
      <xdr:col>14</xdr:col>
      <xdr:colOff>504825</xdr:colOff>
      <xdr:row>118</xdr:row>
      <xdr:rowOff>142875</xdr:rowOff>
    </xdr:to>
    <xdr:graphicFrame macro="">
      <xdr:nvGraphicFramePr>
        <xdr:cNvPr id="7" name="Chart 6">
          <a:extLst>
            <a:ext uri="{FF2B5EF4-FFF2-40B4-BE49-F238E27FC236}">
              <a16:creationId xmlns:a16="http://schemas.microsoft.com/office/drawing/2014/main" id="{F700F879-34AB-47F0-B47D-4F7FDBC82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47</xdr:col>
      <xdr:colOff>523875</xdr:colOff>
      <xdr:row>24</xdr:row>
      <xdr:rowOff>26669</xdr:rowOff>
    </xdr:from>
    <xdr:to>
      <xdr:col>60</xdr:col>
      <xdr:colOff>533400</xdr:colOff>
      <xdr:row>47</xdr:row>
      <xdr:rowOff>140930</xdr:rowOff>
    </xdr:to>
    <xdr:graphicFrame macro="">
      <xdr:nvGraphicFramePr>
        <xdr:cNvPr id="9" name="Chart 8">
          <a:extLst>
            <a:ext uri="{FF2B5EF4-FFF2-40B4-BE49-F238E27FC236}">
              <a16:creationId xmlns:a16="http://schemas.microsoft.com/office/drawing/2014/main" id="{8496566F-2831-4769-893D-264DC9C04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66</xdr:row>
      <xdr:rowOff>22859</xdr:rowOff>
    </xdr:from>
    <xdr:to>
      <xdr:col>30</xdr:col>
      <xdr:colOff>579120</xdr:colOff>
      <xdr:row>92</xdr:row>
      <xdr:rowOff>178734</xdr:rowOff>
    </xdr:to>
    <xdr:graphicFrame macro="">
      <xdr:nvGraphicFramePr>
        <xdr:cNvPr id="11" name="Chart 10">
          <a:extLst>
            <a:ext uri="{FF2B5EF4-FFF2-40B4-BE49-F238E27FC236}">
              <a16:creationId xmlns:a16="http://schemas.microsoft.com/office/drawing/2014/main" id="{584078E1-1A76-4BE9-85E3-456BC6FD6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26670</xdr:colOff>
      <xdr:row>65</xdr:row>
      <xdr:rowOff>152400</xdr:rowOff>
    </xdr:from>
    <xdr:to>
      <xdr:col>47</xdr:col>
      <xdr:colOff>22859</xdr:colOff>
      <xdr:row>93</xdr:row>
      <xdr:rowOff>7620</xdr:rowOff>
    </xdr:to>
    <xdr:graphicFrame macro="">
      <xdr:nvGraphicFramePr>
        <xdr:cNvPr id="12" name="Chart 11">
          <a:extLst>
            <a:ext uri="{FF2B5EF4-FFF2-40B4-BE49-F238E27FC236}">
              <a16:creationId xmlns:a16="http://schemas.microsoft.com/office/drawing/2014/main" id="{4C61FAE8-3C83-4D1A-8FCC-A3F90D621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61</xdr:col>
      <xdr:colOff>243840</xdr:colOff>
      <xdr:row>24</xdr:row>
      <xdr:rowOff>9524</xdr:rowOff>
    </xdr:from>
    <xdr:to>
      <xdr:col>76</xdr:col>
      <xdr:colOff>265357</xdr:colOff>
      <xdr:row>47</xdr:row>
      <xdr:rowOff>114300</xdr:rowOff>
    </xdr:to>
    <xdr:graphicFrame macro="">
      <xdr:nvGraphicFramePr>
        <xdr:cNvPr id="13" name="Chart 12">
          <a:extLst>
            <a:ext uri="{FF2B5EF4-FFF2-40B4-BE49-F238E27FC236}">
              <a16:creationId xmlns:a16="http://schemas.microsoft.com/office/drawing/2014/main" id="{761CB6A9-EF67-4011-BFB3-7D9C0EC63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643890</xdr:colOff>
      <xdr:row>39</xdr:row>
      <xdr:rowOff>158115</xdr:rowOff>
    </xdr:from>
    <xdr:to>
      <xdr:col>46</xdr:col>
      <xdr:colOff>670559</xdr:colOff>
      <xdr:row>64</xdr:row>
      <xdr:rowOff>140463</xdr:rowOff>
    </xdr:to>
    <xdr:graphicFrame macro="">
      <xdr:nvGraphicFramePr>
        <xdr:cNvPr id="14" name="Chart 13">
          <a:extLst>
            <a:ext uri="{FF2B5EF4-FFF2-40B4-BE49-F238E27FC236}">
              <a16:creationId xmlns:a16="http://schemas.microsoft.com/office/drawing/2014/main" id="{ECE9C98D-61D1-401F-A557-6EBAB54A6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523875</xdr:colOff>
      <xdr:row>0</xdr:row>
      <xdr:rowOff>0</xdr:rowOff>
    </xdr:from>
    <xdr:to>
      <xdr:col>60</xdr:col>
      <xdr:colOff>533400</xdr:colOff>
      <xdr:row>23</xdr:row>
      <xdr:rowOff>104774</xdr:rowOff>
    </xdr:to>
    <xdr:graphicFrame macro="">
      <xdr:nvGraphicFramePr>
        <xdr:cNvPr id="15" name="Chart 14">
          <a:extLst>
            <a:ext uri="{FF2B5EF4-FFF2-40B4-BE49-F238E27FC236}">
              <a16:creationId xmlns:a16="http://schemas.microsoft.com/office/drawing/2014/main" id="{24F12DDB-4A5D-4E51-A82D-75B3DF83D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61</xdr:col>
      <xdr:colOff>236220</xdr:colOff>
      <xdr:row>0</xdr:row>
      <xdr:rowOff>0</xdr:rowOff>
    </xdr:from>
    <xdr:to>
      <xdr:col>76</xdr:col>
      <xdr:colOff>257737</xdr:colOff>
      <xdr:row>23</xdr:row>
      <xdr:rowOff>95290</xdr:rowOff>
    </xdr:to>
    <xdr:graphicFrame macro="">
      <xdr:nvGraphicFramePr>
        <xdr:cNvPr id="16" name="Chart 15">
          <a:extLst>
            <a:ext uri="{FF2B5EF4-FFF2-40B4-BE49-F238E27FC236}">
              <a16:creationId xmlns:a16="http://schemas.microsoft.com/office/drawing/2014/main" id="{4774E6B0-8DEB-44BD-BC06-4E2B7769D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48</xdr:col>
      <xdr:colOff>0</xdr:colOff>
      <xdr:row>49</xdr:row>
      <xdr:rowOff>0</xdr:rowOff>
    </xdr:from>
    <xdr:to>
      <xdr:col>61</xdr:col>
      <xdr:colOff>194310</xdr:colOff>
      <xdr:row>77</xdr:row>
      <xdr:rowOff>152400</xdr:rowOff>
    </xdr:to>
    <xdr:pic>
      <xdr:nvPicPr>
        <xdr:cNvPr id="18" name="Picture 17">
          <a:extLst>
            <a:ext uri="{FF2B5EF4-FFF2-40B4-BE49-F238E27FC236}">
              <a16:creationId xmlns:a16="http://schemas.microsoft.com/office/drawing/2014/main" id="{0FE5A799-869D-4CAE-B6C9-A716B46E897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5212020" y="8961120"/>
          <a:ext cx="8435340" cy="527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38100</xdr:colOff>
      <xdr:row>0</xdr:row>
      <xdr:rowOff>0</xdr:rowOff>
    </xdr:from>
    <xdr:to>
      <xdr:col>47</xdr:col>
      <xdr:colOff>567690</xdr:colOff>
      <xdr:row>27</xdr:row>
      <xdr:rowOff>77627</xdr:rowOff>
    </xdr:to>
    <xdr:pic>
      <xdr:nvPicPr>
        <xdr:cNvPr id="19" name="Picture 18">
          <a:extLst>
            <a:ext uri="{FF2B5EF4-FFF2-40B4-BE49-F238E27FC236}">
              <a16:creationId xmlns:a16="http://schemas.microsoft.com/office/drawing/2014/main" id="{97362D39-3551-421A-BC23-06C755D0590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7264360" y="0"/>
          <a:ext cx="7901940" cy="5015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c:userShapes xmlns:c="http://schemas.openxmlformats.org/drawingml/2006/chart">
  <cdr:relSizeAnchor xmlns:cdr="http://schemas.openxmlformats.org/drawingml/2006/chartDrawing">
    <cdr:from>
      <cdr:x>0.19364</cdr:x>
      <cdr:y>0.03249</cdr:y>
    </cdr:from>
    <cdr:to>
      <cdr:x>0.45285</cdr:x>
      <cdr:y>0.26314</cdr:y>
    </cdr:to>
    <cdr:sp macro="" textlink="">
      <cdr:nvSpPr>
        <cdr:cNvPr id="2" name="TextBox 1">
          <a:extLst xmlns:a="http://schemas.openxmlformats.org/drawingml/2006/main">
            <a:ext uri="{FF2B5EF4-FFF2-40B4-BE49-F238E27FC236}">
              <a16:creationId xmlns:a16="http://schemas.microsoft.com/office/drawing/2014/main" id="{6CCBFB3F-E641-4AE9-BE70-867F883CCB6E}"/>
            </a:ext>
          </a:extLst>
        </cdr:cNvPr>
        <cdr:cNvSpPr txBox="1"/>
      </cdr:nvSpPr>
      <cdr:spPr>
        <a:xfrm xmlns:a="http://schemas.openxmlformats.org/drawingml/2006/main">
          <a:off x="1584326" y="146051"/>
          <a:ext cx="2120900" cy="1036956"/>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SERFS</a:t>
          </a:r>
          <a:r>
            <a:rPr lang="en-US" sz="1100" baseline="0"/>
            <a:t> trend increasing since 2006. Landings trends generally similar, larger magnitude and variability from 1999 to 2008. No concerns. SSC concurs with workgroup.</a:t>
          </a:r>
          <a:endParaRPr lang="en-US" sz="1100"/>
        </a:p>
      </cdr:txBody>
    </cdr:sp>
  </cdr:relSizeAnchor>
</c:userShapes>
</file>

<file path=xl/drawings/drawing29.xml><?xml version="1.0" encoding="utf-8"?>
<c:userShapes xmlns:c="http://schemas.openxmlformats.org/drawingml/2006/chart">
  <cdr:relSizeAnchor xmlns:cdr="http://schemas.openxmlformats.org/drawingml/2006/chartDrawing">
    <cdr:from>
      <cdr:x>0.70662</cdr:x>
      <cdr:y>0.02112</cdr:y>
    </cdr:from>
    <cdr:to>
      <cdr:x>0.99871</cdr:x>
      <cdr:y>0.30491</cdr:y>
    </cdr:to>
    <cdr:sp macro="" textlink="">
      <cdr:nvSpPr>
        <cdr:cNvPr id="2" name="TextBox 1">
          <a:extLst xmlns:a="http://schemas.openxmlformats.org/drawingml/2006/main">
            <a:ext uri="{FF2B5EF4-FFF2-40B4-BE49-F238E27FC236}">
              <a16:creationId xmlns:a16="http://schemas.microsoft.com/office/drawing/2014/main" id="{28BB9C9B-F832-49A9-AE78-5AEAF7154B64}"/>
            </a:ext>
          </a:extLst>
        </cdr:cNvPr>
        <cdr:cNvSpPr txBox="1"/>
      </cdr:nvSpPr>
      <cdr:spPr>
        <a:xfrm xmlns:a="http://schemas.openxmlformats.org/drawingml/2006/main">
          <a:off x="6473882" y="94812"/>
          <a:ext cx="2676043" cy="1273701"/>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May be ID issue. Large landings could just be an artifact of the large variance</a:t>
          </a:r>
          <a:r>
            <a:rPr lang="en-US" sz="1100" baseline="0"/>
            <a:t> in the estimates due to lack of intercept data during those time periods or random chance of when they occured. SSC concurs with workgroup. Recommend for Ecosystem Component species.</a:t>
          </a:r>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10</xdr:col>
      <xdr:colOff>295274</xdr:colOff>
      <xdr:row>0</xdr:row>
      <xdr:rowOff>0</xdr:rowOff>
    </xdr:from>
    <xdr:to>
      <xdr:col>23</xdr:col>
      <xdr:colOff>352425</xdr:colOff>
      <xdr:row>31</xdr:row>
      <xdr:rowOff>48895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0</xdr:row>
      <xdr:rowOff>0</xdr:rowOff>
    </xdr:from>
    <xdr:to>
      <xdr:col>38</xdr:col>
      <xdr:colOff>581026</xdr:colOff>
      <xdr:row>31</xdr:row>
      <xdr:rowOff>48895</xdr:rowOff>
    </xdr:to>
    <xdr:graphicFrame macro="">
      <xdr:nvGraphicFramePr>
        <xdr:cNvPr id="3" name="Chart 2">
          <a:extLst>
            <a:ext uri="{FF2B5EF4-FFF2-40B4-BE49-F238E27FC236}">
              <a16:creationId xmlns:a16="http://schemas.microsoft.com/office/drawing/2014/main" id="{D473D34B-0BDF-4EEF-9223-0A343936C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0.43811</cdr:x>
      <cdr:y>0.10474</cdr:y>
    </cdr:from>
    <cdr:to>
      <cdr:x>0.79394</cdr:x>
      <cdr:y>0.33121</cdr:y>
    </cdr:to>
    <cdr:sp macro="" textlink="">
      <cdr:nvSpPr>
        <cdr:cNvPr id="2" name="TextBox 1">
          <a:extLst xmlns:a="http://schemas.openxmlformats.org/drawingml/2006/main">
            <a:ext uri="{FF2B5EF4-FFF2-40B4-BE49-F238E27FC236}">
              <a16:creationId xmlns:a16="http://schemas.microsoft.com/office/drawing/2014/main" id="{E833DBEF-32B5-4A59-BFD3-CAAE34DDF08C}"/>
            </a:ext>
          </a:extLst>
        </cdr:cNvPr>
        <cdr:cNvSpPr txBox="1"/>
      </cdr:nvSpPr>
      <cdr:spPr>
        <a:xfrm xmlns:a="http://schemas.openxmlformats.org/drawingml/2006/main">
          <a:off x="3584575" y="469901"/>
          <a:ext cx="2911457" cy="10160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similar,</a:t>
          </a:r>
          <a:r>
            <a:rPr lang="en-US" sz="1100" baseline="0"/>
            <a:t> magnitude somewhat higher. Increasing SERFS trend in later part of time series. Most likely has northern and southern population. Concur with workgroup.</a:t>
          </a:r>
          <a:endParaRPr lang="en-US" sz="1100"/>
        </a:p>
      </cdr:txBody>
    </cdr:sp>
  </cdr:relSizeAnchor>
</c:userShapes>
</file>

<file path=xl/drawings/drawing31.xml><?xml version="1.0" encoding="utf-8"?>
<c:userShapes xmlns:c="http://schemas.openxmlformats.org/drawingml/2006/chart">
  <cdr:relSizeAnchor xmlns:cdr="http://schemas.openxmlformats.org/drawingml/2006/chartDrawing">
    <cdr:from>
      <cdr:x>0.44617</cdr:x>
      <cdr:y>0.1539</cdr:y>
    </cdr:from>
    <cdr:to>
      <cdr:x>0.71727</cdr:x>
      <cdr:y>0.37446</cdr:y>
    </cdr:to>
    <cdr:sp macro="" textlink="">
      <cdr:nvSpPr>
        <cdr:cNvPr id="2" name="TextBox 1">
          <a:extLst xmlns:a="http://schemas.openxmlformats.org/drawingml/2006/main">
            <a:ext uri="{FF2B5EF4-FFF2-40B4-BE49-F238E27FC236}">
              <a16:creationId xmlns:a16="http://schemas.microsoft.com/office/drawing/2014/main" id="{800DC71E-1561-401B-B556-A822F96E3355}"/>
            </a:ext>
          </a:extLst>
        </cdr:cNvPr>
        <cdr:cNvSpPr txBox="1"/>
      </cdr:nvSpPr>
      <cdr:spPr>
        <a:xfrm xmlns:a="http://schemas.openxmlformats.org/drawingml/2006/main">
          <a:off x="4089400" y="688975"/>
          <a:ext cx="2484755" cy="9874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New rec data adds variability.</a:t>
          </a:r>
          <a:r>
            <a:rPr lang="en-US" sz="1100" baseline="0"/>
            <a:t> No trend. Consider for Ecosystem Component. SSC concurs with workgroup. Recommend reevaluating the relaibility of the catch data.</a:t>
          </a:r>
          <a:endParaRPr lang="en-US" sz="1100"/>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57</xdr:row>
      <xdr:rowOff>190499</xdr:rowOff>
    </xdr:from>
    <xdr:to>
      <xdr:col>13</xdr:col>
      <xdr:colOff>0</xdr:colOff>
      <xdr:row>87</xdr:row>
      <xdr:rowOff>47624</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20320</xdr:colOff>
      <xdr:row>48</xdr:row>
      <xdr:rowOff>38100</xdr:rowOff>
    </xdr:from>
    <xdr:to>
      <xdr:col>24</xdr:col>
      <xdr:colOff>45720</xdr:colOff>
      <xdr:row>72</xdr:row>
      <xdr:rowOff>54408</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88</xdr:row>
      <xdr:rowOff>28575</xdr:rowOff>
    </xdr:from>
    <xdr:to>
      <xdr:col>13</xdr:col>
      <xdr:colOff>0</xdr:colOff>
      <xdr:row>117</xdr:row>
      <xdr:rowOff>76200</xdr:rowOff>
    </xdr:to>
    <xdr:graphicFrame macro="">
      <xdr:nvGraphicFramePr>
        <xdr:cNvPr id="9" name="Chart 8">
          <a:extLst>
            <a:ext uri="{FF2B5EF4-FFF2-40B4-BE49-F238E27FC236}">
              <a16:creationId xmlns:a16="http://schemas.microsoft.com/office/drawing/2014/main" id="{1290FD26-6A29-4AC4-B8E9-7CC174D22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48</xdr:row>
      <xdr:rowOff>37618</xdr:rowOff>
    </xdr:from>
    <xdr:to>
      <xdr:col>35</xdr:col>
      <xdr:colOff>170180</xdr:colOff>
      <xdr:row>72</xdr:row>
      <xdr:rowOff>68580</xdr:rowOff>
    </xdr:to>
    <xdr:graphicFrame macro="">
      <xdr:nvGraphicFramePr>
        <xdr:cNvPr id="10" name="Chart 9">
          <a:extLst>
            <a:ext uri="{FF2B5EF4-FFF2-40B4-BE49-F238E27FC236}">
              <a16:creationId xmlns:a16="http://schemas.microsoft.com/office/drawing/2014/main" id="{CF6B7F07-7C45-40B7-9021-34BD1E3FF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48</xdr:row>
      <xdr:rowOff>37618</xdr:rowOff>
    </xdr:from>
    <xdr:to>
      <xdr:col>46</xdr:col>
      <xdr:colOff>60960</xdr:colOff>
      <xdr:row>72</xdr:row>
      <xdr:rowOff>68580</xdr:rowOff>
    </xdr:to>
    <xdr:graphicFrame macro="">
      <xdr:nvGraphicFramePr>
        <xdr:cNvPr id="11" name="Chart 10">
          <a:extLst>
            <a:ext uri="{FF2B5EF4-FFF2-40B4-BE49-F238E27FC236}">
              <a16:creationId xmlns:a16="http://schemas.microsoft.com/office/drawing/2014/main" id="{86F2697D-AA83-4869-8D27-739BB4CE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74</xdr:row>
      <xdr:rowOff>0</xdr:rowOff>
    </xdr:from>
    <xdr:to>
      <xdr:col>24</xdr:col>
      <xdr:colOff>25400</xdr:colOff>
      <xdr:row>98</xdr:row>
      <xdr:rowOff>60960</xdr:rowOff>
    </xdr:to>
    <xdr:graphicFrame macro="">
      <xdr:nvGraphicFramePr>
        <xdr:cNvPr id="12" name="Chart 11">
          <a:extLst>
            <a:ext uri="{FF2B5EF4-FFF2-40B4-BE49-F238E27FC236}">
              <a16:creationId xmlns:a16="http://schemas.microsoft.com/office/drawing/2014/main" id="{79DE8EA1-11E4-4897-8E4F-729C7471C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0</xdr:colOff>
      <xdr:row>74</xdr:row>
      <xdr:rowOff>0</xdr:rowOff>
    </xdr:from>
    <xdr:to>
      <xdr:col>35</xdr:col>
      <xdr:colOff>170180</xdr:colOff>
      <xdr:row>98</xdr:row>
      <xdr:rowOff>60960</xdr:rowOff>
    </xdr:to>
    <xdr:graphicFrame macro="">
      <xdr:nvGraphicFramePr>
        <xdr:cNvPr id="13" name="Chart 12">
          <a:extLst>
            <a:ext uri="{FF2B5EF4-FFF2-40B4-BE49-F238E27FC236}">
              <a16:creationId xmlns:a16="http://schemas.microsoft.com/office/drawing/2014/main" id="{EBB2F669-6092-4158-BB06-A3235959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0</xdr:colOff>
      <xdr:row>74</xdr:row>
      <xdr:rowOff>0</xdr:rowOff>
    </xdr:from>
    <xdr:to>
      <xdr:col>46</xdr:col>
      <xdr:colOff>60960</xdr:colOff>
      <xdr:row>98</xdr:row>
      <xdr:rowOff>60960</xdr:rowOff>
    </xdr:to>
    <xdr:graphicFrame macro="">
      <xdr:nvGraphicFramePr>
        <xdr:cNvPr id="14" name="Chart 13">
          <a:extLst>
            <a:ext uri="{FF2B5EF4-FFF2-40B4-BE49-F238E27FC236}">
              <a16:creationId xmlns:a16="http://schemas.microsoft.com/office/drawing/2014/main" id="{84B9C856-F370-46A9-ACB7-E60A4177D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49</xdr:col>
      <xdr:colOff>20320</xdr:colOff>
      <xdr:row>0</xdr:row>
      <xdr:rowOff>482</xdr:rowOff>
    </xdr:from>
    <xdr:to>
      <xdr:col>61</xdr:col>
      <xdr:colOff>213360</xdr:colOff>
      <xdr:row>24</xdr:row>
      <xdr:rowOff>16790</xdr:rowOff>
    </xdr:to>
    <xdr:graphicFrame macro="">
      <xdr:nvGraphicFramePr>
        <xdr:cNvPr id="15" name="Chart 14">
          <a:extLst>
            <a:ext uri="{FF2B5EF4-FFF2-40B4-BE49-F238E27FC236}">
              <a16:creationId xmlns:a16="http://schemas.microsoft.com/office/drawing/2014/main" id="{3F317843-F1F1-429F-966B-F80615FFF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63</xdr:col>
      <xdr:colOff>396240</xdr:colOff>
      <xdr:row>0</xdr:row>
      <xdr:rowOff>0</xdr:rowOff>
    </xdr:from>
    <xdr:to>
      <xdr:col>77</xdr:col>
      <xdr:colOff>223520</xdr:colOff>
      <xdr:row>24</xdr:row>
      <xdr:rowOff>30962</xdr:rowOff>
    </xdr:to>
    <xdr:graphicFrame macro="">
      <xdr:nvGraphicFramePr>
        <xdr:cNvPr id="16" name="Chart 15">
          <a:extLst>
            <a:ext uri="{FF2B5EF4-FFF2-40B4-BE49-F238E27FC236}">
              <a16:creationId xmlns:a16="http://schemas.microsoft.com/office/drawing/2014/main" id="{F82D5F57-896A-4E96-96DA-97E04AC72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78</xdr:col>
      <xdr:colOff>53338</xdr:colOff>
      <xdr:row>0</xdr:row>
      <xdr:rowOff>0</xdr:rowOff>
    </xdr:from>
    <xdr:to>
      <xdr:col>91</xdr:col>
      <xdr:colOff>476249</xdr:colOff>
      <xdr:row>24</xdr:row>
      <xdr:rowOff>30962</xdr:rowOff>
    </xdr:to>
    <xdr:graphicFrame macro="">
      <xdr:nvGraphicFramePr>
        <xdr:cNvPr id="17" name="Chart 16">
          <a:extLst>
            <a:ext uri="{FF2B5EF4-FFF2-40B4-BE49-F238E27FC236}">
              <a16:creationId xmlns:a16="http://schemas.microsoft.com/office/drawing/2014/main" id="{A20A39F8-1784-4C41-B286-68EF43E2D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49</xdr:col>
      <xdr:colOff>0</xdr:colOff>
      <xdr:row>25</xdr:row>
      <xdr:rowOff>145262</xdr:rowOff>
    </xdr:from>
    <xdr:to>
      <xdr:col>61</xdr:col>
      <xdr:colOff>193040</xdr:colOff>
      <xdr:row>50</xdr:row>
      <xdr:rowOff>23342</xdr:rowOff>
    </xdr:to>
    <xdr:graphicFrame macro="">
      <xdr:nvGraphicFramePr>
        <xdr:cNvPr id="18" name="Chart 17">
          <a:extLst>
            <a:ext uri="{FF2B5EF4-FFF2-40B4-BE49-F238E27FC236}">
              <a16:creationId xmlns:a16="http://schemas.microsoft.com/office/drawing/2014/main" id="{1629822E-A29B-4CC8-8FBC-62660DD5F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63</xdr:col>
      <xdr:colOff>396240</xdr:colOff>
      <xdr:row>25</xdr:row>
      <xdr:rowOff>145262</xdr:rowOff>
    </xdr:from>
    <xdr:to>
      <xdr:col>77</xdr:col>
      <xdr:colOff>223520</xdr:colOff>
      <xdr:row>50</xdr:row>
      <xdr:rowOff>23342</xdr:rowOff>
    </xdr:to>
    <xdr:graphicFrame macro="">
      <xdr:nvGraphicFramePr>
        <xdr:cNvPr id="19" name="Chart 18">
          <a:extLst>
            <a:ext uri="{FF2B5EF4-FFF2-40B4-BE49-F238E27FC236}">
              <a16:creationId xmlns:a16="http://schemas.microsoft.com/office/drawing/2014/main" id="{94DD5684-BE11-45A1-9567-265838AD7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78</xdr:col>
      <xdr:colOff>53338</xdr:colOff>
      <xdr:row>25</xdr:row>
      <xdr:rowOff>145262</xdr:rowOff>
    </xdr:from>
    <xdr:to>
      <xdr:col>91</xdr:col>
      <xdr:colOff>476249</xdr:colOff>
      <xdr:row>50</xdr:row>
      <xdr:rowOff>23342</xdr:rowOff>
    </xdr:to>
    <xdr:graphicFrame macro="">
      <xdr:nvGraphicFramePr>
        <xdr:cNvPr id="20" name="Chart 19">
          <a:extLst>
            <a:ext uri="{FF2B5EF4-FFF2-40B4-BE49-F238E27FC236}">
              <a16:creationId xmlns:a16="http://schemas.microsoft.com/office/drawing/2014/main" id="{E1EA2D32-6B26-4CD5-9784-9287442E9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0.51938</cdr:x>
      <cdr:y>0.10449</cdr:y>
    </cdr:from>
    <cdr:to>
      <cdr:x>0.78166</cdr:x>
      <cdr:y>0.34035</cdr:y>
    </cdr:to>
    <cdr:sp macro="" textlink="">
      <cdr:nvSpPr>
        <cdr:cNvPr id="2" name="TextBox 4">
          <a:extLst xmlns:a="http://schemas.openxmlformats.org/drawingml/2006/main">
            <a:ext uri="{FF2B5EF4-FFF2-40B4-BE49-F238E27FC236}">
              <a16:creationId xmlns:a16="http://schemas.microsoft.com/office/drawing/2014/main" id="{BC6F0A2D-3F54-4321-BEDD-A89E22724FA6}"/>
            </a:ext>
          </a:extLst>
        </cdr:cNvPr>
        <cdr:cNvSpPr txBox="1"/>
      </cdr:nvSpPr>
      <cdr:spPr>
        <a:xfrm xmlns:a="http://schemas.openxmlformats.org/drawingml/2006/main">
          <a:off x="4518025" y="479425"/>
          <a:ext cx="2281555" cy="108219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Check on differfence in exploitation category between Red and Rock Hind. Trends generally the same between new and old. SSC concurs with workgroup.</a:t>
          </a:r>
        </a:p>
      </cdr:txBody>
    </cdr:sp>
  </cdr:relSizeAnchor>
</c:userShapes>
</file>

<file path=xl/drawings/drawing34.xml><?xml version="1.0" encoding="utf-8"?>
<c:userShapes xmlns:c="http://schemas.openxmlformats.org/drawingml/2006/chart">
  <cdr:relSizeAnchor xmlns:cdr="http://schemas.openxmlformats.org/drawingml/2006/chartDrawing">
    <cdr:from>
      <cdr:x>0.1291</cdr:x>
      <cdr:y>0.10623</cdr:y>
    </cdr:from>
    <cdr:to>
      <cdr:x>0.39573</cdr:x>
      <cdr:y>0.30969</cdr:y>
    </cdr:to>
    <cdr:sp macro="" textlink="">
      <cdr:nvSpPr>
        <cdr:cNvPr id="2" name="TextBox 4">
          <a:extLst xmlns:a="http://schemas.openxmlformats.org/drawingml/2006/main">
            <a:ext uri="{FF2B5EF4-FFF2-40B4-BE49-F238E27FC236}">
              <a16:creationId xmlns:a16="http://schemas.microsoft.com/office/drawing/2014/main" id="{709076EE-FE19-4604-8CD6-429137F894F0}"/>
            </a:ext>
          </a:extLst>
        </cdr:cNvPr>
        <cdr:cNvSpPr txBox="1"/>
      </cdr:nvSpPr>
      <cdr:spPr>
        <a:xfrm xmlns:a="http://schemas.openxmlformats.org/drawingml/2006/main">
          <a:off x="1079499" y="488950"/>
          <a:ext cx="2229485" cy="9365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Check on differfence in exploitation category between Red and Rock Hind. Trends generally the same between new and old. </a:t>
          </a:r>
          <a:r>
            <a:rPr lang="en-US" sz="1100">
              <a:solidFill>
                <a:schemeClr val="dk1"/>
              </a:solidFill>
              <a:effectLst/>
              <a:latin typeface="+mn-lt"/>
              <a:ea typeface="+mn-ea"/>
              <a:cs typeface="+mn-cs"/>
            </a:rPr>
            <a:t>SSC concurs with workgroup.</a:t>
          </a:r>
          <a:endParaRPr lang="en-US" sz="1100"/>
        </a:p>
      </cdr:txBody>
    </cdr:sp>
  </cdr:relSizeAnchor>
</c:userShapes>
</file>

<file path=xl/drawings/drawing35.xml><?xml version="1.0" encoding="utf-8"?>
<c:userShapes xmlns:c="http://schemas.openxmlformats.org/drawingml/2006/chart">
  <cdr:relSizeAnchor xmlns:cdr="http://schemas.openxmlformats.org/drawingml/2006/chartDrawing">
    <cdr:from>
      <cdr:x>0.12019</cdr:x>
      <cdr:y>0.12278</cdr:y>
    </cdr:from>
    <cdr:to>
      <cdr:x>0.39639</cdr:x>
      <cdr:y>0.30212</cdr:y>
    </cdr:to>
    <cdr:sp macro="" textlink="">
      <cdr:nvSpPr>
        <cdr:cNvPr id="2" name="TextBox 1">
          <a:extLst xmlns:a="http://schemas.openxmlformats.org/drawingml/2006/main">
            <a:ext uri="{FF2B5EF4-FFF2-40B4-BE49-F238E27FC236}">
              <a16:creationId xmlns:a16="http://schemas.microsoft.com/office/drawing/2014/main" id="{DBE87D75-7165-4F39-BB41-268241F57136}"/>
            </a:ext>
          </a:extLst>
        </cdr:cNvPr>
        <cdr:cNvSpPr txBox="1"/>
      </cdr:nvSpPr>
      <cdr:spPr>
        <a:xfrm xmlns:a="http://schemas.openxmlformats.org/drawingml/2006/main">
          <a:off x="1003300" y="565150"/>
          <a:ext cx="2305687" cy="8255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of</a:t>
          </a:r>
          <a:r>
            <a:rPr lang="en-US" sz="1100" baseline="0"/>
            <a:t> landings generally unchanged. ID issue with Scamp. Currently in Research </a:t>
          </a:r>
          <a:r>
            <a:rPr lang="en-US" sz="1100" baseline="0">
              <a:effectLst/>
              <a:latin typeface="+mn-lt"/>
              <a:ea typeface="+mn-ea"/>
              <a:cs typeface="+mn-cs"/>
            </a:rPr>
            <a:t>Track.</a:t>
          </a:r>
          <a:r>
            <a:rPr lang="en-US" sz="1100" baseline="0"/>
            <a:t> </a:t>
          </a:r>
          <a:r>
            <a:rPr lang="en-US" sz="1100">
              <a:effectLst/>
              <a:latin typeface="+mn-lt"/>
              <a:ea typeface="+mn-ea"/>
              <a:cs typeface="+mn-cs"/>
            </a:rPr>
            <a:t>SSC concurs with workgroup.</a:t>
          </a:r>
          <a:endParaRPr lang="en-US" sz="1100"/>
        </a:p>
      </cdr:txBody>
    </cdr:sp>
  </cdr:relSizeAnchor>
</c:userShapes>
</file>

<file path=xl/drawings/drawing36.xml><?xml version="1.0" encoding="utf-8"?>
<c:userShapes xmlns:c="http://schemas.openxmlformats.org/drawingml/2006/chart">
  <cdr:relSizeAnchor xmlns:cdr="http://schemas.openxmlformats.org/drawingml/2006/chartDrawing">
    <cdr:from>
      <cdr:x>0.26973</cdr:x>
      <cdr:y>0.11152</cdr:y>
    </cdr:from>
    <cdr:to>
      <cdr:x>0.54749</cdr:x>
      <cdr:y>0.32584</cdr:y>
    </cdr:to>
    <cdr:sp macro="" textlink="">
      <cdr:nvSpPr>
        <cdr:cNvPr id="2" name="TextBox 1">
          <a:extLst xmlns:a="http://schemas.openxmlformats.org/drawingml/2006/main">
            <a:ext uri="{FF2B5EF4-FFF2-40B4-BE49-F238E27FC236}">
              <a16:creationId xmlns:a16="http://schemas.microsoft.com/office/drawing/2014/main" id="{F92CCEAD-17E8-4E5F-9015-BA465113DD21}"/>
            </a:ext>
          </a:extLst>
        </cdr:cNvPr>
        <cdr:cNvSpPr txBox="1"/>
      </cdr:nvSpPr>
      <cdr:spPr>
        <a:xfrm xmlns:a="http://schemas.openxmlformats.org/drawingml/2006/main">
          <a:off x="2346325" y="517525"/>
          <a:ext cx="2416175" cy="994563"/>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of</a:t>
          </a:r>
          <a:r>
            <a:rPr lang="en-US" sz="1100" baseline="0"/>
            <a:t> landings generally unchanged. Recommend for Ecosystem Species. Check on species ID issues and potential to target. </a:t>
          </a:r>
          <a:r>
            <a:rPr lang="en-US" sz="1100">
              <a:effectLst/>
              <a:latin typeface="+mn-lt"/>
              <a:ea typeface="+mn-ea"/>
              <a:cs typeface="+mn-cs"/>
            </a:rPr>
            <a:t>SSC concurs with workgroup.</a:t>
          </a:r>
          <a:endParaRPr lang="en-US" sz="1100"/>
        </a:p>
      </cdr:txBody>
    </cdr:sp>
  </cdr:relSizeAnchor>
</c:userShapes>
</file>

<file path=xl/drawings/drawing37.xml><?xml version="1.0" encoding="utf-8"?>
<c:userShapes xmlns:c="http://schemas.openxmlformats.org/drawingml/2006/chart">
  <cdr:relSizeAnchor xmlns:cdr="http://schemas.openxmlformats.org/drawingml/2006/chartDrawing">
    <cdr:from>
      <cdr:x>0.47881</cdr:x>
      <cdr:y>0.1382</cdr:y>
    </cdr:from>
    <cdr:to>
      <cdr:x>0.78652</cdr:x>
      <cdr:y>0.41142</cdr:y>
    </cdr:to>
    <cdr:sp macro="" textlink="">
      <cdr:nvSpPr>
        <cdr:cNvPr id="2" name="TextBox 1">
          <a:extLst xmlns:a="http://schemas.openxmlformats.org/drawingml/2006/main">
            <a:ext uri="{FF2B5EF4-FFF2-40B4-BE49-F238E27FC236}">
              <a16:creationId xmlns:a16="http://schemas.microsoft.com/office/drawing/2014/main" id="{C2C2D604-32C7-4D01-B36D-ABC2958FE86C}"/>
            </a:ext>
          </a:extLst>
        </cdr:cNvPr>
        <cdr:cNvSpPr txBox="1"/>
      </cdr:nvSpPr>
      <cdr:spPr>
        <a:xfrm xmlns:a="http://schemas.openxmlformats.org/drawingml/2006/main">
          <a:off x="4003675" y="641350"/>
          <a:ext cx="2572968" cy="1267878"/>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generally unchanged. High variability among years. Most liekly not going to become</a:t>
          </a:r>
          <a:r>
            <a:rPr lang="en-US" sz="1100" baseline="0"/>
            <a:t> a directed fishery. Recommend for Ecosystem Component. </a:t>
          </a:r>
          <a:r>
            <a:rPr lang="en-US" sz="1100">
              <a:effectLst/>
              <a:latin typeface="+mn-lt"/>
              <a:ea typeface="+mn-ea"/>
              <a:cs typeface="+mn-cs"/>
            </a:rPr>
            <a:t>SSC concurs with workgroup.</a:t>
          </a:r>
          <a:endParaRPr lang="en-US" sz="1100"/>
        </a:p>
      </cdr:txBody>
    </cdr:sp>
  </cdr:relSizeAnchor>
</c:userShapes>
</file>

<file path=xl/drawings/drawing38.xml><?xml version="1.0" encoding="utf-8"?>
<c:userShapes xmlns:c="http://schemas.openxmlformats.org/drawingml/2006/chart">
  <cdr:relSizeAnchor xmlns:cdr="http://schemas.openxmlformats.org/drawingml/2006/chartDrawing">
    <cdr:from>
      <cdr:x>0.12818</cdr:x>
      <cdr:y>0.11973</cdr:y>
    </cdr:from>
    <cdr:to>
      <cdr:x>0.39411</cdr:x>
      <cdr:y>0.35663</cdr:y>
    </cdr:to>
    <cdr:sp macro="" textlink="">
      <cdr:nvSpPr>
        <cdr:cNvPr id="2" name="TextBox 3">
          <a:extLst xmlns:a="http://schemas.openxmlformats.org/drawingml/2006/main">
            <a:ext uri="{FF2B5EF4-FFF2-40B4-BE49-F238E27FC236}">
              <a16:creationId xmlns:a16="http://schemas.microsoft.com/office/drawing/2014/main" id="{D335E0C7-2F70-4F78-A15F-7799C8D6164B}"/>
            </a:ext>
          </a:extLst>
        </cdr:cNvPr>
        <cdr:cNvSpPr txBox="1"/>
      </cdr:nvSpPr>
      <cdr:spPr>
        <a:xfrm xmlns:a="http://schemas.openxmlformats.org/drawingml/2006/main">
          <a:off x="1069975" y="555625"/>
          <a:ext cx="2219962" cy="10993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generally the same. Large increase in landings at end of time series</a:t>
          </a:r>
          <a:r>
            <a:rPr lang="en-US" sz="1100" baseline="0"/>
            <a:t> in new relative to the old. May want to look into changes in distribution. </a:t>
          </a:r>
          <a:r>
            <a:rPr lang="en-US" sz="1100">
              <a:solidFill>
                <a:schemeClr val="dk1"/>
              </a:solidFill>
              <a:effectLst/>
              <a:latin typeface="+mn-lt"/>
              <a:ea typeface="+mn-ea"/>
              <a:cs typeface="+mn-cs"/>
            </a:rPr>
            <a:t>SSC concurs with workgroup.</a:t>
          </a:r>
          <a:endParaRPr lang="en-US" sz="1100"/>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49</xdr:row>
      <xdr:rowOff>12700</xdr:rowOff>
    </xdr:from>
    <xdr:to>
      <xdr:col>11</xdr:col>
      <xdr:colOff>98426</xdr:colOff>
      <xdr:row>78</xdr:row>
      <xdr:rowOff>38100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50</xdr:row>
      <xdr:rowOff>7620</xdr:rowOff>
    </xdr:from>
    <xdr:to>
      <xdr:col>22</xdr:col>
      <xdr:colOff>7620</xdr:colOff>
      <xdr:row>75</xdr:row>
      <xdr:rowOff>7620</xdr:rowOff>
    </xdr:to>
    <xdr:graphicFrame macro="">
      <xdr:nvGraphicFramePr>
        <xdr:cNvPr id="4" name="Chart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79</xdr:row>
      <xdr:rowOff>19050</xdr:rowOff>
    </xdr:from>
    <xdr:to>
      <xdr:col>11</xdr:col>
      <xdr:colOff>98426</xdr:colOff>
      <xdr:row>108</xdr:row>
      <xdr:rowOff>44450</xdr:rowOff>
    </xdr:to>
    <xdr:graphicFrame macro="">
      <xdr:nvGraphicFramePr>
        <xdr:cNvPr id="9" name="Chart 8">
          <a:extLst>
            <a:ext uri="{FF2B5EF4-FFF2-40B4-BE49-F238E27FC236}">
              <a16:creationId xmlns:a16="http://schemas.microsoft.com/office/drawing/2014/main" id="{0E5A7C14-2909-480B-84BE-24FE5439E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0</xdr:colOff>
      <xdr:row>50</xdr:row>
      <xdr:rowOff>0</xdr:rowOff>
    </xdr:from>
    <xdr:to>
      <xdr:col>33</xdr:col>
      <xdr:colOff>241935</xdr:colOff>
      <xdr:row>75</xdr:row>
      <xdr:rowOff>0</xdr:rowOff>
    </xdr:to>
    <xdr:graphicFrame macro="">
      <xdr:nvGraphicFramePr>
        <xdr:cNvPr id="10" name="Chart 9">
          <a:extLst>
            <a:ext uri="{FF2B5EF4-FFF2-40B4-BE49-F238E27FC236}">
              <a16:creationId xmlns:a16="http://schemas.microsoft.com/office/drawing/2014/main" id="{41C03CC8-6A42-4138-A269-68BD4BA26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0</xdr:colOff>
      <xdr:row>50</xdr:row>
      <xdr:rowOff>0</xdr:rowOff>
    </xdr:from>
    <xdr:to>
      <xdr:col>43</xdr:col>
      <xdr:colOff>960120</xdr:colOff>
      <xdr:row>75</xdr:row>
      <xdr:rowOff>0</xdr:rowOff>
    </xdr:to>
    <xdr:graphicFrame macro="">
      <xdr:nvGraphicFramePr>
        <xdr:cNvPr id="11" name="Chart 10">
          <a:extLst>
            <a:ext uri="{FF2B5EF4-FFF2-40B4-BE49-F238E27FC236}">
              <a16:creationId xmlns:a16="http://schemas.microsoft.com/office/drawing/2014/main" id="{E10214D9-D40D-40E0-978F-9BB5B75FD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77</xdr:row>
      <xdr:rowOff>0</xdr:rowOff>
    </xdr:from>
    <xdr:to>
      <xdr:col>21</xdr:col>
      <xdr:colOff>927735</xdr:colOff>
      <xdr:row>102</xdr:row>
      <xdr:rowOff>0</xdr:rowOff>
    </xdr:to>
    <xdr:graphicFrame macro="">
      <xdr:nvGraphicFramePr>
        <xdr:cNvPr id="12" name="Chart 11">
          <a:extLst>
            <a:ext uri="{FF2B5EF4-FFF2-40B4-BE49-F238E27FC236}">
              <a16:creationId xmlns:a16="http://schemas.microsoft.com/office/drawing/2014/main" id="{E31EB2C6-F343-4241-9E04-A51998DEA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0</xdr:colOff>
      <xdr:row>77</xdr:row>
      <xdr:rowOff>0</xdr:rowOff>
    </xdr:from>
    <xdr:to>
      <xdr:col>33</xdr:col>
      <xdr:colOff>241935</xdr:colOff>
      <xdr:row>102</xdr:row>
      <xdr:rowOff>0</xdr:rowOff>
    </xdr:to>
    <xdr:graphicFrame macro="">
      <xdr:nvGraphicFramePr>
        <xdr:cNvPr id="13" name="Chart 12">
          <a:extLst>
            <a:ext uri="{FF2B5EF4-FFF2-40B4-BE49-F238E27FC236}">
              <a16:creationId xmlns:a16="http://schemas.microsoft.com/office/drawing/2014/main" id="{73DC026D-C677-4BC5-BB84-E1AAE5B65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45</xdr:col>
      <xdr:colOff>9525</xdr:colOff>
      <xdr:row>0</xdr:row>
      <xdr:rowOff>7620</xdr:rowOff>
    </xdr:from>
    <xdr:to>
      <xdr:col>54</xdr:col>
      <xdr:colOff>45720</xdr:colOff>
      <xdr:row>25</xdr:row>
      <xdr:rowOff>7620</xdr:rowOff>
    </xdr:to>
    <xdr:graphicFrame macro="">
      <xdr:nvGraphicFramePr>
        <xdr:cNvPr id="14" name="Chart 13">
          <a:extLst>
            <a:ext uri="{FF2B5EF4-FFF2-40B4-BE49-F238E27FC236}">
              <a16:creationId xmlns:a16="http://schemas.microsoft.com/office/drawing/2014/main" id="{C195BCC6-FADF-4779-8F51-61E9A0B8E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55</xdr:col>
      <xdr:colOff>464820</xdr:colOff>
      <xdr:row>0</xdr:row>
      <xdr:rowOff>0</xdr:rowOff>
    </xdr:from>
    <xdr:to>
      <xdr:col>66</xdr:col>
      <xdr:colOff>561975</xdr:colOff>
      <xdr:row>25</xdr:row>
      <xdr:rowOff>0</xdr:rowOff>
    </xdr:to>
    <xdr:graphicFrame macro="">
      <xdr:nvGraphicFramePr>
        <xdr:cNvPr id="15" name="Chart 14">
          <a:extLst>
            <a:ext uri="{FF2B5EF4-FFF2-40B4-BE49-F238E27FC236}">
              <a16:creationId xmlns:a16="http://schemas.microsoft.com/office/drawing/2014/main" id="{1CB71DE7-A4B1-44FE-85EB-497826511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68</xdr:col>
      <xdr:colOff>68580</xdr:colOff>
      <xdr:row>0</xdr:row>
      <xdr:rowOff>0</xdr:rowOff>
    </xdr:from>
    <xdr:to>
      <xdr:col>83</xdr:col>
      <xdr:colOff>434340</xdr:colOff>
      <xdr:row>25</xdr:row>
      <xdr:rowOff>0</xdr:rowOff>
    </xdr:to>
    <xdr:graphicFrame macro="">
      <xdr:nvGraphicFramePr>
        <xdr:cNvPr id="16" name="Chart 15">
          <a:extLst>
            <a:ext uri="{FF2B5EF4-FFF2-40B4-BE49-F238E27FC236}">
              <a16:creationId xmlns:a16="http://schemas.microsoft.com/office/drawing/2014/main" id="{1EB2EC31-677C-4D64-8330-895D82FB0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45</xdr:col>
      <xdr:colOff>0</xdr:colOff>
      <xdr:row>27</xdr:row>
      <xdr:rowOff>0</xdr:rowOff>
    </xdr:from>
    <xdr:to>
      <xdr:col>53</xdr:col>
      <xdr:colOff>1141095</xdr:colOff>
      <xdr:row>52</xdr:row>
      <xdr:rowOff>0</xdr:rowOff>
    </xdr:to>
    <xdr:graphicFrame macro="">
      <xdr:nvGraphicFramePr>
        <xdr:cNvPr id="17" name="Chart 16">
          <a:extLst>
            <a:ext uri="{FF2B5EF4-FFF2-40B4-BE49-F238E27FC236}">
              <a16:creationId xmlns:a16="http://schemas.microsoft.com/office/drawing/2014/main" id="{5B1A15EF-C385-4D52-85A0-A65D74045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55</xdr:col>
      <xdr:colOff>464820</xdr:colOff>
      <xdr:row>27</xdr:row>
      <xdr:rowOff>0</xdr:rowOff>
    </xdr:from>
    <xdr:to>
      <xdr:col>66</xdr:col>
      <xdr:colOff>561975</xdr:colOff>
      <xdr:row>52</xdr:row>
      <xdr:rowOff>0</xdr:rowOff>
    </xdr:to>
    <xdr:graphicFrame macro="">
      <xdr:nvGraphicFramePr>
        <xdr:cNvPr id="18" name="Chart 17">
          <a:extLst>
            <a:ext uri="{FF2B5EF4-FFF2-40B4-BE49-F238E27FC236}">
              <a16:creationId xmlns:a16="http://schemas.microsoft.com/office/drawing/2014/main" id="{62A10299-46B8-4489-8915-7CB796CC3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68</xdr:col>
      <xdr:colOff>0</xdr:colOff>
      <xdr:row>27</xdr:row>
      <xdr:rowOff>0</xdr:rowOff>
    </xdr:from>
    <xdr:to>
      <xdr:col>81</xdr:col>
      <xdr:colOff>453390</xdr:colOff>
      <xdr:row>56</xdr:row>
      <xdr:rowOff>41910</xdr:rowOff>
    </xdr:to>
    <xdr:pic>
      <xdr:nvPicPr>
        <xdr:cNvPr id="19" name="Picture 18">
          <a:extLst>
            <a:ext uri="{FF2B5EF4-FFF2-40B4-BE49-F238E27FC236}">
              <a16:creationId xmlns:a16="http://schemas.microsoft.com/office/drawing/2014/main" id="{C26688C0-B1E3-4019-9E84-C065449C675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9794140" y="4937760"/>
          <a:ext cx="8374380" cy="534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0</xdr:colOff>
      <xdr:row>53</xdr:row>
      <xdr:rowOff>0</xdr:rowOff>
    </xdr:from>
    <xdr:to>
      <xdr:col>53</xdr:col>
      <xdr:colOff>529590</xdr:colOff>
      <xdr:row>80</xdr:row>
      <xdr:rowOff>110490</xdr:rowOff>
    </xdr:to>
    <xdr:pic>
      <xdr:nvPicPr>
        <xdr:cNvPr id="20" name="Picture 19">
          <a:extLst>
            <a:ext uri="{FF2B5EF4-FFF2-40B4-BE49-F238E27FC236}">
              <a16:creationId xmlns:a16="http://schemas.microsoft.com/office/drawing/2014/main" id="{E441E8FB-6D2D-49AA-8734-76EAF3B7832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0751760" y="9692640"/>
          <a:ext cx="8130540" cy="5044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0.26054</cdr:x>
      <cdr:y>0.09491</cdr:y>
    </cdr:from>
    <cdr:to>
      <cdr:x>0.52386</cdr:x>
      <cdr:y>0.31887</cdr:y>
    </cdr:to>
    <cdr:sp macro="" textlink="">
      <cdr:nvSpPr>
        <cdr:cNvPr id="2" name="TextBox 3">
          <a:extLst xmlns:a="http://schemas.openxmlformats.org/drawingml/2006/main">
            <a:ext uri="{FF2B5EF4-FFF2-40B4-BE49-F238E27FC236}">
              <a16:creationId xmlns:a16="http://schemas.microsoft.com/office/drawing/2014/main" id="{759080A3-51D3-42BC-A1DA-3BB065EFF14C}"/>
            </a:ext>
          </a:extLst>
        </cdr:cNvPr>
        <cdr:cNvSpPr txBox="1"/>
      </cdr:nvSpPr>
      <cdr:spPr>
        <a:xfrm xmlns:a="http://schemas.openxmlformats.org/drawingml/2006/main">
          <a:off x="2374900" y="565150"/>
          <a:ext cx="2400300" cy="133350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Trend generally the same. No concerns. large variability indicates this is most likely rarely encountered.</a:t>
          </a:r>
        </a:p>
        <a:p xmlns:a="http://schemas.openxmlformats.org/drawingml/2006/main">
          <a:r>
            <a:rPr lang="en-US" sz="1100"/>
            <a:t>SSC concurs with the ABC Workgroup.</a:t>
          </a:r>
        </a:p>
      </cdr:txBody>
    </cdr:sp>
  </cdr:relSizeAnchor>
</c:userShapes>
</file>

<file path=xl/drawings/drawing40.xml><?xml version="1.0" encoding="utf-8"?>
<c:userShapes xmlns:c="http://schemas.openxmlformats.org/drawingml/2006/chart">
  <cdr:relSizeAnchor xmlns:cdr="http://schemas.openxmlformats.org/drawingml/2006/chartDrawing">
    <cdr:from>
      <cdr:x>0.17297</cdr:x>
      <cdr:y>0.10667</cdr:y>
    </cdr:from>
    <cdr:to>
      <cdr:x>0.61075</cdr:x>
      <cdr:y>0.4684</cdr:y>
    </cdr:to>
    <cdr:sp macro="" textlink="">
      <cdr:nvSpPr>
        <cdr:cNvPr id="2" name="TextBox 1">
          <a:extLst xmlns:a="http://schemas.openxmlformats.org/drawingml/2006/main">
            <a:ext uri="{FF2B5EF4-FFF2-40B4-BE49-F238E27FC236}">
              <a16:creationId xmlns:a16="http://schemas.microsoft.com/office/drawing/2014/main" id="{0356ACFA-F94B-4F30-808D-6F02876A6CC4}"/>
            </a:ext>
          </a:extLst>
        </cdr:cNvPr>
        <cdr:cNvSpPr txBox="1"/>
      </cdr:nvSpPr>
      <cdr:spPr>
        <a:xfrm xmlns:a="http://schemas.openxmlformats.org/drawingml/2006/main">
          <a:off x="1489046" y="508015"/>
          <a:ext cx="3768754" cy="1722739"/>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similar,</a:t>
          </a:r>
          <a:r>
            <a:rPr lang="en-US" sz="1100" baseline="0"/>
            <a:t> magnitude changes at the end of the time series. Large increasing trend from 2012 to 2016. Need to look further into the change in trend. May be due to change in distribution. Typically a southern species (off FL). SSC recommends consideration jolthead and knobbed porgy for SEDAR.</a:t>
          </a:r>
          <a:endParaRPr lang="en-US" sz="1100"/>
        </a:p>
      </cdr:txBody>
    </cdr:sp>
  </cdr:relSizeAnchor>
</c:userShapes>
</file>

<file path=xl/drawings/drawing41.xml><?xml version="1.0" encoding="utf-8"?>
<c:userShapes xmlns:c="http://schemas.openxmlformats.org/drawingml/2006/chart">
  <cdr:relSizeAnchor xmlns:cdr="http://schemas.openxmlformats.org/drawingml/2006/chartDrawing">
    <cdr:from>
      <cdr:x>0.53073</cdr:x>
      <cdr:y>0.10867</cdr:y>
    </cdr:from>
    <cdr:to>
      <cdr:x>0.92891</cdr:x>
      <cdr:y>0.39067</cdr:y>
    </cdr:to>
    <cdr:sp macro="" textlink="">
      <cdr:nvSpPr>
        <cdr:cNvPr id="2" name="TextBox 1">
          <a:extLst xmlns:a="http://schemas.openxmlformats.org/drawingml/2006/main">
            <a:ext uri="{FF2B5EF4-FFF2-40B4-BE49-F238E27FC236}">
              <a16:creationId xmlns:a16="http://schemas.microsoft.com/office/drawing/2014/main" id="{7A6867E9-0B88-46C6-8AB5-ED579786B966}"/>
            </a:ext>
          </a:extLst>
        </cdr:cNvPr>
        <cdr:cNvSpPr txBox="1"/>
      </cdr:nvSpPr>
      <cdr:spPr>
        <a:xfrm xmlns:a="http://schemas.openxmlformats.org/drawingml/2006/main">
          <a:off x="4479921" y="517541"/>
          <a:ext cx="3361059" cy="134302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SERFS trend shows a decrease, even more dramatic than the decrease in landings. Trend between old and new MRIP are generally the same. Recommend being conservative due to decline in SERFS data. Similar concerns to</a:t>
          </a:r>
          <a:r>
            <a:rPr lang="en-US" sz="1100" baseline="0"/>
            <a:t> Scamp.  Treat same as Scamp, use 15-17. SERFS index and landings both decreasing over entire time series.</a:t>
          </a:r>
          <a:endParaRPr lang="en-US" sz="1100"/>
        </a:p>
      </cdr:txBody>
    </cdr:sp>
  </cdr:relSizeAnchor>
</c:userShapes>
</file>

<file path=xl/drawings/drawing42.xml><?xml version="1.0" encoding="utf-8"?>
<c:userShapes xmlns:c="http://schemas.openxmlformats.org/drawingml/2006/chart">
  <cdr:relSizeAnchor xmlns:cdr="http://schemas.openxmlformats.org/drawingml/2006/chartDrawing">
    <cdr:from>
      <cdr:x>0.56023</cdr:x>
      <cdr:y>0.12067</cdr:y>
    </cdr:from>
    <cdr:to>
      <cdr:x>0.80409</cdr:x>
      <cdr:y>0.302</cdr:y>
    </cdr:to>
    <cdr:sp macro="" textlink="">
      <cdr:nvSpPr>
        <cdr:cNvPr id="2" name="TextBox 1">
          <a:extLst xmlns:a="http://schemas.openxmlformats.org/drawingml/2006/main">
            <a:ext uri="{FF2B5EF4-FFF2-40B4-BE49-F238E27FC236}">
              <a16:creationId xmlns:a16="http://schemas.microsoft.com/office/drawing/2014/main" id="{B3985BE1-F5BB-4FF1-9572-80231421A1C7}"/>
            </a:ext>
          </a:extLst>
        </cdr:cNvPr>
        <cdr:cNvSpPr txBox="1"/>
      </cdr:nvSpPr>
      <cdr:spPr>
        <a:xfrm xmlns:a="http://schemas.openxmlformats.org/drawingml/2006/main">
          <a:off x="5327650" y="574675"/>
          <a:ext cx="2319020" cy="8636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a:t>
          </a:r>
          <a:r>
            <a:rPr lang="en-US" sz="1100" baseline="0"/>
            <a:t> unchanged. Most likely species ID issues. Recommend for Ecosystem Component.</a:t>
          </a:r>
          <a:endParaRPr lang="en-US" sz="1100"/>
        </a:p>
      </cdr:txBody>
    </cdr:sp>
  </cdr:relSizeAnchor>
</c:userShapes>
</file>

<file path=xl/drawings/drawing43.xml><?xml version="1.0" encoding="utf-8"?>
<c:userShapes xmlns:c="http://schemas.openxmlformats.org/drawingml/2006/chart">
  <cdr:relSizeAnchor xmlns:cdr="http://schemas.openxmlformats.org/drawingml/2006/chartDrawing">
    <cdr:from>
      <cdr:x>0.52715</cdr:x>
      <cdr:y>0.12867</cdr:y>
    </cdr:from>
    <cdr:to>
      <cdr:x>0.8739</cdr:x>
      <cdr:y>0.43467</cdr:y>
    </cdr:to>
    <cdr:sp macro="" textlink="">
      <cdr:nvSpPr>
        <cdr:cNvPr id="2" name="TextBox 1">
          <a:extLst xmlns:a="http://schemas.openxmlformats.org/drawingml/2006/main">
            <a:ext uri="{FF2B5EF4-FFF2-40B4-BE49-F238E27FC236}">
              <a16:creationId xmlns:a16="http://schemas.microsoft.com/office/drawing/2014/main" id="{0CB5FB08-2DEF-4358-90F6-9E8A8EF0C57E}"/>
            </a:ext>
          </a:extLst>
        </cdr:cNvPr>
        <cdr:cNvSpPr txBox="1"/>
      </cdr:nvSpPr>
      <cdr:spPr>
        <a:xfrm xmlns:a="http://schemas.openxmlformats.org/drawingml/2006/main">
          <a:off x="4518025" y="612775"/>
          <a:ext cx="2971777" cy="1457325"/>
        </a:xfrm>
        <a:prstGeom xmlns:a="http://schemas.openxmlformats.org/drawingml/2006/main" prst="rect">
          <a:avLst/>
        </a:prstGeom>
        <a:solidFill xmlns:a="http://schemas.openxmlformats.org/drawingml/2006/main">
          <a:schemeClr val="lt1"/>
        </a:solidFill>
        <a:ln xmlns:a="http://schemas.openxmlformats.org/drawingml/2006/main">
          <a:solidFill>
            <a:schemeClr val="lt1">
              <a:shade val="50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SERFS data show a steep decline since 2005. Trend in landings does not follow the SERFS</a:t>
          </a:r>
          <a:r>
            <a:rPr lang="en-US" sz="1100" baseline="0"/>
            <a:t> trend. SERFS data refer to both Scup and Longspine Porgy. Species ID issues with Longspine. Based on SERFS data, recommend being more conservative (median).</a:t>
          </a:r>
          <a:endParaRPr lang="en-US" sz="1100"/>
        </a:p>
      </cdr:txBody>
    </cdr:sp>
  </cdr:relSizeAnchor>
</c:userShapes>
</file>

<file path=xl/drawings/drawing44.xml><?xml version="1.0" encoding="utf-8"?>
<c:userShapes xmlns:c="http://schemas.openxmlformats.org/drawingml/2006/chart">
  <cdr:relSizeAnchor xmlns:cdr="http://schemas.openxmlformats.org/drawingml/2006/chartDrawing">
    <cdr:from>
      <cdr:x>0.49011</cdr:x>
      <cdr:y>0.11867</cdr:y>
    </cdr:from>
    <cdr:to>
      <cdr:x>0.74047</cdr:x>
      <cdr:y>0.26</cdr:y>
    </cdr:to>
    <cdr:sp macro="" textlink="">
      <cdr:nvSpPr>
        <cdr:cNvPr id="2" name="TextBox 1">
          <a:extLst xmlns:a="http://schemas.openxmlformats.org/drawingml/2006/main">
            <a:ext uri="{FF2B5EF4-FFF2-40B4-BE49-F238E27FC236}">
              <a16:creationId xmlns:a16="http://schemas.microsoft.com/office/drawing/2014/main" id="{49029B2E-BBFF-4A1E-AAF8-CAE3DB56535F}"/>
            </a:ext>
          </a:extLst>
        </cdr:cNvPr>
        <cdr:cNvSpPr txBox="1"/>
      </cdr:nvSpPr>
      <cdr:spPr>
        <a:xfrm xmlns:a="http://schemas.openxmlformats.org/drawingml/2006/main">
          <a:off x="4137026" y="565151"/>
          <a:ext cx="2113280" cy="67310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generally the same, magnitude higher in new MRIP.</a:t>
          </a:r>
        </a:p>
      </cdr:txBody>
    </cdr:sp>
  </cdr:relSizeAnchor>
</c:userShapes>
</file>

<file path=xl/drawings/drawing45.xml><?xml version="1.0" encoding="utf-8"?>
<xdr:wsDr xmlns:xdr="http://schemas.openxmlformats.org/drawingml/2006/spreadsheetDrawing" xmlns:a="http://schemas.openxmlformats.org/drawingml/2006/main">
  <xdr:twoCellAnchor>
    <xdr:from>
      <xdr:col>11</xdr:col>
      <xdr:colOff>320039</xdr:colOff>
      <xdr:row>0</xdr:row>
      <xdr:rowOff>0</xdr:rowOff>
    </xdr:from>
    <xdr:to>
      <xdr:col>27</xdr:col>
      <xdr:colOff>499110</xdr:colOff>
      <xdr:row>26</xdr:row>
      <xdr:rowOff>72390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344805</xdr:colOff>
      <xdr:row>27</xdr:row>
      <xdr:rowOff>72390</xdr:rowOff>
    </xdr:from>
    <xdr:to>
      <xdr:col>27</xdr:col>
      <xdr:colOff>519345</xdr:colOff>
      <xdr:row>53</xdr:row>
      <xdr:rowOff>72390</xdr:rowOff>
    </xdr:to>
    <xdr:graphicFrame macro="">
      <xdr:nvGraphicFramePr>
        <xdr:cNvPr id="4" name="Chart 3">
          <a:extLst>
            <a:ext uri="{FF2B5EF4-FFF2-40B4-BE49-F238E27FC236}">
              <a16:creationId xmlns:a16="http://schemas.microsoft.com/office/drawing/2014/main" id="{86A677E0-F6D5-4C5E-A62E-51178FDFE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68580</xdr:colOff>
      <xdr:row>0</xdr:row>
      <xdr:rowOff>0</xdr:rowOff>
    </xdr:from>
    <xdr:to>
      <xdr:col>34</xdr:col>
      <xdr:colOff>152400</xdr:colOff>
      <xdr:row>11</xdr:row>
      <xdr:rowOff>160020</xdr:rowOff>
    </xdr:to>
    <xdr:sp macro="" textlink="">
      <xdr:nvSpPr>
        <xdr:cNvPr id="5" name="TextBox 4">
          <a:extLst>
            <a:ext uri="{FF2B5EF4-FFF2-40B4-BE49-F238E27FC236}">
              <a16:creationId xmlns:a16="http://schemas.microsoft.com/office/drawing/2014/main" id="{BEAE762F-1AE9-4DBB-A0EF-FB1C65716450}"/>
            </a:ext>
          </a:extLst>
        </xdr:cNvPr>
        <xdr:cNvSpPr txBox="1"/>
      </xdr:nvSpPr>
      <xdr:spPr>
        <a:xfrm>
          <a:off x="20162520" y="0"/>
          <a:ext cx="3977640" cy="225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Further research into a decreasing trend in CPUE or percieved</a:t>
          </a:r>
          <a:r>
            <a:rPr lang="en-US" sz="1100" baseline="0"/>
            <a:t> abundance has shown this not to be the case throughout the South Atlantic. Off of southern FL Dolphin are staying further offshore in recent years and are not being seen in their traditional fishing grounds. This may be due to changes in water temperature and changes in prey distribution. Anecdotal evidence suggests traditional Dolphin prey species are not being seen in the same abundance as they have been  in the areas they are usually encountered.</a:t>
          </a:r>
          <a:endParaRPr lang="en-US" sz="1100"/>
        </a:p>
      </xdr:txBody>
    </xdr:sp>
    <xdr:clientData/>
  </xdr:twoCellAnchor>
  <xdr:twoCellAnchor>
    <xdr:from>
      <xdr:col>3</xdr:col>
      <xdr:colOff>872490</xdr:colOff>
      <xdr:row>54</xdr:row>
      <xdr:rowOff>180976</xdr:rowOff>
    </xdr:from>
    <xdr:to>
      <xdr:col>15</xdr:col>
      <xdr:colOff>323850</xdr:colOff>
      <xdr:row>75</xdr:row>
      <xdr:rowOff>5716</xdr:rowOff>
    </xdr:to>
    <xdr:graphicFrame macro="">
      <xdr:nvGraphicFramePr>
        <xdr:cNvPr id="6" name="Chart 5">
          <a:extLst>
            <a:ext uri="{FF2B5EF4-FFF2-40B4-BE49-F238E27FC236}">
              <a16:creationId xmlns:a16="http://schemas.microsoft.com/office/drawing/2014/main" id="{635CF434-67FF-43E8-8761-3DA1B2049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xdr:colOff>
      <xdr:row>76</xdr:row>
      <xdr:rowOff>0</xdr:rowOff>
    </xdr:from>
    <xdr:to>
      <xdr:col>15</xdr:col>
      <xdr:colOff>337186</xdr:colOff>
      <xdr:row>95</xdr:row>
      <xdr:rowOff>160020</xdr:rowOff>
    </xdr:to>
    <xdr:graphicFrame macro="">
      <xdr:nvGraphicFramePr>
        <xdr:cNvPr id="7" name="Chart 6">
          <a:extLst>
            <a:ext uri="{FF2B5EF4-FFF2-40B4-BE49-F238E27FC236}">
              <a16:creationId xmlns:a16="http://schemas.microsoft.com/office/drawing/2014/main" id="{3634DBB3-480C-4F06-A031-EE04B0425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43815</xdr:colOff>
      <xdr:row>74</xdr:row>
      <xdr:rowOff>158115</xdr:rowOff>
    </xdr:from>
    <xdr:to>
      <xdr:col>3</xdr:col>
      <xdr:colOff>712470</xdr:colOff>
      <xdr:row>87</xdr:row>
      <xdr:rowOff>38100</xdr:rowOff>
    </xdr:to>
    <xdr:sp macro="" textlink="">
      <xdr:nvSpPr>
        <xdr:cNvPr id="3" name="TextBox 2">
          <a:extLst>
            <a:ext uri="{FF2B5EF4-FFF2-40B4-BE49-F238E27FC236}">
              <a16:creationId xmlns:a16="http://schemas.microsoft.com/office/drawing/2014/main" id="{93E59902-B41D-48D0-B4EA-45EBD7EE483E}"/>
            </a:ext>
          </a:extLst>
        </xdr:cNvPr>
        <xdr:cNvSpPr txBox="1"/>
      </xdr:nvSpPr>
      <xdr:spPr>
        <a:xfrm>
          <a:off x="43815" y="14323695"/>
          <a:ext cx="3808095" cy="2356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There are only 2 species where the 3rd Highest from 99-07 is significantly</a:t>
          </a:r>
          <a:r>
            <a:rPr lang="en-US" sz="1100" baseline="0"/>
            <a:t> less than the average of the period 99-07. In these 2 cases, there are large spikes in the recreational landings that are pulling the averages up by quite a bit. This si not surprising being that both of these species are rarely encountered by MRIP and proe to these types of spikes in landings. Dolphin, on the other hand, does not have this same issue. The 4 years in question (94-97) do have a large amount of variability in the landings, but there is no 1 year significantly larger than the rest which is pulling up the average as is the case for Sailor's Choice and Yellowmouth Grouper. There are 2 years of high landings and 2 years of low landings in the time period 94-97.</a:t>
          </a:r>
          <a:endParaRPr lang="en-US" sz="1100"/>
        </a:p>
      </xdr:txBody>
    </xdr:sp>
    <xdr:clientData/>
  </xdr:twoCellAnchor>
  <xdr:twoCellAnchor>
    <xdr:from>
      <xdr:col>46</xdr:col>
      <xdr:colOff>9525</xdr:colOff>
      <xdr:row>0</xdr:row>
      <xdr:rowOff>0</xdr:rowOff>
    </xdr:from>
    <xdr:to>
      <xdr:col>63</xdr:col>
      <xdr:colOff>161925</xdr:colOff>
      <xdr:row>32</xdr:row>
      <xdr:rowOff>104774</xdr:rowOff>
    </xdr:to>
    <xdr:graphicFrame macro="">
      <xdr:nvGraphicFramePr>
        <xdr:cNvPr id="8" name="Chart 7">
          <a:extLst>
            <a:ext uri="{FF2B5EF4-FFF2-40B4-BE49-F238E27FC236}">
              <a16:creationId xmlns:a16="http://schemas.microsoft.com/office/drawing/2014/main" id="{FFD09421-FBDA-424F-A15F-8321D8A6F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0.4259</cdr:x>
      <cdr:y>0.00632</cdr:y>
    </cdr:from>
    <cdr:to>
      <cdr:x>0.95916</cdr:x>
      <cdr:y>0.2891</cdr:y>
    </cdr:to>
    <cdr:sp macro="" textlink="">
      <cdr:nvSpPr>
        <cdr:cNvPr id="2" name="TextBox 4">
          <a:extLst xmlns:a="http://schemas.openxmlformats.org/drawingml/2006/main">
            <a:ext uri="{FF2B5EF4-FFF2-40B4-BE49-F238E27FC236}">
              <a16:creationId xmlns:a16="http://schemas.microsoft.com/office/drawing/2014/main" id="{21D7ED97-1B8E-4241-A774-761FB0E0EA0C}"/>
            </a:ext>
          </a:extLst>
        </cdr:cNvPr>
        <cdr:cNvSpPr txBox="1"/>
      </cdr:nvSpPr>
      <cdr:spPr>
        <a:xfrm xmlns:a="http://schemas.openxmlformats.org/drawingml/2006/main">
          <a:off x="4231135" y="30485"/>
          <a:ext cx="5297675" cy="1363976"/>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No concerning trends in</a:t>
          </a:r>
          <a:r>
            <a:rPr lang="en-US" sz="1100" baseline="0"/>
            <a:t> the new rec data. looks like can sustain the current landings long-term. May be concerns about decreasing CPUE. Discuss up front. Clarify how Monroe County landings are divided. Recommend including Monroe County landings in the ABC and tracking. Paper suggests CPUE of longlines has declined. Rec effort has increased over the later part of the time series yet landings are flat.  The SSC concurs with the ABC Workgroup Recommendation. The SSC agrees to including Monroe County landings  in the ABC and tracking.</a:t>
          </a:r>
          <a:endParaRPr lang="en-US" sz="1100"/>
        </a:p>
      </cdr:txBody>
    </cdr:sp>
  </cdr:relSizeAnchor>
</c:userShapes>
</file>

<file path=xl/drawings/drawing47.xml><?xml version="1.0" encoding="utf-8"?>
<c:userShapes xmlns:c="http://schemas.openxmlformats.org/drawingml/2006/chart">
  <cdr:relSizeAnchor xmlns:cdr="http://schemas.openxmlformats.org/drawingml/2006/chartDrawing">
    <cdr:from>
      <cdr:x>0.70662</cdr:x>
      <cdr:y>0.02112</cdr:y>
    </cdr:from>
    <cdr:to>
      <cdr:x>0.99871</cdr:x>
      <cdr:y>0.4068</cdr:y>
    </cdr:to>
    <cdr:sp macro="" textlink="">
      <cdr:nvSpPr>
        <cdr:cNvPr id="2" name="TextBox 1">
          <a:extLst xmlns:a="http://schemas.openxmlformats.org/drawingml/2006/main">
            <a:ext uri="{FF2B5EF4-FFF2-40B4-BE49-F238E27FC236}">
              <a16:creationId xmlns:a16="http://schemas.microsoft.com/office/drawing/2014/main" id="{28BB9C9B-F832-49A9-AE78-5AEAF7154B64}"/>
            </a:ext>
          </a:extLst>
        </cdr:cNvPr>
        <cdr:cNvSpPr txBox="1"/>
      </cdr:nvSpPr>
      <cdr:spPr>
        <a:xfrm xmlns:a="http://schemas.openxmlformats.org/drawingml/2006/main">
          <a:off x="5863660" y="81594"/>
          <a:ext cx="2423815" cy="149003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May be ID issue. Large landings could just be an artifact of the large variance</a:t>
          </a:r>
          <a:r>
            <a:rPr lang="en-US" sz="1100" baseline="0"/>
            <a:t> in the estimates due to lack of intercept data during those time periods or random chance of when they occured. SSC concurs with workgroup. Recommend for Ecosystem Component species.</a:t>
          </a:r>
          <a:endParaRPr lang="en-US" sz="1100"/>
        </a:p>
      </cdr:txBody>
    </cdr:sp>
  </cdr:relSizeAnchor>
</c:userShapes>
</file>

<file path=xl/drawings/drawing48.xml><?xml version="1.0" encoding="utf-8"?>
<c:userShapes xmlns:c="http://schemas.openxmlformats.org/drawingml/2006/chart">
  <cdr:relSizeAnchor xmlns:cdr="http://schemas.openxmlformats.org/drawingml/2006/chartDrawing">
    <cdr:from>
      <cdr:x>0.12019</cdr:x>
      <cdr:y>0.12278</cdr:y>
    </cdr:from>
    <cdr:to>
      <cdr:x>0.39639</cdr:x>
      <cdr:y>0.36641</cdr:y>
    </cdr:to>
    <cdr:sp macro="" textlink="">
      <cdr:nvSpPr>
        <cdr:cNvPr id="2" name="TextBox 1">
          <a:extLst xmlns:a="http://schemas.openxmlformats.org/drawingml/2006/main">
            <a:ext uri="{FF2B5EF4-FFF2-40B4-BE49-F238E27FC236}">
              <a16:creationId xmlns:a16="http://schemas.microsoft.com/office/drawing/2014/main" id="{DBE87D75-7165-4F39-BB41-268241F57136}"/>
            </a:ext>
          </a:extLst>
        </cdr:cNvPr>
        <cdr:cNvSpPr txBox="1"/>
      </cdr:nvSpPr>
      <cdr:spPr>
        <a:xfrm xmlns:a="http://schemas.openxmlformats.org/drawingml/2006/main">
          <a:off x="997587" y="428965"/>
          <a:ext cx="2292484" cy="85119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Trend and magnitude of</a:t>
          </a:r>
          <a:r>
            <a:rPr lang="en-US" sz="1100" baseline="0"/>
            <a:t> landings generally unchanged. ID issue with Scamp. Currently in Research </a:t>
          </a:r>
          <a:r>
            <a:rPr lang="en-US" sz="1100" baseline="0">
              <a:effectLst/>
              <a:latin typeface="+mn-lt"/>
              <a:ea typeface="+mn-ea"/>
              <a:cs typeface="+mn-cs"/>
            </a:rPr>
            <a:t>Track.</a:t>
          </a:r>
          <a:r>
            <a:rPr lang="en-US" sz="1100" baseline="0"/>
            <a:t> </a:t>
          </a:r>
          <a:r>
            <a:rPr lang="en-US" sz="1100">
              <a:effectLst/>
              <a:latin typeface="+mn-lt"/>
              <a:ea typeface="+mn-ea"/>
              <a:cs typeface="+mn-cs"/>
            </a:rPr>
            <a:t>SSC concurs with workgroup.</a:t>
          </a:r>
          <a:endParaRPr lang="en-US" sz="1100"/>
        </a:p>
      </cdr:txBody>
    </cdr:sp>
  </cdr:relSizeAnchor>
</c:userShapes>
</file>

<file path=xl/drawings/drawing49.xml><?xml version="1.0" encoding="utf-8"?>
<xdr:wsDr xmlns:xdr="http://schemas.openxmlformats.org/drawingml/2006/spreadsheetDrawing" xmlns:a="http://schemas.openxmlformats.org/drawingml/2006/main">
  <xdr:twoCellAnchor>
    <xdr:from>
      <xdr:col>11</xdr:col>
      <xdr:colOff>196215</xdr:colOff>
      <xdr:row>0</xdr:row>
      <xdr:rowOff>0</xdr:rowOff>
    </xdr:from>
    <xdr:to>
      <xdr:col>26</xdr:col>
      <xdr:colOff>533400</xdr:colOff>
      <xdr:row>26</xdr:row>
      <xdr:rowOff>68580</xdr:rowOff>
    </xdr:to>
    <xdr:graphicFrame macro="">
      <xdr:nvGraphicFramePr>
        <xdr:cNvPr id="4" name="Chart 3">
          <a:extLst>
            <a:ext uri="{FF2B5EF4-FFF2-40B4-BE49-F238E27FC236}">
              <a16:creationId xmlns:a16="http://schemas.microsoft.com/office/drawing/2014/main" id="{68EEADC5-BF53-4023-ADC9-2C2FCCE7B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27</xdr:row>
      <xdr:rowOff>0</xdr:rowOff>
    </xdr:from>
    <xdr:to>
      <xdr:col>26</xdr:col>
      <xdr:colOff>411480</xdr:colOff>
      <xdr:row>53</xdr:row>
      <xdr:rowOff>1905</xdr:rowOff>
    </xdr:to>
    <xdr:graphicFrame macro="">
      <xdr:nvGraphicFramePr>
        <xdr:cNvPr id="3" name="Chart 2">
          <a:extLst>
            <a:ext uri="{FF2B5EF4-FFF2-40B4-BE49-F238E27FC236}">
              <a16:creationId xmlns:a16="http://schemas.microsoft.com/office/drawing/2014/main" id="{7ED0DDA0-4D24-4F8A-8A32-6F7B3B3A0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600075</xdr:colOff>
      <xdr:row>0</xdr:row>
      <xdr:rowOff>0</xdr:rowOff>
    </xdr:from>
    <xdr:to>
      <xdr:col>61</xdr:col>
      <xdr:colOff>352425</xdr:colOff>
      <xdr:row>30</xdr:row>
      <xdr:rowOff>104774</xdr:rowOff>
    </xdr:to>
    <xdr:graphicFrame macro="">
      <xdr:nvGraphicFramePr>
        <xdr:cNvPr id="2" name="Chart 1">
          <a:extLst>
            <a:ext uri="{FF2B5EF4-FFF2-40B4-BE49-F238E27FC236}">
              <a16:creationId xmlns:a16="http://schemas.microsoft.com/office/drawing/2014/main" id="{1ACCDAF5-B6D6-4DE7-8B51-D8CA96ABE8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408940</xdr:colOff>
      <xdr:row>0</xdr:row>
      <xdr:rowOff>0</xdr:rowOff>
    </xdr:from>
    <xdr:to>
      <xdr:col>28</xdr:col>
      <xdr:colOff>198120</xdr:colOff>
      <xdr:row>32</xdr:row>
      <xdr:rowOff>152400</xdr:rowOff>
    </xdr:to>
    <xdr:graphicFrame macro="">
      <xdr:nvGraphicFramePr>
        <xdr:cNvPr id="2" name="Chart 1">
          <a:extLst>
            <a:ext uri="{FF2B5EF4-FFF2-40B4-BE49-F238E27FC236}">
              <a16:creationId xmlns:a16="http://schemas.microsoft.com/office/drawing/2014/main" id="{421D6B02-CDAC-4FEA-B14F-DAA25667D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7620</xdr:colOff>
      <xdr:row>35</xdr:row>
      <xdr:rowOff>0</xdr:rowOff>
    </xdr:from>
    <xdr:to>
      <xdr:col>29</xdr:col>
      <xdr:colOff>109220</xdr:colOff>
      <xdr:row>67</xdr:row>
      <xdr:rowOff>152400</xdr:rowOff>
    </xdr:to>
    <xdr:graphicFrame macro="">
      <xdr:nvGraphicFramePr>
        <xdr:cNvPr id="3" name="Chart 2">
          <a:extLst>
            <a:ext uri="{FF2B5EF4-FFF2-40B4-BE49-F238E27FC236}">
              <a16:creationId xmlns:a16="http://schemas.microsoft.com/office/drawing/2014/main" id="{8C154014-2604-438E-849F-C6CEC7CBE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29</xdr:col>
      <xdr:colOff>0</xdr:colOff>
      <xdr:row>0</xdr:row>
      <xdr:rowOff>0</xdr:rowOff>
    </xdr:from>
    <xdr:to>
      <xdr:col>44</xdr:col>
      <xdr:colOff>308610</xdr:colOff>
      <xdr:row>27</xdr:row>
      <xdr:rowOff>156210</xdr:rowOff>
    </xdr:to>
    <xdr:pic>
      <xdr:nvPicPr>
        <xdr:cNvPr id="4" name="Picture 3">
          <a:extLst>
            <a:ext uri="{FF2B5EF4-FFF2-40B4-BE49-F238E27FC236}">
              <a16:creationId xmlns:a16="http://schemas.microsoft.com/office/drawing/2014/main" id="{B362B0DA-FAF9-4F5D-A33F-32F8522123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26275" y="0"/>
          <a:ext cx="9172575" cy="530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457200</xdr:colOff>
      <xdr:row>0</xdr:row>
      <xdr:rowOff>28575</xdr:rowOff>
    </xdr:from>
    <xdr:to>
      <xdr:col>44</xdr:col>
      <xdr:colOff>247650</xdr:colOff>
      <xdr:row>4</xdr:row>
      <xdr:rowOff>152400</xdr:rowOff>
    </xdr:to>
    <xdr:sp macro="" textlink="">
      <xdr:nvSpPr>
        <xdr:cNvPr id="5" name="TextBox 4">
          <a:extLst>
            <a:ext uri="{FF2B5EF4-FFF2-40B4-BE49-F238E27FC236}">
              <a16:creationId xmlns:a16="http://schemas.microsoft.com/office/drawing/2014/main" id="{FF497F55-C971-42D0-9CFD-8758B409FA9A}"/>
            </a:ext>
          </a:extLst>
        </xdr:cNvPr>
        <xdr:cNvSpPr txBox="1"/>
      </xdr:nvSpPr>
      <xdr:spPr>
        <a:xfrm>
          <a:off x="24317325" y="28575"/>
          <a:ext cx="4514850"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FL Reef Fish Visual Census. This is conducted near shore and only indexes sub-adults.</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0.08541</cdr:x>
      <cdr:y>0.1077</cdr:y>
    </cdr:from>
    <cdr:to>
      <cdr:x>0.51465</cdr:x>
      <cdr:y>0.45367</cdr:y>
    </cdr:to>
    <cdr:sp macro="" textlink="">
      <cdr:nvSpPr>
        <cdr:cNvPr id="2" name="TextBox 1">
          <a:extLst xmlns:a="http://schemas.openxmlformats.org/drawingml/2006/main">
            <a:ext uri="{FF2B5EF4-FFF2-40B4-BE49-F238E27FC236}">
              <a16:creationId xmlns:a16="http://schemas.microsoft.com/office/drawing/2014/main" id="{C24679E9-6C0C-48B5-8EBC-8645CE5F1615}"/>
            </a:ext>
          </a:extLst>
        </cdr:cNvPr>
        <cdr:cNvSpPr txBox="1"/>
      </cdr:nvSpPr>
      <cdr:spPr>
        <a:xfrm xmlns:a="http://schemas.openxmlformats.org/drawingml/2006/main">
          <a:off x="809978" y="541021"/>
          <a:ext cx="4070522" cy="173797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Some</a:t>
          </a:r>
          <a:r>
            <a:rPr lang="en-US" sz="1100" baseline="0"/>
            <a:t> of the large landings at the end of the time series are due to SEFSC weight methodology. Makes this a little wacky. Look into 2016 spike. As with Dolphin, recommend including Monroe County landings. SSC recommends using Monroe County landings and calculating the ABC using the 3rd highest  94-03. Recommend The SEFSC and MRIP come to reconciliation on a method to impute weights.</a:t>
          </a:r>
          <a:endParaRPr 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0.5593</cdr:x>
      <cdr:y>0.0063</cdr:y>
    </cdr:from>
    <cdr:to>
      <cdr:x>0.98979</cdr:x>
      <cdr:y>0.23929</cdr:y>
    </cdr:to>
    <cdr:sp macro="" textlink="">
      <cdr:nvSpPr>
        <cdr:cNvPr id="2" name="TextBox 3">
          <a:extLst xmlns:a="http://schemas.openxmlformats.org/drawingml/2006/main">
            <a:ext uri="{FF2B5EF4-FFF2-40B4-BE49-F238E27FC236}">
              <a16:creationId xmlns:a16="http://schemas.microsoft.com/office/drawing/2014/main" id="{16BDDB1B-9B53-4FAA-8F68-ACDAF05BB66A}"/>
            </a:ext>
          </a:extLst>
        </cdr:cNvPr>
        <cdr:cNvSpPr txBox="1"/>
      </cdr:nvSpPr>
      <cdr:spPr>
        <a:xfrm xmlns:a="http://schemas.openxmlformats.org/drawingml/2006/main">
          <a:off x="5678262" y="38101"/>
          <a:ext cx="4370499" cy="140969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a:t>Due to species ID issues,</a:t>
          </a:r>
          <a:r>
            <a:rPr lang="en-US" sz="1400" baseline="0"/>
            <a:t> this species failed its assessment. FL has said there is no concern with this stock and that status quo would be sufficient. Therefore, recommend using third highest. Concur with use of 3rd highest. Look if there are any fishery independent survey data.</a:t>
          </a:r>
          <a:endParaRPr lang="en-US" sz="1400"/>
        </a:p>
      </cdr:txBody>
    </cdr:sp>
  </cdr:relSizeAnchor>
</c:userShapes>
</file>

<file path=xl/drawings/drawing7.xml><?xml version="1.0" encoding="utf-8"?>
<xdr:wsDr xmlns:xdr="http://schemas.openxmlformats.org/drawingml/2006/spreadsheetDrawing" xmlns:a="http://schemas.openxmlformats.org/drawingml/2006/main">
  <xdr:twoCellAnchor>
    <xdr:from>
      <xdr:col>12</xdr:col>
      <xdr:colOff>233681</xdr:colOff>
      <xdr:row>0</xdr:row>
      <xdr:rowOff>0</xdr:rowOff>
    </xdr:from>
    <xdr:to>
      <xdr:col>26</xdr:col>
      <xdr:colOff>276226</xdr:colOff>
      <xdr:row>31</xdr:row>
      <xdr:rowOff>152400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0</xdr:colOff>
      <xdr:row>0</xdr:row>
      <xdr:rowOff>0</xdr:rowOff>
    </xdr:from>
    <xdr:to>
      <xdr:col>42</xdr:col>
      <xdr:colOff>566420</xdr:colOff>
      <xdr:row>31</xdr:row>
      <xdr:rowOff>152400</xdr:rowOff>
    </xdr:to>
    <xdr:graphicFrame macro="">
      <xdr:nvGraphicFramePr>
        <xdr:cNvPr id="3" name="Chart 2">
          <a:extLst>
            <a:ext uri="{FF2B5EF4-FFF2-40B4-BE49-F238E27FC236}">
              <a16:creationId xmlns:a16="http://schemas.microsoft.com/office/drawing/2014/main" id="{0507B1F1-3B15-426C-BE97-D58E3C8F7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19050</xdr:colOff>
      <xdr:row>32</xdr:row>
      <xdr:rowOff>28574</xdr:rowOff>
    </xdr:from>
    <xdr:to>
      <xdr:col>35</xdr:col>
      <xdr:colOff>95250</xdr:colOff>
      <xdr:row>43</xdr:row>
      <xdr:rowOff>66674</xdr:rowOff>
    </xdr:to>
    <xdr:sp macro="" textlink="">
      <xdr:nvSpPr>
        <xdr:cNvPr id="2" name="TextBox 1">
          <a:extLst>
            <a:ext uri="{FF2B5EF4-FFF2-40B4-BE49-F238E27FC236}">
              <a16:creationId xmlns:a16="http://schemas.microsoft.com/office/drawing/2014/main" id="{DEC02D9F-BA5C-4022-8219-EA36FF092633}"/>
            </a:ext>
          </a:extLst>
        </xdr:cNvPr>
        <xdr:cNvSpPr txBox="1"/>
      </xdr:nvSpPr>
      <xdr:spPr>
        <a:xfrm>
          <a:off x="13839825" y="6124574"/>
          <a:ext cx="12192000"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tables below are MRIP intercepts with Gray Triggerfish from</a:t>
          </a:r>
          <a:r>
            <a:rPr lang="en-US" sz="1100" baseline="0"/>
            <a:t> 1991, 2014, and 2016. As can be seen from the graphs above, in those years the FES calibrated estimates diverge significantly more from the CHTS estimates than in most other years. The percent change from CHTS to FES is 82%, 81%, and 160% respectively in those years. All other years were at or below a 60% difference between the two datasets. The columns with an "Exp" in them refer to the effort expansion factor applied to that intercepted trip. The columns with "lbs" in them refer to the expanded pounds of fish landed from that intercepted trip. Those trips with a very high percent difference between the weighted average effort expansion from the CHTS and the FES estimates have the "Exp" columns highlighted in yellow. If the difference was moderate it was highlighted in blue. The same is true for the "lbs" columns. A large percent difference between the total poundage from the CHTS and the trip FES poundage is highlighted in yellow, a moderate difference in blue. One thing I noticed while analyzing this data was that the trips with large increases in their epansion factors when going from CHTS to FES didn't always have a large effect on the landed pounds. I also observed trips with a relatively smaller increase in their expansion factors going from CHTS to FES can have a significant impact on the landed pounds. This has to do with the number of triggerfish intercepted on that trip. If there was only 1 triggerfish on a trip, it will most likely have a smaller impact on the landed pounds than a trip with 40 triggerfish on it (all other things being equal). For these three years, the reasons for such a large divergence between the CHTS and FES estimates are due to a combination of factors. The highlighted trips, which make up between 1% and 10% of the total number of trips intercepted, accounted for between 41% and 92% of the difference in the landed pounds between the CHTS and FES estimates. So the bulk of the difference is coming frm just a few trips in each year. Those trips either have a large number of triggerfish on board, a large increase in their effort expansion factors, or a combination of the two. The cause of the large increases in the expansion factors is not clear from this data. There is no discernable pattern. Many of the highlighted trips are Shore Mode, but not all, and there are no highlighted Shore Mode trips in 2016. Also, most of the highlighted trips took place in Florida, but again not all of them.</a:t>
          </a:r>
          <a:endParaRPr lang="en-US" sz="1100"/>
        </a:p>
      </xdr:txBody>
    </xdr:sp>
    <xdr:clientData/>
  </xdr:twoCellAnchor>
  <xdr:twoCellAnchor editAs="oneCell">
    <xdr:from>
      <xdr:col>36</xdr:col>
      <xdr:colOff>15432</xdr:colOff>
      <xdr:row>32</xdr:row>
      <xdr:rowOff>137161</xdr:rowOff>
    </xdr:from>
    <xdr:to>
      <xdr:col>48</xdr:col>
      <xdr:colOff>301736</xdr:colOff>
      <xdr:row>58</xdr:row>
      <xdr:rowOff>22860</xdr:rowOff>
    </xdr:to>
    <xdr:pic>
      <xdr:nvPicPr>
        <xdr:cNvPr id="6" name="Picture 5">
          <a:extLst>
            <a:ext uri="{FF2B5EF4-FFF2-40B4-BE49-F238E27FC236}">
              <a16:creationId xmlns:a16="http://schemas.microsoft.com/office/drawing/2014/main" id="{78CC91E6-7BC6-4208-9E0C-308A51DEB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08492" y="5989321"/>
          <a:ext cx="8729264" cy="4640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0.31966</cdr:x>
      <cdr:y>0.07128</cdr:y>
    </cdr:from>
    <cdr:to>
      <cdr:x>0.60034</cdr:x>
      <cdr:y>0.34906</cdr:y>
    </cdr:to>
    <cdr:sp macro="" textlink="">
      <cdr:nvSpPr>
        <cdr:cNvPr id="2" name="TextBox 3">
          <a:extLst xmlns:a="http://schemas.openxmlformats.org/drawingml/2006/main">
            <a:ext uri="{FF2B5EF4-FFF2-40B4-BE49-F238E27FC236}">
              <a16:creationId xmlns:a16="http://schemas.microsoft.com/office/drawing/2014/main" id="{4A36FB68-DDE0-4160-B0F7-3DE440A4B992}"/>
            </a:ext>
          </a:extLst>
        </cdr:cNvPr>
        <cdr:cNvSpPr txBox="1"/>
      </cdr:nvSpPr>
      <cdr:spPr>
        <a:xfrm xmlns:a="http://schemas.openxmlformats.org/drawingml/2006/main">
          <a:off x="3451171" y="431789"/>
          <a:ext cx="3030273" cy="168276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SERFS trends relatively stable since 2012. Should compare with landings to help formulate a recommendation. Recommend SSC to discuss due to the importance of this species to the fishery. Perhaps consider for a higher</a:t>
          </a:r>
          <a:r>
            <a:rPr lang="en-US" sz="1100" baseline="0"/>
            <a:t> tier assessment. SSC recommends using ORCS from 99-07 to set the ABC. SSC also recommends using higher tier assessment methodologies to assess Gray Triggerfish (or other data-limited approaches)..</a:t>
          </a:r>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10</xdr:col>
      <xdr:colOff>264794</xdr:colOff>
      <xdr:row>0</xdr:row>
      <xdr:rowOff>0</xdr:rowOff>
    </xdr:from>
    <xdr:to>
      <xdr:col>23</xdr:col>
      <xdr:colOff>222885</xdr:colOff>
      <xdr:row>29</xdr:row>
      <xdr:rowOff>19050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0</xdr:row>
      <xdr:rowOff>0</xdr:rowOff>
    </xdr:from>
    <xdr:to>
      <xdr:col>40</xdr:col>
      <xdr:colOff>5716</xdr:colOff>
      <xdr:row>29</xdr:row>
      <xdr:rowOff>19050</xdr:rowOff>
    </xdr:to>
    <xdr:graphicFrame macro="">
      <xdr:nvGraphicFramePr>
        <xdr:cNvPr id="3" name="Chart 2">
          <a:extLst>
            <a:ext uri="{FF2B5EF4-FFF2-40B4-BE49-F238E27FC236}">
              <a16:creationId xmlns:a16="http://schemas.microsoft.com/office/drawing/2014/main" id="{A49E6217-AF18-432A-9E33-78D8C6FAD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323850</xdr:colOff>
      <xdr:row>31</xdr:row>
      <xdr:rowOff>95250</xdr:rowOff>
    </xdr:from>
    <xdr:to>
      <xdr:col>23</xdr:col>
      <xdr:colOff>28575</xdr:colOff>
      <xdr:row>45</xdr:row>
      <xdr:rowOff>66675</xdr:rowOff>
    </xdr:to>
    <xdr:sp macro="" textlink="">
      <xdr:nvSpPr>
        <xdr:cNvPr id="4" name="TextBox 3">
          <a:extLst>
            <a:ext uri="{FF2B5EF4-FFF2-40B4-BE49-F238E27FC236}">
              <a16:creationId xmlns:a16="http://schemas.microsoft.com/office/drawing/2014/main" id="{27B6A42D-5899-4AD7-A558-CD304B501B02}"/>
            </a:ext>
          </a:extLst>
        </xdr:cNvPr>
        <xdr:cNvSpPr txBox="1"/>
      </xdr:nvSpPr>
      <xdr:spPr>
        <a:xfrm>
          <a:off x="14668500" y="5991225"/>
          <a:ext cx="4429125"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the large change  in the original ORCS ABC (black) and the one I</a:t>
          </a:r>
          <a:r>
            <a:rPr lang="en-US" sz="1100" baseline="0"/>
            <a:t> calculated using the old MRIP data from this year (green). Because Hogfish are so poorly sampled in both the MRIP data and the commercial TIP data, the estimate of average weight is very uncertain. For recreational average weights, the Science Center has to pool weights across years to get enough data to meet their minimum sample requirements for  calculating an average weight. This means that every new year of data added to the time series will change the average weight for almost all previous years, making this time series of landings  dynamic rather than static. This happens to some degree in most of our fisheries. I point it out here because although the new and old estimates appear to be almost identical, the old ABC is significantly higher than the new ORCS ABC. That's because at the time the average weight of Hogfish was much higher and therefore the entire landings stream was higher.</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6C5D-1F57-45B2-9ACD-940E80513BB1}">
  <dimension ref="A1"/>
  <sheetViews>
    <sheetView workbookViewId="0">
      <selection activeCell="C29" sqref="C29"/>
    </sheetView>
  </sheetViews>
  <sheetFormatPr defaultRowHeight="15" x14ac:dyDescent="0.25"/>
  <sheetData>
    <row r="1" spans="1:1" s="17" customFormat="1" ht="15.75" x14ac:dyDescent="0.25">
      <c r="A1" s="343" t="s">
        <v>367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S128"/>
  <sheetViews>
    <sheetView topLeftCell="AG1" workbookViewId="0">
      <selection activeCell="I42" sqref="I42:K47"/>
    </sheetView>
  </sheetViews>
  <sheetFormatPr defaultRowHeight="15" x14ac:dyDescent="0.25"/>
  <cols>
    <col min="1" max="1" width="13.28515625" customWidth="1"/>
    <col min="2" max="2" width="12.7109375" bestFit="1" customWidth="1"/>
    <col min="3" max="3" width="12.85546875" bestFit="1" customWidth="1"/>
    <col min="4" max="4" width="15.140625" bestFit="1" customWidth="1"/>
    <col min="5" max="5" width="12" bestFit="1" customWidth="1"/>
    <col min="6" max="6" width="11.85546875" customWidth="1"/>
    <col min="7" max="7" width="13.28515625" style="17" customWidth="1"/>
    <col min="8" max="8" width="13.140625" customWidth="1"/>
    <col min="9" max="10" width="12.7109375" bestFit="1" customWidth="1"/>
    <col min="11" max="11" width="14.5703125" bestFit="1" customWidth="1"/>
    <col min="12" max="12" width="10.7109375" customWidth="1"/>
    <col min="13" max="13" width="12.7109375" bestFit="1" customWidth="1"/>
    <col min="17" max="17" width="12.28515625" bestFit="1" customWidth="1"/>
    <col min="18" max="18" width="12.42578125" bestFit="1" customWidth="1"/>
    <col min="19" max="19" width="14.5703125" bestFit="1" customWidth="1"/>
    <col min="23" max="23" width="12.28515625" bestFit="1" customWidth="1"/>
    <col min="24" max="24" width="12.42578125" bestFit="1" customWidth="1"/>
    <col min="25" max="25" width="14.5703125" bestFit="1" customWidth="1"/>
    <col min="26" max="26" width="9.42578125" customWidth="1"/>
    <col min="27" max="27" width="12.85546875" bestFit="1" customWidth="1"/>
    <col min="28" max="28" width="15.140625" bestFit="1" customWidth="1"/>
    <col min="29" max="29" width="12.28515625" style="17" bestFit="1" customWidth="1"/>
    <col min="30" max="30" width="12.42578125" bestFit="1" customWidth="1"/>
    <col min="31" max="31" width="14.5703125" bestFit="1" customWidth="1"/>
    <col min="32" max="32" width="10.42578125" customWidth="1"/>
    <col min="33" max="35" width="9.7109375" customWidth="1"/>
    <col min="36" max="36" width="10.85546875" bestFit="1" customWidth="1"/>
    <col min="37" max="37" width="10" style="17" bestFit="1" customWidth="1"/>
    <col min="38" max="40" width="9.7109375" style="17" customWidth="1"/>
    <col min="41" max="41" width="10.85546875" style="17" bestFit="1" customWidth="1"/>
    <col min="42" max="42" width="10" bestFit="1" customWidth="1"/>
    <col min="43" max="46" width="9.7109375" customWidth="1"/>
    <col min="47" max="47" width="10.85546875" bestFit="1" customWidth="1"/>
    <col min="48" max="48" width="10" bestFit="1" customWidth="1"/>
  </cols>
  <sheetData>
    <row r="1" spans="1:41" x14ac:dyDescent="0.25">
      <c r="A1" t="s">
        <v>34</v>
      </c>
      <c r="O1" s="5"/>
      <c r="P1" t="s">
        <v>46</v>
      </c>
      <c r="T1" s="17"/>
      <c r="V1" s="17" t="s">
        <v>326</v>
      </c>
      <c r="W1" s="17"/>
      <c r="X1" s="17"/>
      <c r="Y1" s="17"/>
      <c r="AB1" s="17" t="s">
        <v>327</v>
      </c>
      <c r="AD1" s="17"/>
      <c r="AE1" s="17"/>
      <c r="AF1" s="17"/>
      <c r="AK1"/>
      <c r="AL1"/>
      <c r="AM1"/>
      <c r="AN1"/>
      <c r="AO1"/>
    </row>
    <row r="2" spans="1:41" s="17" customFormat="1" x14ac:dyDescent="0.25">
      <c r="B2" s="12" t="s">
        <v>6</v>
      </c>
      <c r="C2" s="12" t="s">
        <v>10</v>
      </c>
      <c r="D2" s="12" t="s">
        <v>4</v>
      </c>
      <c r="I2" s="12" t="s">
        <v>6</v>
      </c>
      <c r="J2" s="12" t="s">
        <v>10</v>
      </c>
      <c r="K2" s="12" t="s">
        <v>4</v>
      </c>
      <c r="N2"/>
      <c r="O2" s="5"/>
      <c r="Q2" s="36" t="s">
        <v>6</v>
      </c>
      <c r="R2" s="36" t="s">
        <v>10</v>
      </c>
      <c r="S2" s="36" t="s">
        <v>4</v>
      </c>
      <c r="T2" s="36"/>
      <c r="U2"/>
      <c r="W2" s="36" t="s">
        <v>6</v>
      </c>
      <c r="X2" s="36" t="s">
        <v>10</v>
      </c>
      <c r="Y2" s="36" t="s">
        <v>4</v>
      </c>
      <c r="Z2"/>
      <c r="AA2"/>
      <c r="AC2" s="36" t="s">
        <v>6</v>
      </c>
      <c r="AD2" s="36" t="s">
        <v>10</v>
      </c>
      <c r="AE2" s="36" t="s">
        <v>4</v>
      </c>
      <c r="AG2"/>
      <c r="AH2"/>
      <c r="AI2"/>
      <c r="AJ2"/>
      <c r="AK2"/>
      <c r="AL2"/>
      <c r="AM2"/>
      <c r="AN2"/>
    </row>
    <row r="3" spans="1:41" x14ac:dyDescent="0.25">
      <c r="A3" s="12" t="s">
        <v>20</v>
      </c>
      <c r="B3" s="12" t="s">
        <v>316</v>
      </c>
      <c r="C3" s="12" t="s">
        <v>316</v>
      </c>
      <c r="D3" s="12" t="s">
        <v>316</v>
      </c>
      <c r="E3" s="12" t="s">
        <v>5</v>
      </c>
      <c r="F3" s="4" t="s">
        <v>328</v>
      </c>
      <c r="G3" s="30"/>
      <c r="H3" s="12" t="s">
        <v>20</v>
      </c>
      <c r="I3" s="12" t="s">
        <v>305</v>
      </c>
      <c r="J3" s="12" t="s">
        <v>305</v>
      </c>
      <c r="K3" s="12" t="s">
        <v>305</v>
      </c>
      <c r="L3" s="12" t="s">
        <v>5</v>
      </c>
      <c r="M3" s="30" t="s">
        <v>329</v>
      </c>
      <c r="O3" s="5"/>
      <c r="P3" s="36" t="s">
        <v>20</v>
      </c>
      <c r="Q3" s="46" t="s">
        <v>1</v>
      </c>
      <c r="R3" s="46" t="s">
        <v>1</v>
      </c>
      <c r="S3" s="46" t="s">
        <v>1</v>
      </c>
      <c r="T3" s="46"/>
      <c r="V3" s="36" t="s">
        <v>20</v>
      </c>
      <c r="W3" s="46" t="s">
        <v>322</v>
      </c>
      <c r="X3" s="141" t="s">
        <v>322</v>
      </c>
      <c r="Y3" s="141" t="s">
        <v>322</v>
      </c>
      <c r="AB3" s="36" t="s">
        <v>20</v>
      </c>
      <c r="AC3" s="46" t="s">
        <v>306</v>
      </c>
      <c r="AD3" s="141" t="s">
        <v>306</v>
      </c>
      <c r="AE3" s="141" t="s">
        <v>306</v>
      </c>
      <c r="AF3" s="17"/>
      <c r="AK3"/>
      <c r="AL3"/>
      <c r="AM3"/>
      <c r="AN3"/>
      <c r="AO3"/>
    </row>
    <row r="4" spans="1:41" x14ac:dyDescent="0.25">
      <c r="A4" s="16">
        <v>1986</v>
      </c>
      <c r="B4" s="15">
        <f>Q4+W4</f>
        <v>967650.46417845995</v>
      </c>
      <c r="C4" s="15">
        <f>R4+X4</f>
        <v>98338.986927499995</v>
      </c>
      <c r="D4" s="15">
        <f>S4+Y4</f>
        <v>927104.62942410004</v>
      </c>
      <c r="E4" s="15">
        <f t="shared" ref="E4:E33" si="0">SUM(B4:D4)</f>
        <v>1993094.08053006</v>
      </c>
      <c r="F4" s="5"/>
      <c r="G4" s="5"/>
      <c r="H4" s="16">
        <v>1986</v>
      </c>
      <c r="I4" s="15">
        <f>Q4+AC4</f>
        <v>975343.35176215984</v>
      </c>
      <c r="J4" s="15">
        <f t="shared" ref="J4:K4" si="1">R4+AD4</f>
        <v>98466.935981899995</v>
      </c>
      <c r="K4" s="15">
        <f t="shared" si="1"/>
        <v>927104.62942410004</v>
      </c>
      <c r="L4" s="15">
        <f t="shared" ref="L4:L35" si="2">SUM(I4:K4)</f>
        <v>2000914.91716816</v>
      </c>
      <c r="M4" s="5"/>
      <c r="O4" s="5"/>
      <c r="P4" s="30">
        <v>1986</v>
      </c>
      <c r="Q4" s="5">
        <v>338889</v>
      </c>
      <c r="R4" s="5">
        <v>27828</v>
      </c>
      <c r="S4" s="5">
        <v>3436</v>
      </c>
      <c r="T4" s="5"/>
      <c r="V4" s="30">
        <v>1986</v>
      </c>
      <c r="W4" s="5">
        <v>628761.46417845995</v>
      </c>
      <c r="X4" s="5">
        <v>70510.986927499995</v>
      </c>
      <c r="Y4" s="5">
        <v>923668.62942410004</v>
      </c>
      <c r="AB4" s="30">
        <v>1986</v>
      </c>
      <c r="AC4" s="5">
        <v>636454.35176215984</v>
      </c>
      <c r="AD4" s="5">
        <v>70638.935981899995</v>
      </c>
      <c r="AE4" s="5">
        <v>923668.62942410004</v>
      </c>
      <c r="AF4" s="17"/>
      <c r="AK4"/>
      <c r="AL4"/>
      <c r="AM4"/>
      <c r="AN4"/>
      <c r="AO4"/>
    </row>
    <row r="5" spans="1:41" x14ac:dyDescent="0.25">
      <c r="A5" s="16">
        <v>1987</v>
      </c>
      <c r="B5" s="15">
        <f t="shared" ref="B5:B35" si="3">Q5+W5</f>
        <v>999349.83747475804</v>
      </c>
      <c r="C5" s="15">
        <f t="shared" ref="C5:C35" si="4">R5+X5</f>
        <v>220620.74456900003</v>
      </c>
      <c r="D5" s="15">
        <f t="shared" ref="D5:D35" si="5">S5+Y5</f>
        <v>3058.9894020000002</v>
      </c>
      <c r="E5" s="15">
        <f t="shared" si="0"/>
        <v>1223029.5714457582</v>
      </c>
      <c r="F5" s="5"/>
      <c r="G5" s="5"/>
      <c r="H5" s="16">
        <v>1987</v>
      </c>
      <c r="I5" s="15">
        <f t="shared" ref="I5:K5" si="6">Q5+AC5</f>
        <v>998431.76583675796</v>
      </c>
      <c r="J5" s="15">
        <f t="shared" si="6"/>
        <v>220620.74456900003</v>
      </c>
      <c r="K5" s="15">
        <f t="shared" si="6"/>
        <v>3058.9894020000002</v>
      </c>
      <c r="L5" s="15">
        <f t="shared" si="2"/>
        <v>1222111.499807758</v>
      </c>
      <c r="M5" s="5"/>
      <c r="O5" s="5"/>
      <c r="P5" s="30">
        <v>1987</v>
      </c>
      <c r="Q5" s="5">
        <v>444573</v>
      </c>
      <c r="R5" s="5">
        <v>44692</v>
      </c>
      <c r="S5" s="5">
        <v>2927</v>
      </c>
      <c r="T5" s="5"/>
      <c r="V5" s="30">
        <v>1987</v>
      </c>
      <c r="W5" s="5">
        <v>554776.83747475804</v>
      </c>
      <c r="X5" s="5">
        <v>175928.74456900003</v>
      </c>
      <c r="Y5" s="5">
        <v>131.98940200000001</v>
      </c>
      <c r="AB5" s="30">
        <v>1987</v>
      </c>
      <c r="AC5" s="5">
        <v>553858.76583675796</v>
      </c>
      <c r="AD5" s="5">
        <v>175928.74456900003</v>
      </c>
      <c r="AE5" s="5">
        <v>131.98940200000001</v>
      </c>
      <c r="AF5" s="17"/>
      <c r="AK5"/>
      <c r="AL5"/>
      <c r="AM5"/>
      <c r="AN5"/>
      <c r="AO5"/>
    </row>
    <row r="6" spans="1:41" x14ac:dyDescent="0.25">
      <c r="A6" s="16">
        <v>1988</v>
      </c>
      <c r="B6" s="15">
        <f t="shared" si="3"/>
        <v>1524769.7122941103</v>
      </c>
      <c r="C6" s="15">
        <f t="shared" si="4"/>
        <v>259163.53684817994</v>
      </c>
      <c r="D6" s="15">
        <f t="shared" si="5"/>
        <v>206280.04873039998</v>
      </c>
      <c r="E6" s="15">
        <f t="shared" si="0"/>
        <v>1990213.2978726903</v>
      </c>
      <c r="F6" s="5"/>
      <c r="G6" s="5"/>
      <c r="H6" s="16">
        <v>1988</v>
      </c>
      <c r="I6" s="15">
        <f t="shared" ref="I6:K6" si="7">Q6+AC6</f>
        <v>1583869.9070590003</v>
      </c>
      <c r="J6" s="15">
        <f t="shared" si="7"/>
        <v>219978.78372830997</v>
      </c>
      <c r="K6" s="15">
        <f t="shared" si="7"/>
        <v>206280.04873039998</v>
      </c>
      <c r="L6" s="15">
        <f t="shared" si="2"/>
        <v>2010128.7395177102</v>
      </c>
      <c r="M6" s="5"/>
      <c r="O6" s="5"/>
      <c r="P6" s="30">
        <v>1988</v>
      </c>
      <c r="Q6" s="5">
        <v>298108</v>
      </c>
      <c r="R6" s="5">
        <v>40564</v>
      </c>
      <c r="S6" s="5">
        <v>9382</v>
      </c>
      <c r="T6" s="5"/>
      <c r="V6" s="30">
        <v>1988</v>
      </c>
      <c r="W6" s="5">
        <v>1226661.7122941103</v>
      </c>
      <c r="X6" s="5">
        <v>218599.53684817994</v>
      </c>
      <c r="Y6" s="5">
        <v>196898.04873039998</v>
      </c>
      <c r="AB6" s="30">
        <v>1988</v>
      </c>
      <c r="AC6" s="5">
        <v>1285761.9070590003</v>
      </c>
      <c r="AD6" s="5">
        <v>179414.78372830997</v>
      </c>
      <c r="AE6" s="5">
        <v>196898.04873039998</v>
      </c>
      <c r="AF6" s="17"/>
      <c r="AK6"/>
      <c r="AL6"/>
      <c r="AM6"/>
      <c r="AN6"/>
      <c r="AO6"/>
    </row>
    <row r="7" spans="1:41" x14ac:dyDescent="0.25">
      <c r="A7" s="16">
        <v>1989</v>
      </c>
      <c r="B7" s="15">
        <f t="shared" si="3"/>
        <v>1069854.6742414902</v>
      </c>
      <c r="C7" s="15">
        <f t="shared" si="4"/>
        <v>279830.34755339992</v>
      </c>
      <c r="D7" s="15">
        <f t="shared" si="5"/>
        <v>12057.7458623</v>
      </c>
      <c r="E7" s="15">
        <f t="shared" si="0"/>
        <v>1361742.7676571901</v>
      </c>
      <c r="F7" s="5"/>
      <c r="G7" s="5"/>
      <c r="H7" s="16">
        <v>1989</v>
      </c>
      <c r="I7" s="15">
        <f t="shared" ref="I7:K7" si="8">Q7+AC7</f>
        <v>1106571.97286149</v>
      </c>
      <c r="J7" s="15">
        <f t="shared" si="8"/>
        <v>275828.17498739995</v>
      </c>
      <c r="K7" s="15">
        <f t="shared" si="8"/>
        <v>12057.7458623</v>
      </c>
      <c r="L7" s="15">
        <f t="shared" si="2"/>
        <v>1394457.89371119</v>
      </c>
      <c r="M7" s="5"/>
      <c r="O7" s="5"/>
      <c r="P7" s="30">
        <v>1989</v>
      </c>
      <c r="Q7" s="5">
        <v>249597</v>
      </c>
      <c r="R7" s="5">
        <v>23563</v>
      </c>
      <c r="S7" s="5">
        <v>10842</v>
      </c>
      <c r="T7" s="5"/>
      <c r="V7" s="30">
        <v>1989</v>
      </c>
      <c r="W7" s="5">
        <v>820257.67424149008</v>
      </c>
      <c r="X7" s="5">
        <v>256267.34755339992</v>
      </c>
      <c r="Y7" s="5">
        <v>1215.7458623000005</v>
      </c>
      <c r="AB7" s="30">
        <v>1989</v>
      </c>
      <c r="AC7" s="5">
        <v>856974.97286148998</v>
      </c>
      <c r="AD7" s="5">
        <v>252265.17498739995</v>
      </c>
      <c r="AE7" s="5">
        <v>1215.7458623000005</v>
      </c>
      <c r="AF7" s="17"/>
      <c r="AK7"/>
      <c r="AL7"/>
      <c r="AM7"/>
      <c r="AN7"/>
      <c r="AO7"/>
    </row>
    <row r="8" spans="1:41" x14ac:dyDescent="0.25">
      <c r="A8" s="16">
        <v>1990</v>
      </c>
      <c r="B8" s="15">
        <f t="shared" si="3"/>
        <v>1100066.5389773399</v>
      </c>
      <c r="C8" s="15">
        <f t="shared" si="4"/>
        <v>109635.04716607997</v>
      </c>
      <c r="D8" s="15">
        <f t="shared" si="5"/>
        <v>55667.104298000027</v>
      </c>
      <c r="E8" s="15">
        <f t="shared" si="0"/>
        <v>1265368.6904414198</v>
      </c>
      <c r="F8" s="5"/>
      <c r="G8" s="5"/>
      <c r="H8" s="16">
        <v>1990</v>
      </c>
      <c r="I8" s="15">
        <f t="shared" ref="I8:K8" si="9">Q8+AC8</f>
        <v>1103047.8907729399</v>
      </c>
      <c r="J8" s="15">
        <f t="shared" si="9"/>
        <v>109738.17217172997</v>
      </c>
      <c r="K8" s="15">
        <f t="shared" si="9"/>
        <v>55667.104298000027</v>
      </c>
      <c r="L8" s="15">
        <f t="shared" si="2"/>
        <v>1268453.1672426697</v>
      </c>
      <c r="M8" s="5"/>
      <c r="O8" s="5"/>
      <c r="P8" s="30">
        <v>1990</v>
      </c>
      <c r="Q8" s="5">
        <v>239947</v>
      </c>
      <c r="R8" s="5">
        <v>12062</v>
      </c>
      <c r="S8" s="5">
        <v>9032</v>
      </c>
      <c r="T8" s="5"/>
      <c r="V8" s="30">
        <v>1990</v>
      </c>
      <c r="W8" s="5">
        <v>860119.53897733998</v>
      </c>
      <c r="X8" s="5">
        <v>97573.047166079967</v>
      </c>
      <c r="Y8" s="5">
        <v>46635.104298000027</v>
      </c>
      <c r="AB8" s="30">
        <v>1990</v>
      </c>
      <c r="AC8" s="5">
        <v>863100.89077293989</v>
      </c>
      <c r="AD8" s="5">
        <v>97676.172171729966</v>
      </c>
      <c r="AE8" s="5">
        <v>46635.104298000027</v>
      </c>
      <c r="AF8" s="17"/>
      <c r="AK8"/>
      <c r="AL8"/>
      <c r="AM8"/>
      <c r="AN8"/>
      <c r="AO8"/>
    </row>
    <row r="9" spans="1:41" x14ac:dyDescent="0.25">
      <c r="A9" s="16">
        <v>1991</v>
      </c>
      <c r="B9" s="15">
        <f t="shared" si="3"/>
        <v>1705210.3491591997</v>
      </c>
      <c r="C9" s="15">
        <f t="shared" si="4"/>
        <v>169038.47001900006</v>
      </c>
      <c r="D9" s="15">
        <f t="shared" si="5"/>
        <v>245573.21299250005</v>
      </c>
      <c r="E9" s="15">
        <f t="shared" si="0"/>
        <v>2119822.0321706999</v>
      </c>
      <c r="F9" s="5"/>
      <c r="G9" s="5"/>
      <c r="H9" s="16">
        <v>1991</v>
      </c>
      <c r="I9" s="15">
        <f t="shared" ref="I9:K9" si="10">Q9+AC9</f>
        <v>1678130.1935898997</v>
      </c>
      <c r="J9" s="15">
        <f t="shared" si="10"/>
        <v>171485.70561690006</v>
      </c>
      <c r="K9" s="15">
        <f t="shared" si="10"/>
        <v>245573.21299250005</v>
      </c>
      <c r="L9" s="15">
        <f t="shared" si="2"/>
        <v>2095189.1121992997</v>
      </c>
      <c r="M9" s="5"/>
      <c r="O9" s="5"/>
      <c r="P9" s="30">
        <v>1991</v>
      </c>
      <c r="Q9" s="5">
        <v>283165</v>
      </c>
      <c r="R9" s="5">
        <v>34296</v>
      </c>
      <c r="S9" s="5">
        <v>9015</v>
      </c>
      <c r="T9" s="5"/>
      <c r="V9" s="30">
        <v>1991</v>
      </c>
      <c r="W9" s="5">
        <v>1422045.3491591997</v>
      </c>
      <c r="X9" s="5">
        <v>134742.47001900006</v>
      </c>
      <c r="Y9" s="5">
        <v>236558.21299250005</v>
      </c>
      <c r="AB9" s="30">
        <v>1991</v>
      </c>
      <c r="AC9" s="5">
        <v>1394965.1935898997</v>
      </c>
      <c r="AD9" s="5">
        <v>137189.70561690006</v>
      </c>
      <c r="AE9" s="5">
        <v>236558.21299250005</v>
      </c>
      <c r="AF9" s="17"/>
      <c r="AK9"/>
      <c r="AL9"/>
      <c r="AM9"/>
      <c r="AN9"/>
      <c r="AO9"/>
    </row>
    <row r="10" spans="1:41" x14ac:dyDescent="0.25">
      <c r="A10" s="16">
        <v>1992</v>
      </c>
      <c r="B10" s="15">
        <f t="shared" si="3"/>
        <v>1527278.49547126</v>
      </c>
      <c r="C10" s="15">
        <f t="shared" si="4"/>
        <v>151385.50396001001</v>
      </c>
      <c r="D10" s="15">
        <f t="shared" si="5"/>
        <v>12405.91462</v>
      </c>
      <c r="E10" s="15">
        <f t="shared" si="0"/>
        <v>1691069.9140512701</v>
      </c>
      <c r="F10" s="5"/>
      <c r="G10" s="5"/>
      <c r="H10" s="16">
        <v>1992</v>
      </c>
      <c r="I10" s="15">
        <f t="shared" ref="I10:K10" si="11">Q10+AC10</f>
        <v>1600315.4770114806</v>
      </c>
      <c r="J10" s="15">
        <f t="shared" si="11"/>
        <v>159492.27902093003</v>
      </c>
      <c r="K10" s="15">
        <f t="shared" si="11"/>
        <v>12405.91462</v>
      </c>
      <c r="L10" s="15">
        <f t="shared" si="2"/>
        <v>1772213.6706524105</v>
      </c>
      <c r="M10" s="5"/>
      <c r="O10" s="5"/>
      <c r="P10" s="30">
        <v>1992</v>
      </c>
      <c r="Q10" s="5">
        <v>220645</v>
      </c>
      <c r="R10" s="5">
        <v>28401</v>
      </c>
      <c r="S10" s="5">
        <v>11172</v>
      </c>
      <c r="T10" s="5"/>
      <c r="V10" s="30">
        <v>1992</v>
      </c>
      <c r="W10" s="5">
        <v>1306633.49547126</v>
      </c>
      <c r="X10" s="5">
        <v>122984.50396001001</v>
      </c>
      <c r="Y10" s="5">
        <v>1233.91462</v>
      </c>
      <c r="AB10" s="30">
        <v>1992</v>
      </c>
      <c r="AC10" s="5">
        <v>1379670.4770114806</v>
      </c>
      <c r="AD10" s="5">
        <v>131091.27902093003</v>
      </c>
      <c r="AE10" s="5">
        <v>1233.91462</v>
      </c>
      <c r="AF10" s="17"/>
      <c r="AK10"/>
      <c r="AL10"/>
      <c r="AM10"/>
      <c r="AN10"/>
      <c r="AO10"/>
    </row>
    <row r="11" spans="1:41" x14ac:dyDescent="0.25">
      <c r="A11" s="16">
        <v>1993</v>
      </c>
      <c r="B11" s="15">
        <f t="shared" si="3"/>
        <v>919031.76216041378</v>
      </c>
      <c r="C11" s="15">
        <f t="shared" si="4"/>
        <v>196759.20734440995</v>
      </c>
      <c r="D11" s="15">
        <f t="shared" si="5"/>
        <v>104217.45838079996</v>
      </c>
      <c r="E11" s="15">
        <f t="shared" si="0"/>
        <v>1220008.4278856236</v>
      </c>
      <c r="F11" s="5"/>
      <c r="G11" s="5"/>
      <c r="H11" s="16">
        <v>1993</v>
      </c>
      <c r="I11" s="15">
        <f t="shared" ref="I11:K11" si="12">Q11+AC11</f>
        <v>926929.98358992394</v>
      </c>
      <c r="J11" s="15">
        <f t="shared" si="12"/>
        <v>191787.58854641</v>
      </c>
      <c r="K11" s="15">
        <f t="shared" si="12"/>
        <v>336470.25228609983</v>
      </c>
      <c r="L11" s="15">
        <f t="shared" si="2"/>
        <v>1455187.8244224337</v>
      </c>
      <c r="M11" s="5"/>
      <c r="O11" s="5"/>
      <c r="P11" s="30">
        <v>1993</v>
      </c>
      <c r="Q11" s="5">
        <v>219215</v>
      </c>
      <c r="R11" s="5">
        <v>27530</v>
      </c>
      <c r="S11" s="5">
        <v>7612</v>
      </c>
      <c r="T11" s="5"/>
      <c r="V11" s="30">
        <v>1993</v>
      </c>
      <c r="W11" s="5">
        <v>699816.76216041378</v>
      </c>
      <c r="X11" s="5">
        <v>169229.20734440995</v>
      </c>
      <c r="Y11" s="5">
        <v>96605.458380799959</v>
      </c>
      <c r="AB11" s="30">
        <v>1993</v>
      </c>
      <c r="AC11" s="5">
        <v>707714.98358992394</v>
      </c>
      <c r="AD11" s="5">
        <v>164257.58854641</v>
      </c>
      <c r="AE11" s="5">
        <v>328858.25228609983</v>
      </c>
      <c r="AF11" s="17"/>
      <c r="AK11"/>
      <c r="AL11"/>
      <c r="AM11"/>
      <c r="AN11"/>
      <c r="AO11"/>
    </row>
    <row r="12" spans="1:41" x14ac:dyDescent="0.25">
      <c r="A12" s="16">
        <v>1994</v>
      </c>
      <c r="B12" s="15">
        <f t="shared" si="3"/>
        <v>1008885.7458979397</v>
      </c>
      <c r="C12" s="15">
        <f t="shared" si="4"/>
        <v>131606.25837222004</v>
      </c>
      <c r="D12" s="15">
        <f t="shared" si="5"/>
        <v>54432.855012</v>
      </c>
      <c r="E12" s="15">
        <f t="shared" si="0"/>
        <v>1194924.8592821597</v>
      </c>
      <c r="F12" s="5"/>
      <c r="G12" s="5"/>
      <c r="H12" s="16">
        <v>1994</v>
      </c>
      <c r="I12" s="15">
        <f t="shared" ref="I12:K12" si="13">Q12+AC12</f>
        <v>966030.65959538973</v>
      </c>
      <c r="J12" s="15">
        <f t="shared" si="13"/>
        <v>134661.67887548002</v>
      </c>
      <c r="K12" s="15">
        <f t="shared" si="13"/>
        <v>54432.855012</v>
      </c>
      <c r="L12" s="15">
        <f t="shared" si="2"/>
        <v>1155125.1934828698</v>
      </c>
      <c r="M12" s="5"/>
      <c r="O12" s="5"/>
      <c r="P12" s="30">
        <v>1994</v>
      </c>
      <c r="Q12" s="5">
        <v>296381</v>
      </c>
      <c r="R12" s="5">
        <v>30120</v>
      </c>
      <c r="S12" s="5">
        <v>3409</v>
      </c>
      <c r="T12" s="5"/>
      <c r="V12" s="30">
        <v>1994</v>
      </c>
      <c r="W12" s="5">
        <v>712504.74589793966</v>
      </c>
      <c r="X12" s="5">
        <v>101486.25837222002</v>
      </c>
      <c r="Y12" s="5">
        <v>51023.855012</v>
      </c>
      <c r="AB12" s="30">
        <v>1994</v>
      </c>
      <c r="AC12" s="5">
        <v>669649.65959538973</v>
      </c>
      <c r="AD12" s="5">
        <v>104541.67887548001</v>
      </c>
      <c r="AE12" s="5">
        <v>51023.855012</v>
      </c>
      <c r="AF12" s="17"/>
      <c r="AK12"/>
      <c r="AL12"/>
      <c r="AM12"/>
      <c r="AN12"/>
      <c r="AO12"/>
    </row>
    <row r="13" spans="1:41" x14ac:dyDescent="0.25">
      <c r="A13" s="16">
        <v>1995</v>
      </c>
      <c r="B13" s="15">
        <f t="shared" si="3"/>
        <v>1185080.0558816902</v>
      </c>
      <c r="C13" s="15">
        <f t="shared" si="4"/>
        <v>108343.510384188</v>
      </c>
      <c r="D13" s="15">
        <f t="shared" si="5"/>
        <v>655211.32142600033</v>
      </c>
      <c r="E13" s="15">
        <f t="shared" si="0"/>
        <v>1948634.8876918787</v>
      </c>
      <c r="F13" s="5"/>
      <c r="G13" s="5"/>
      <c r="H13" s="16">
        <v>1995</v>
      </c>
      <c r="I13" s="15">
        <f t="shared" ref="I13:K13" si="14">Q13+AC13</f>
        <v>1196035.38069891</v>
      </c>
      <c r="J13" s="15">
        <f t="shared" si="14"/>
        <v>111827.00694138801</v>
      </c>
      <c r="K13" s="15">
        <f t="shared" si="14"/>
        <v>655211.32142600033</v>
      </c>
      <c r="L13" s="15">
        <f t="shared" si="2"/>
        <v>1963073.7090662983</v>
      </c>
      <c r="M13" s="5"/>
      <c r="O13" s="5"/>
      <c r="P13" s="30">
        <v>1995</v>
      </c>
      <c r="Q13" s="5">
        <v>328835</v>
      </c>
      <c r="R13" s="5">
        <v>23178</v>
      </c>
      <c r="S13" s="5">
        <v>7852</v>
      </c>
      <c r="T13" s="5"/>
      <c r="V13" s="30">
        <v>1995</v>
      </c>
      <c r="W13" s="5">
        <v>856245.05588169035</v>
      </c>
      <c r="X13" s="5">
        <v>85165.510384188005</v>
      </c>
      <c r="Y13" s="5">
        <v>647359.32142600033</v>
      </c>
      <c r="AB13" s="30">
        <v>1995</v>
      </c>
      <c r="AC13" s="5">
        <v>867200.3806989101</v>
      </c>
      <c r="AD13" s="5">
        <v>88649.006941388012</v>
      </c>
      <c r="AE13" s="5">
        <v>647359.32142600033</v>
      </c>
      <c r="AF13" s="17"/>
      <c r="AK13"/>
      <c r="AL13"/>
      <c r="AM13"/>
      <c r="AN13"/>
      <c r="AO13"/>
    </row>
    <row r="14" spans="1:41" x14ac:dyDescent="0.25">
      <c r="A14" s="16">
        <v>1996</v>
      </c>
      <c r="B14" s="15">
        <f t="shared" si="3"/>
        <v>883558.45021639601</v>
      </c>
      <c r="C14" s="15">
        <f t="shared" si="4"/>
        <v>108684.90697527002</v>
      </c>
      <c r="D14" s="15">
        <f t="shared" si="5"/>
        <v>25059.854034700005</v>
      </c>
      <c r="E14" s="15">
        <f t="shared" si="0"/>
        <v>1017303.211226366</v>
      </c>
      <c r="F14" s="5"/>
      <c r="G14" s="5"/>
      <c r="H14" s="16">
        <v>1996</v>
      </c>
      <c r="I14" s="15">
        <f t="shared" ref="I14:K14" si="15">Q14+AC14</f>
        <v>856034.41701681609</v>
      </c>
      <c r="J14" s="15">
        <f t="shared" si="15"/>
        <v>111707.91492649</v>
      </c>
      <c r="K14" s="15">
        <f t="shared" si="15"/>
        <v>25059.854034700005</v>
      </c>
      <c r="L14" s="15">
        <f t="shared" si="2"/>
        <v>992802.18597800611</v>
      </c>
      <c r="M14" s="5"/>
      <c r="O14" s="5"/>
      <c r="P14" s="30">
        <v>1996</v>
      </c>
      <c r="Q14" s="5">
        <v>268774</v>
      </c>
      <c r="R14" s="5">
        <v>31618</v>
      </c>
      <c r="S14" s="5">
        <v>5944</v>
      </c>
      <c r="T14" s="5"/>
      <c r="V14" s="30">
        <v>1996</v>
      </c>
      <c r="W14" s="5">
        <v>614784.45021639601</v>
      </c>
      <c r="X14" s="5">
        <v>77066.906975270016</v>
      </c>
      <c r="Y14" s="5">
        <v>19115.854034700005</v>
      </c>
      <c r="AB14" s="30">
        <v>1996</v>
      </c>
      <c r="AC14" s="5">
        <v>587260.41701681609</v>
      </c>
      <c r="AD14" s="5">
        <v>80089.914926490004</v>
      </c>
      <c r="AE14" s="5">
        <v>19115.854034700005</v>
      </c>
      <c r="AF14" s="17"/>
      <c r="AK14"/>
      <c r="AL14"/>
      <c r="AM14"/>
      <c r="AN14"/>
      <c r="AO14"/>
    </row>
    <row r="15" spans="1:41" x14ac:dyDescent="0.25">
      <c r="A15" s="16">
        <v>1997</v>
      </c>
      <c r="B15" s="15">
        <f t="shared" si="3"/>
        <v>951052.13712240907</v>
      </c>
      <c r="C15" s="15">
        <f t="shared" si="4"/>
        <v>149958.94457294999</v>
      </c>
      <c r="D15" s="15">
        <f t="shared" si="5"/>
        <v>15482.0763726</v>
      </c>
      <c r="E15" s="15">
        <f t="shared" si="0"/>
        <v>1116493.1580679589</v>
      </c>
      <c r="F15" s="5"/>
      <c r="G15" s="5"/>
      <c r="H15" s="16">
        <v>1997</v>
      </c>
      <c r="I15" s="15">
        <f t="shared" ref="I15:K15" si="16">Q15+AC15</f>
        <v>971526.58858554892</v>
      </c>
      <c r="J15" s="15">
        <f t="shared" si="16"/>
        <v>140850.99575268998</v>
      </c>
      <c r="K15" s="15">
        <f t="shared" si="16"/>
        <v>15482.0763726</v>
      </c>
      <c r="L15" s="15">
        <f t="shared" si="2"/>
        <v>1127859.6607108389</v>
      </c>
      <c r="M15" s="5"/>
      <c r="O15" s="5"/>
      <c r="P15" s="30">
        <v>1997</v>
      </c>
      <c r="Q15" s="5">
        <v>298645</v>
      </c>
      <c r="R15" s="5">
        <v>42934</v>
      </c>
      <c r="S15" s="5">
        <v>5327</v>
      </c>
      <c r="T15" s="5"/>
      <c r="V15" s="30">
        <v>1997</v>
      </c>
      <c r="W15" s="5">
        <v>652407.13712240907</v>
      </c>
      <c r="X15" s="5">
        <v>107024.94457294999</v>
      </c>
      <c r="Y15" s="5">
        <v>10155.0763726</v>
      </c>
      <c r="AB15" s="30">
        <v>1997</v>
      </c>
      <c r="AC15" s="5">
        <v>672881.58858554892</v>
      </c>
      <c r="AD15" s="5">
        <v>97916.995752689982</v>
      </c>
      <c r="AE15" s="5">
        <v>10155.0763726</v>
      </c>
      <c r="AF15" s="17"/>
      <c r="AK15"/>
      <c r="AL15"/>
      <c r="AM15"/>
      <c r="AN15"/>
      <c r="AO15"/>
    </row>
    <row r="16" spans="1:41" x14ac:dyDescent="0.25">
      <c r="A16" s="16">
        <v>1998</v>
      </c>
      <c r="B16" s="15">
        <f t="shared" si="3"/>
        <v>894397.21560737002</v>
      </c>
      <c r="C16" s="15">
        <f t="shared" si="4"/>
        <v>120814.33820581202</v>
      </c>
      <c r="D16" s="15">
        <f t="shared" si="5"/>
        <v>26664.129780430001</v>
      </c>
      <c r="E16" s="15">
        <f t="shared" si="0"/>
        <v>1041875.683593612</v>
      </c>
      <c r="F16" s="5"/>
      <c r="G16" s="5"/>
      <c r="H16" s="16">
        <v>1998</v>
      </c>
      <c r="I16" s="15">
        <f t="shared" ref="I16:K16" si="17">Q16+AC16</f>
        <v>896142.00463168439</v>
      </c>
      <c r="J16" s="15">
        <f t="shared" si="17"/>
        <v>120544.97035701203</v>
      </c>
      <c r="K16" s="15">
        <f t="shared" si="17"/>
        <v>26664.129780430001</v>
      </c>
      <c r="L16" s="15">
        <f t="shared" si="2"/>
        <v>1043351.1047691264</v>
      </c>
      <c r="M16" s="5"/>
      <c r="O16" s="5"/>
      <c r="P16" s="30">
        <v>1998</v>
      </c>
      <c r="Q16" s="5">
        <v>222926</v>
      </c>
      <c r="R16" s="5">
        <v>23181</v>
      </c>
      <c r="S16" s="5">
        <v>7687</v>
      </c>
      <c r="T16" s="5"/>
      <c r="V16" s="30">
        <v>1998</v>
      </c>
      <c r="W16" s="5">
        <v>671471.21560737002</v>
      </c>
      <c r="X16" s="5">
        <v>97633.338205812019</v>
      </c>
      <c r="Y16" s="5">
        <v>18977.129780430001</v>
      </c>
      <c r="AB16" s="30">
        <v>1998</v>
      </c>
      <c r="AC16" s="5">
        <v>673216.00463168439</v>
      </c>
      <c r="AD16" s="5">
        <v>97363.970357012033</v>
      </c>
      <c r="AE16" s="5">
        <v>18977.129780430001</v>
      </c>
      <c r="AF16" s="17"/>
      <c r="AK16"/>
      <c r="AL16"/>
      <c r="AM16"/>
      <c r="AN16"/>
      <c r="AO16"/>
    </row>
    <row r="17" spans="1:41" x14ac:dyDescent="0.25">
      <c r="A17" s="16">
        <v>1999</v>
      </c>
      <c r="B17" s="15">
        <f t="shared" si="3"/>
        <v>1643943.5721044014</v>
      </c>
      <c r="C17" s="15">
        <f t="shared" si="4"/>
        <v>195417.37362071592</v>
      </c>
      <c r="D17" s="15">
        <f t="shared" si="5"/>
        <v>21498.340439999996</v>
      </c>
      <c r="E17" s="15">
        <f t="shared" si="0"/>
        <v>1860859.2861651173</v>
      </c>
      <c r="F17" s="5"/>
      <c r="G17" s="78"/>
      <c r="H17" s="16">
        <v>1999</v>
      </c>
      <c r="I17" s="15">
        <f t="shared" ref="I17:K17" si="18">Q17+AC17</f>
        <v>1649690.3975223012</v>
      </c>
      <c r="J17" s="15">
        <f t="shared" si="18"/>
        <v>212748.68030181588</v>
      </c>
      <c r="K17" s="15">
        <f t="shared" si="18"/>
        <v>21498.340439999996</v>
      </c>
      <c r="L17" s="15">
        <f t="shared" si="2"/>
        <v>1883937.4182641171</v>
      </c>
      <c r="M17" s="5"/>
      <c r="N17" s="78"/>
      <c r="O17" s="5"/>
      <c r="P17" s="30">
        <v>1999</v>
      </c>
      <c r="Q17" s="5">
        <v>146834</v>
      </c>
      <c r="R17" s="5">
        <v>20664</v>
      </c>
      <c r="S17" s="5">
        <v>4097</v>
      </c>
      <c r="T17" s="5"/>
      <c r="V17" s="30">
        <v>1999</v>
      </c>
      <c r="W17" s="5">
        <v>1497109.5721044014</v>
      </c>
      <c r="X17" s="5">
        <v>174753.37362071592</v>
      </c>
      <c r="Y17" s="5">
        <v>17401.340439999996</v>
      </c>
      <c r="AB17" s="30">
        <v>1999</v>
      </c>
      <c r="AC17" s="5">
        <v>1502856.3975223012</v>
      </c>
      <c r="AD17" s="5">
        <v>192084.68030181588</v>
      </c>
      <c r="AE17" s="5">
        <v>17401.340439999996</v>
      </c>
      <c r="AF17" s="17"/>
      <c r="AK17"/>
      <c r="AL17"/>
      <c r="AM17"/>
      <c r="AN17"/>
      <c r="AO17"/>
    </row>
    <row r="18" spans="1:41" x14ac:dyDescent="0.25">
      <c r="A18" s="16">
        <v>2000</v>
      </c>
      <c r="B18" s="15">
        <f t="shared" si="3"/>
        <v>1947325.9672136747</v>
      </c>
      <c r="C18" s="15">
        <f t="shared" si="4"/>
        <v>324943.169827645</v>
      </c>
      <c r="D18" s="15">
        <f t="shared" si="5"/>
        <v>235330.46266142599</v>
      </c>
      <c r="E18" s="15">
        <f t="shared" si="0"/>
        <v>2507599.5997027457</v>
      </c>
      <c r="F18" s="5"/>
      <c r="G18" s="78"/>
      <c r="H18" s="16">
        <v>2000</v>
      </c>
      <c r="I18" s="15">
        <f t="shared" ref="I18:K18" si="19">Q18+AC18</f>
        <v>1950827.1352892837</v>
      </c>
      <c r="J18" s="15">
        <f t="shared" si="19"/>
        <v>278320.64280462387</v>
      </c>
      <c r="K18" s="15">
        <f t="shared" si="19"/>
        <v>235330.46266142599</v>
      </c>
      <c r="L18" s="15">
        <f t="shared" si="2"/>
        <v>2464478.2407553336</v>
      </c>
      <c r="M18" s="5"/>
      <c r="N18" s="78"/>
      <c r="O18" s="5"/>
      <c r="P18" s="30">
        <v>2000</v>
      </c>
      <c r="Q18" s="5">
        <v>176605</v>
      </c>
      <c r="R18" s="5">
        <v>16379</v>
      </c>
      <c r="S18" s="5">
        <v>4207</v>
      </c>
      <c r="T18" s="5"/>
      <c r="V18" s="30">
        <v>2000</v>
      </c>
      <c r="W18" s="5">
        <v>1770720.9672136747</v>
      </c>
      <c r="X18" s="5">
        <v>308564.169827645</v>
      </c>
      <c r="Y18" s="5">
        <v>231123.46266142599</v>
      </c>
      <c r="AB18" s="30">
        <v>2000</v>
      </c>
      <c r="AC18" s="5">
        <v>1774222.1352892837</v>
      </c>
      <c r="AD18" s="5">
        <v>261941.64280462387</v>
      </c>
      <c r="AE18" s="5">
        <v>231123.46266142599</v>
      </c>
      <c r="AF18" s="17"/>
      <c r="AK18"/>
      <c r="AL18"/>
      <c r="AM18"/>
      <c r="AN18"/>
      <c r="AO18"/>
    </row>
    <row r="19" spans="1:41" x14ac:dyDescent="0.25">
      <c r="A19" s="16">
        <v>2001</v>
      </c>
      <c r="B19" s="15">
        <f t="shared" si="3"/>
        <v>1152120.4173221299</v>
      </c>
      <c r="C19" s="15">
        <f t="shared" si="4"/>
        <v>298956.78509271593</v>
      </c>
      <c r="D19" s="15">
        <f t="shared" si="5"/>
        <v>82362.265053620024</v>
      </c>
      <c r="E19" s="15">
        <f t="shared" si="0"/>
        <v>1533439.4674684659</v>
      </c>
      <c r="F19" s="5"/>
      <c r="G19" s="78"/>
      <c r="H19" s="16">
        <v>2001</v>
      </c>
      <c r="I19" s="15">
        <f t="shared" ref="I19:K19" si="20">Q19+AC19</f>
        <v>1181576.2834350804</v>
      </c>
      <c r="J19" s="15">
        <f t="shared" si="20"/>
        <v>306382.69572570879</v>
      </c>
      <c r="K19" s="15">
        <f t="shared" si="20"/>
        <v>82362.265053620024</v>
      </c>
      <c r="L19" s="15">
        <f t="shared" si="2"/>
        <v>1570321.2442144093</v>
      </c>
      <c r="M19" s="5"/>
      <c r="N19" s="78"/>
      <c r="O19" s="5"/>
      <c r="P19" s="30">
        <v>2001</v>
      </c>
      <c r="Q19" s="5">
        <v>180036</v>
      </c>
      <c r="R19" s="5">
        <v>21775</v>
      </c>
      <c r="S19" s="5">
        <v>2896</v>
      </c>
      <c r="T19" s="5"/>
      <c r="V19" s="30">
        <v>2001</v>
      </c>
      <c r="W19" s="5">
        <v>972084.41732212994</v>
      </c>
      <c r="X19" s="5">
        <v>277181.78509271593</v>
      </c>
      <c r="Y19" s="5">
        <v>79466.265053620024</v>
      </c>
      <c r="Z19" s="17"/>
      <c r="AA19" s="17"/>
      <c r="AB19" s="30">
        <v>2001</v>
      </c>
      <c r="AC19" s="5">
        <v>1001540.2834350804</v>
      </c>
      <c r="AD19" s="5">
        <v>284607.69572570879</v>
      </c>
      <c r="AE19" s="5">
        <v>79466.265053620024</v>
      </c>
      <c r="AF19" s="17"/>
      <c r="AG19" s="17"/>
      <c r="AH19" s="17"/>
      <c r="AI19" s="17"/>
      <c r="AJ19" s="17"/>
      <c r="AO19"/>
    </row>
    <row r="20" spans="1:41" x14ac:dyDescent="0.25">
      <c r="A20" s="16">
        <v>2002</v>
      </c>
      <c r="B20" s="15">
        <f t="shared" si="3"/>
        <v>1707594.3791254496</v>
      </c>
      <c r="C20" s="15">
        <f t="shared" si="4"/>
        <v>244115.19369663898</v>
      </c>
      <c r="D20" s="15">
        <f t="shared" si="5"/>
        <v>37305.950465320006</v>
      </c>
      <c r="E20" s="15">
        <f t="shared" si="0"/>
        <v>1989015.5232874085</v>
      </c>
      <c r="F20" s="5"/>
      <c r="G20" s="78"/>
      <c r="H20" s="16">
        <v>2002</v>
      </c>
      <c r="I20" s="15">
        <f t="shared" ref="I20:K20" si="21">Q20+AC20</f>
        <v>1698262.1639960583</v>
      </c>
      <c r="J20" s="15">
        <f t="shared" si="21"/>
        <v>244330.98135973996</v>
      </c>
      <c r="K20" s="15">
        <f t="shared" si="21"/>
        <v>37305.950465320006</v>
      </c>
      <c r="L20" s="15">
        <f t="shared" si="2"/>
        <v>1979899.0958211182</v>
      </c>
      <c r="M20" s="5"/>
      <c r="N20" s="78"/>
      <c r="O20" s="5"/>
      <c r="P20" s="30">
        <v>2002</v>
      </c>
      <c r="Q20" s="5">
        <v>228835</v>
      </c>
      <c r="R20" s="5">
        <v>18689</v>
      </c>
      <c r="S20" s="5">
        <v>2800</v>
      </c>
      <c r="T20" s="5"/>
      <c r="V20" s="30">
        <v>2002</v>
      </c>
      <c r="W20" s="5">
        <v>1478759.3791254496</v>
      </c>
      <c r="X20" s="5">
        <v>225426.19369663898</v>
      </c>
      <c r="Y20" s="5">
        <v>34505.950465320006</v>
      </c>
      <c r="Z20" s="17"/>
      <c r="AA20" s="17"/>
      <c r="AB20" s="30">
        <v>2002</v>
      </c>
      <c r="AC20" s="5">
        <v>1469427.1639960583</v>
      </c>
      <c r="AD20" s="5">
        <v>225641.98135973996</v>
      </c>
      <c r="AE20" s="5">
        <v>34505.950465320006</v>
      </c>
      <c r="AF20" s="17"/>
      <c r="AG20" s="17"/>
      <c r="AH20" s="17"/>
      <c r="AI20" s="17"/>
      <c r="AJ20" s="17"/>
      <c r="AO20"/>
    </row>
    <row r="21" spans="1:41" x14ac:dyDescent="0.25">
      <c r="A21" s="16">
        <v>2003</v>
      </c>
      <c r="B21" s="15">
        <f t="shared" si="3"/>
        <v>1817007.5251260486</v>
      </c>
      <c r="C21" s="15">
        <f t="shared" si="4"/>
        <v>344023.09093260486</v>
      </c>
      <c r="D21" s="15">
        <f t="shared" si="5"/>
        <v>53445.171013999992</v>
      </c>
      <c r="E21" s="15">
        <f t="shared" si="0"/>
        <v>2214475.7870726534</v>
      </c>
      <c r="F21" s="5"/>
      <c r="G21" s="78"/>
      <c r="H21" s="16">
        <v>2003</v>
      </c>
      <c r="I21" s="15">
        <f t="shared" ref="I21:K21" si="22">Q21+AC21</f>
        <v>1588003.5912507887</v>
      </c>
      <c r="J21" s="15">
        <f t="shared" si="22"/>
        <v>322544.70804340485</v>
      </c>
      <c r="K21" s="15">
        <f t="shared" si="22"/>
        <v>53445.171013999992</v>
      </c>
      <c r="L21" s="15">
        <f t="shared" si="2"/>
        <v>1963993.4703081935</v>
      </c>
      <c r="M21" s="5"/>
      <c r="N21" s="78"/>
      <c r="P21" s="30">
        <v>2003</v>
      </c>
      <c r="Q21" s="5">
        <v>188171</v>
      </c>
      <c r="R21" s="5">
        <v>13347</v>
      </c>
      <c r="S21" s="5">
        <v>3139</v>
      </c>
      <c r="T21" s="5"/>
      <c r="V21" s="30">
        <v>2003</v>
      </c>
      <c r="W21" s="5">
        <v>1628836.5251260486</v>
      </c>
      <c r="X21" s="5">
        <v>330676.09093260486</v>
      </c>
      <c r="Y21" s="5">
        <v>50306.171013999992</v>
      </c>
      <c r="AB21" s="30">
        <v>2003</v>
      </c>
      <c r="AC21" s="5">
        <v>1399832.5912507887</v>
      </c>
      <c r="AD21" s="5">
        <v>309197.70804340485</v>
      </c>
      <c r="AE21" s="5">
        <v>50306.171013999992</v>
      </c>
      <c r="AF21" s="17"/>
      <c r="AK21"/>
      <c r="AL21"/>
      <c r="AM21"/>
      <c r="AN21"/>
      <c r="AO21"/>
    </row>
    <row r="22" spans="1:41" x14ac:dyDescent="0.25">
      <c r="A22" s="16">
        <v>2004</v>
      </c>
      <c r="B22" s="15">
        <f t="shared" si="3"/>
        <v>1003325.496350836</v>
      </c>
      <c r="C22" s="15">
        <f t="shared" si="4"/>
        <v>124864.40475688862</v>
      </c>
      <c r="D22" s="15">
        <f t="shared" si="5"/>
        <v>13569.864626299999</v>
      </c>
      <c r="E22" s="15">
        <f t="shared" si="0"/>
        <v>1141759.7657340246</v>
      </c>
      <c r="F22" s="5"/>
      <c r="G22" s="78"/>
      <c r="H22" s="16">
        <v>2004</v>
      </c>
      <c r="I22" s="15">
        <f t="shared" ref="I22:K22" si="23">Q22+AC22</f>
        <v>1000050.806999926</v>
      </c>
      <c r="J22" s="15">
        <f t="shared" si="23"/>
        <v>139368.99579653761</v>
      </c>
      <c r="K22" s="15">
        <f t="shared" si="23"/>
        <v>13569.864626299999</v>
      </c>
      <c r="L22" s="15">
        <f t="shared" si="2"/>
        <v>1152989.6674227635</v>
      </c>
      <c r="M22" s="5"/>
      <c r="N22" s="78"/>
      <c r="P22" s="30">
        <v>2004</v>
      </c>
      <c r="Q22" s="5">
        <v>152417</v>
      </c>
      <c r="R22" s="5">
        <v>11621</v>
      </c>
      <c r="S22" s="5">
        <v>3022</v>
      </c>
      <c r="T22" s="5"/>
      <c r="V22" s="30">
        <v>2004</v>
      </c>
      <c r="W22" s="5">
        <v>850908.49635083601</v>
      </c>
      <c r="X22" s="5">
        <v>113243.40475688862</v>
      </c>
      <c r="Y22" s="5">
        <v>10547.864626299999</v>
      </c>
      <c r="AB22" s="30">
        <v>2004</v>
      </c>
      <c r="AC22" s="5">
        <v>847633.80699992599</v>
      </c>
      <c r="AD22" s="5">
        <v>127747.99579653761</v>
      </c>
      <c r="AE22" s="5">
        <v>10547.864626299999</v>
      </c>
      <c r="AF22" s="17"/>
      <c r="AK22"/>
      <c r="AL22"/>
      <c r="AM22"/>
      <c r="AN22"/>
      <c r="AO22"/>
    </row>
    <row r="23" spans="1:41" x14ac:dyDescent="0.25">
      <c r="A23" s="16">
        <v>2005</v>
      </c>
      <c r="B23" s="15">
        <f t="shared" si="3"/>
        <v>1093453.1233969796</v>
      </c>
      <c r="C23" s="15">
        <f t="shared" si="4"/>
        <v>204609.43768056307</v>
      </c>
      <c r="D23" s="15">
        <f t="shared" si="5"/>
        <v>4300.0670132000005</v>
      </c>
      <c r="E23" s="15">
        <f t="shared" si="0"/>
        <v>1302362.6280907425</v>
      </c>
      <c r="F23" s="5"/>
      <c r="G23" s="78"/>
      <c r="H23" s="16">
        <v>2005</v>
      </c>
      <c r="I23" s="15">
        <f t="shared" ref="I23:K23" si="24">Q23+AC23</f>
        <v>1116634.2358871596</v>
      </c>
      <c r="J23" s="15">
        <f t="shared" si="24"/>
        <v>204966.87217096309</v>
      </c>
      <c r="K23" s="15">
        <f t="shared" si="24"/>
        <v>4300.0670132000005</v>
      </c>
      <c r="L23" s="15">
        <f t="shared" si="2"/>
        <v>1325901.1750713226</v>
      </c>
      <c r="M23" s="5"/>
      <c r="N23" s="78"/>
      <c r="O23" s="17"/>
      <c r="P23" s="30">
        <v>2005</v>
      </c>
      <c r="Q23" s="5">
        <v>123298</v>
      </c>
      <c r="R23" s="5">
        <v>8485</v>
      </c>
      <c r="S23" s="5">
        <v>1785</v>
      </c>
      <c r="T23" s="5"/>
      <c r="V23" s="30">
        <v>2005</v>
      </c>
      <c r="W23" s="5">
        <v>970155.12339697976</v>
      </c>
      <c r="X23" s="5">
        <v>196124.43768056307</v>
      </c>
      <c r="Y23" s="5">
        <v>2515.0670132000005</v>
      </c>
      <c r="Z23" s="17"/>
      <c r="AA23" s="17"/>
      <c r="AB23" s="30">
        <v>2005</v>
      </c>
      <c r="AC23" s="5">
        <v>993336.23588715971</v>
      </c>
      <c r="AD23" s="5">
        <v>196481.87217096309</v>
      </c>
      <c r="AE23" s="5">
        <v>2515.0670132000005</v>
      </c>
      <c r="AF23" s="17"/>
      <c r="AG23" s="17"/>
      <c r="AH23" s="17"/>
      <c r="AI23" s="17"/>
      <c r="AJ23" s="17"/>
      <c r="AO23"/>
    </row>
    <row r="24" spans="1:41" x14ac:dyDescent="0.25">
      <c r="A24" s="16">
        <v>2006</v>
      </c>
      <c r="B24" s="15">
        <f t="shared" si="3"/>
        <v>1334059.9157837606</v>
      </c>
      <c r="C24" s="15">
        <f t="shared" si="4"/>
        <v>141123.54860109391</v>
      </c>
      <c r="D24" s="15">
        <f t="shared" si="5"/>
        <v>9253.9103844399997</v>
      </c>
      <c r="E24" s="15">
        <f t="shared" si="0"/>
        <v>1484437.3747692946</v>
      </c>
      <c r="F24" s="5"/>
      <c r="G24" s="78"/>
      <c r="H24" s="16">
        <v>2006</v>
      </c>
      <c r="I24" s="15">
        <f t="shared" ref="I24:K24" si="25">Q24+AC24</f>
        <v>1191814.8811101208</v>
      </c>
      <c r="J24" s="15">
        <f t="shared" si="25"/>
        <v>144141.59802695393</v>
      </c>
      <c r="K24" s="15">
        <f t="shared" si="25"/>
        <v>9253.9103844399997</v>
      </c>
      <c r="L24" s="15">
        <f t="shared" si="2"/>
        <v>1345210.3895215148</v>
      </c>
      <c r="M24" s="5"/>
      <c r="N24" s="78"/>
      <c r="O24" s="17"/>
      <c r="P24" s="30">
        <v>2006</v>
      </c>
      <c r="Q24" s="5">
        <v>100935</v>
      </c>
      <c r="R24" s="5">
        <v>7389</v>
      </c>
      <c r="S24" s="5">
        <v>3755</v>
      </c>
      <c r="T24" s="5"/>
      <c r="V24" s="30">
        <v>2006</v>
      </c>
      <c r="W24" s="5">
        <v>1233124.9157837606</v>
      </c>
      <c r="X24" s="5">
        <v>133734.54860109391</v>
      </c>
      <c r="Y24" s="5">
        <v>5498.9103844399997</v>
      </c>
      <c r="Z24" s="17"/>
      <c r="AA24" s="17"/>
      <c r="AB24" s="30">
        <v>2006</v>
      </c>
      <c r="AC24" s="5">
        <v>1090879.8811101208</v>
      </c>
      <c r="AD24" s="5">
        <v>136752.59802695393</v>
      </c>
      <c r="AE24" s="5">
        <v>5498.9103844399997</v>
      </c>
      <c r="AF24" s="17"/>
      <c r="AG24" s="17"/>
      <c r="AH24" s="17"/>
      <c r="AI24" s="17"/>
      <c r="AJ24" s="17"/>
      <c r="AO24"/>
    </row>
    <row r="25" spans="1:41" x14ac:dyDescent="0.25">
      <c r="A25" s="16">
        <v>2007</v>
      </c>
      <c r="B25" s="15">
        <f t="shared" si="3"/>
        <v>1442291.9645564938</v>
      </c>
      <c r="C25" s="15">
        <f t="shared" si="4"/>
        <v>157420.68370025494</v>
      </c>
      <c r="D25" s="15">
        <f t="shared" si="5"/>
        <v>16748.899067800001</v>
      </c>
      <c r="E25" s="15">
        <f t="shared" si="0"/>
        <v>1616461.5473245487</v>
      </c>
      <c r="F25" s="5"/>
      <c r="G25" s="78"/>
      <c r="H25" s="16">
        <v>2007</v>
      </c>
      <c r="I25" s="15">
        <f t="shared" ref="I25:K25" si="26">Q25+AC25</f>
        <v>1437037.1030567233</v>
      </c>
      <c r="J25" s="15">
        <f t="shared" si="26"/>
        <v>160622.0146986749</v>
      </c>
      <c r="K25" s="15">
        <f t="shared" si="26"/>
        <v>16748.899067800001</v>
      </c>
      <c r="L25" s="15">
        <f t="shared" si="2"/>
        <v>1614408.0168231982</v>
      </c>
      <c r="M25" s="5"/>
      <c r="N25" s="78"/>
      <c r="P25" s="30">
        <v>2007</v>
      </c>
      <c r="Q25" s="5">
        <v>97198</v>
      </c>
      <c r="R25" s="5">
        <v>5311</v>
      </c>
      <c r="S25" s="5">
        <v>5048</v>
      </c>
      <c r="T25" s="5"/>
      <c r="V25" s="30">
        <v>2007</v>
      </c>
      <c r="W25" s="5">
        <v>1345093.9645564938</v>
      </c>
      <c r="X25" s="5">
        <v>152109.68370025494</v>
      </c>
      <c r="Y25" s="5">
        <v>11700.899067800001</v>
      </c>
      <c r="AB25" s="30">
        <v>2007</v>
      </c>
      <c r="AC25" s="5">
        <v>1339839.1030567233</v>
      </c>
      <c r="AD25" s="5">
        <v>155311.0146986749</v>
      </c>
      <c r="AE25" s="5">
        <v>11700.899067800001</v>
      </c>
      <c r="AF25" s="17"/>
      <c r="AK25"/>
      <c r="AL25"/>
      <c r="AM25"/>
      <c r="AN25"/>
      <c r="AO25"/>
    </row>
    <row r="26" spans="1:41" x14ac:dyDescent="0.25">
      <c r="A26" s="16">
        <v>2008</v>
      </c>
      <c r="B26" s="15">
        <f t="shared" si="3"/>
        <v>918833.19192060304</v>
      </c>
      <c r="C26" s="15">
        <f t="shared" si="4"/>
        <v>149370.04143681895</v>
      </c>
      <c r="D26" s="15">
        <f t="shared" si="5"/>
        <v>65991.039220999999</v>
      </c>
      <c r="E26" s="15">
        <f t="shared" si="0"/>
        <v>1134194.272578422</v>
      </c>
      <c r="F26" s="5"/>
      <c r="G26" s="5"/>
      <c r="H26" s="16">
        <v>2008</v>
      </c>
      <c r="I26" s="15">
        <f t="shared" ref="I26:K26" si="27">Q26+AC26</f>
        <v>923065.00790669338</v>
      </c>
      <c r="J26" s="15">
        <f t="shared" si="27"/>
        <v>144621.28706763891</v>
      </c>
      <c r="K26" s="15">
        <f t="shared" si="27"/>
        <v>65991.039220999999</v>
      </c>
      <c r="L26" s="15">
        <f t="shared" si="2"/>
        <v>1133677.3341953321</v>
      </c>
      <c r="M26" s="5"/>
      <c r="P26" s="30">
        <v>2008</v>
      </c>
      <c r="Q26" s="5">
        <v>102953</v>
      </c>
      <c r="R26" s="5">
        <v>5654</v>
      </c>
      <c r="S26" s="5">
        <v>7675</v>
      </c>
      <c r="T26" s="5"/>
      <c r="V26" s="30">
        <v>2008</v>
      </c>
      <c r="W26" s="5">
        <v>815880.19192060304</v>
      </c>
      <c r="X26" s="5">
        <v>143716.04143681895</v>
      </c>
      <c r="Y26" s="5">
        <v>58316.039220999999</v>
      </c>
      <c r="AB26" s="30">
        <v>2008</v>
      </c>
      <c r="AC26" s="5">
        <v>820112.00790669338</v>
      </c>
      <c r="AD26" s="5">
        <v>138967.28706763891</v>
      </c>
      <c r="AE26" s="5">
        <v>58316.039220999999</v>
      </c>
      <c r="AF26" s="17"/>
      <c r="AK26"/>
      <c r="AL26"/>
      <c r="AM26"/>
      <c r="AN26"/>
      <c r="AO26"/>
    </row>
    <row r="27" spans="1:41" x14ac:dyDescent="0.25">
      <c r="A27" s="16">
        <v>2009</v>
      </c>
      <c r="B27" s="15">
        <f t="shared" si="3"/>
        <v>869182.23077449179</v>
      </c>
      <c r="C27" s="15">
        <f t="shared" si="4"/>
        <v>123561.04969450996</v>
      </c>
      <c r="D27" s="15">
        <f t="shared" si="5"/>
        <v>46861.552826830019</v>
      </c>
      <c r="E27" s="15">
        <f t="shared" si="0"/>
        <v>1039604.8332958318</v>
      </c>
      <c r="F27" s="5"/>
      <c r="G27" s="5"/>
      <c r="H27" s="16">
        <v>2009</v>
      </c>
      <c r="I27" s="15">
        <f t="shared" ref="I27:K27" si="28">Q27+AC27</f>
        <v>897182.02320099191</v>
      </c>
      <c r="J27" s="15">
        <f t="shared" si="28"/>
        <v>113699.07461037998</v>
      </c>
      <c r="K27" s="15">
        <f t="shared" si="28"/>
        <v>46861.552826830004</v>
      </c>
      <c r="L27" s="15">
        <f t="shared" si="2"/>
        <v>1057742.650638202</v>
      </c>
      <c r="M27" s="5"/>
      <c r="P27" s="30">
        <v>2009</v>
      </c>
      <c r="Q27" s="5">
        <v>131742</v>
      </c>
      <c r="R27" s="5">
        <v>3926</v>
      </c>
      <c r="S27" s="5">
        <v>5953</v>
      </c>
      <c r="T27" s="5"/>
      <c r="V27" s="30">
        <v>2009</v>
      </c>
      <c r="W27" s="5">
        <v>737440.23077449179</v>
      </c>
      <c r="X27" s="5">
        <v>119635.04969450996</v>
      </c>
      <c r="Y27" s="5">
        <v>40908.552826830019</v>
      </c>
      <c r="AB27" s="30">
        <v>2009</v>
      </c>
      <c r="AC27" s="5">
        <v>765440.02320099191</v>
      </c>
      <c r="AD27" s="5">
        <v>109773.07461037998</v>
      </c>
      <c r="AE27" s="5">
        <v>40908.552826830004</v>
      </c>
      <c r="AF27" s="17"/>
      <c r="AK27"/>
      <c r="AL27"/>
      <c r="AM27"/>
      <c r="AN27"/>
      <c r="AO27"/>
    </row>
    <row r="28" spans="1:41" x14ac:dyDescent="0.25">
      <c r="A28" s="16">
        <v>2010</v>
      </c>
      <c r="B28" s="15">
        <f t="shared" si="3"/>
        <v>551213.58718027209</v>
      </c>
      <c r="C28" s="15">
        <f t="shared" si="4"/>
        <v>53406.190681373286</v>
      </c>
      <c r="D28" s="15">
        <f t="shared" si="5"/>
        <v>8257.1655974000005</v>
      </c>
      <c r="E28" s="15">
        <f t="shared" si="0"/>
        <v>612876.94345904537</v>
      </c>
      <c r="F28" s="5"/>
      <c r="G28" s="5"/>
      <c r="H28" s="16">
        <v>2010</v>
      </c>
      <c r="I28" s="15">
        <f t="shared" ref="I28:K28" si="29">Q28+AC28</f>
        <v>550924.74145659222</v>
      </c>
      <c r="J28" s="15">
        <f t="shared" si="29"/>
        <v>53358.724294073283</v>
      </c>
      <c r="K28" s="15">
        <f t="shared" si="29"/>
        <v>8257.1655974000005</v>
      </c>
      <c r="L28" s="15">
        <f t="shared" si="2"/>
        <v>612540.63134806557</v>
      </c>
      <c r="M28" s="5"/>
      <c r="P28" s="30">
        <v>2010</v>
      </c>
      <c r="Q28" s="5">
        <v>134062</v>
      </c>
      <c r="R28" s="5">
        <v>3733</v>
      </c>
      <c r="S28" s="5">
        <v>4589</v>
      </c>
      <c r="T28" s="5"/>
      <c r="V28" s="30">
        <v>2010</v>
      </c>
      <c r="W28" s="5">
        <v>417151.58718027209</v>
      </c>
      <c r="X28" s="5">
        <v>49673.190681373286</v>
      </c>
      <c r="Y28" s="5">
        <v>3668.1655974000005</v>
      </c>
      <c r="AB28" s="30">
        <v>2010</v>
      </c>
      <c r="AC28" s="5">
        <v>416862.74145659216</v>
      </c>
      <c r="AD28" s="5">
        <v>49625.724294073283</v>
      </c>
      <c r="AE28" s="5">
        <v>3668.1655974000005</v>
      </c>
      <c r="AF28" s="17"/>
      <c r="AK28"/>
      <c r="AL28"/>
      <c r="AM28"/>
      <c r="AN28"/>
      <c r="AO28"/>
    </row>
    <row r="29" spans="1:41" x14ac:dyDescent="0.25">
      <c r="A29" s="16">
        <v>2011</v>
      </c>
      <c r="B29" s="15">
        <f t="shared" si="3"/>
        <v>625898.1571189079</v>
      </c>
      <c r="C29" s="15">
        <f t="shared" si="4"/>
        <v>67729.469726989977</v>
      </c>
      <c r="D29" s="15">
        <f t="shared" si="5"/>
        <v>112503.83203439999</v>
      </c>
      <c r="E29" s="15">
        <f t="shared" si="0"/>
        <v>806131.45888029784</v>
      </c>
      <c r="F29" s="5"/>
      <c r="G29" s="5"/>
      <c r="H29" s="16">
        <v>2011</v>
      </c>
      <c r="I29" s="15">
        <f t="shared" ref="I29:K29" si="30">Q29+AC29</f>
        <v>618882.84553722793</v>
      </c>
      <c r="J29" s="15">
        <f t="shared" si="30"/>
        <v>64215.344283489991</v>
      </c>
      <c r="K29" s="15">
        <f t="shared" si="30"/>
        <v>112503.83203439999</v>
      </c>
      <c r="L29" s="15">
        <f t="shared" si="2"/>
        <v>795602.02185511787</v>
      </c>
      <c r="M29" s="5"/>
      <c r="P29" s="30">
        <v>2011</v>
      </c>
      <c r="Q29" s="5">
        <v>84020</v>
      </c>
      <c r="R29" s="5">
        <v>1921</v>
      </c>
      <c r="S29" s="5">
        <v>4293</v>
      </c>
      <c r="T29" s="5"/>
      <c r="V29" s="30">
        <v>2011</v>
      </c>
      <c r="W29" s="5">
        <v>541878.1571189079</v>
      </c>
      <c r="X29" s="5">
        <v>65808.469726989977</v>
      </c>
      <c r="Y29" s="5">
        <v>108210.83203439999</v>
      </c>
      <c r="AB29" s="30">
        <v>2011</v>
      </c>
      <c r="AC29" s="5">
        <v>534862.84553722793</v>
      </c>
      <c r="AD29" s="5">
        <v>62294.344283489991</v>
      </c>
      <c r="AE29" s="5">
        <v>108210.83203439999</v>
      </c>
      <c r="AF29" s="17"/>
      <c r="AK29"/>
      <c r="AL29"/>
      <c r="AM29"/>
      <c r="AN29"/>
      <c r="AO29"/>
    </row>
    <row r="30" spans="1:41" s="17" customFormat="1" x14ac:dyDescent="0.25">
      <c r="A30" s="16">
        <v>2012</v>
      </c>
      <c r="B30" s="15">
        <f t="shared" si="3"/>
        <v>558575.76632886869</v>
      </c>
      <c r="C30" s="15">
        <f t="shared" si="4"/>
        <v>95488.40036263199</v>
      </c>
      <c r="D30" s="15">
        <f t="shared" si="5"/>
        <v>42572.609763799992</v>
      </c>
      <c r="E30" s="15">
        <f t="shared" si="0"/>
        <v>696636.77645530063</v>
      </c>
      <c r="F30" s="5">
        <f t="shared" ref="F30:F35" si="31">SUM(B42:D42)</f>
        <v>2059996.3352321654</v>
      </c>
      <c r="G30" s="5"/>
      <c r="H30" s="16">
        <v>2012</v>
      </c>
      <c r="I30" s="15">
        <f t="shared" ref="I30:K30" si="32">Q30+AC30</f>
        <v>606312.10880836891</v>
      </c>
      <c r="J30" s="15">
        <f t="shared" si="32"/>
        <v>92373.638970981963</v>
      </c>
      <c r="K30" s="15">
        <f t="shared" si="32"/>
        <v>42572.609763799992</v>
      </c>
      <c r="L30" s="15">
        <f t="shared" si="2"/>
        <v>741258.35754315089</v>
      </c>
      <c r="M30" s="5">
        <f t="shared" ref="M30:M35" si="33">SUM(I42:K42)</f>
        <v>1981456.211340925</v>
      </c>
      <c r="N30"/>
      <c r="O30"/>
      <c r="P30" s="30">
        <v>2012</v>
      </c>
      <c r="Q30" s="5">
        <v>118889</v>
      </c>
      <c r="R30" s="5">
        <v>2408</v>
      </c>
      <c r="S30" s="5">
        <v>2840</v>
      </c>
      <c r="T30" s="5"/>
      <c r="V30" s="30">
        <v>2012</v>
      </c>
      <c r="W30" s="5">
        <v>439686.76632886875</v>
      </c>
      <c r="X30" s="5">
        <v>93080.40036263199</v>
      </c>
      <c r="Y30" s="5">
        <v>39732.609763799992</v>
      </c>
      <c r="Z30"/>
      <c r="AA30"/>
      <c r="AB30" s="30">
        <v>2012</v>
      </c>
      <c r="AC30" s="5">
        <v>487423.10880836885</v>
      </c>
      <c r="AD30" s="5">
        <v>89965.638970981963</v>
      </c>
      <c r="AE30" s="5">
        <v>39732.609763799992</v>
      </c>
      <c r="AG30"/>
      <c r="AH30"/>
      <c r="AI30"/>
      <c r="AJ30"/>
      <c r="AK30"/>
      <c r="AL30"/>
      <c r="AM30"/>
      <c r="AN30"/>
    </row>
    <row r="31" spans="1:41" s="17" customFormat="1" x14ac:dyDescent="0.25">
      <c r="A31" s="16">
        <v>2013</v>
      </c>
      <c r="B31" s="15">
        <f t="shared" si="3"/>
        <v>2215929.0408905493</v>
      </c>
      <c r="C31" s="15">
        <f t="shared" si="4"/>
        <v>193869.72169237808</v>
      </c>
      <c r="D31" s="15">
        <f t="shared" si="5"/>
        <v>15874.752743200006</v>
      </c>
      <c r="E31" s="15">
        <f t="shared" si="0"/>
        <v>2425673.5153261274</v>
      </c>
      <c r="F31" s="5">
        <f t="shared" si="31"/>
        <v>2059996.3352321654</v>
      </c>
      <c r="G31" s="5"/>
      <c r="H31" s="16">
        <v>2013</v>
      </c>
      <c r="I31" s="15">
        <f t="shared" ref="I31:K31" si="34">Q31+AC31</f>
        <v>2103041.8675925503</v>
      </c>
      <c r="J31" s="15">
        <f t="shared" si="34"/>
        <v>202456.94651098902</v>
      </c>
      <c r="K31" s="15">
        <f t="shared" si="34"/>
        <v>15874.752743200006</v>
      </c>
      <c r="L31" s="15">
        <f t="shared" si="2"/>
        <v>2321373.5668467395</v>
      </c>
      <c r="M31" s="5">
        <f t="shared" si="33"/>
        <v>1981456.211340925</v>
      </c>
      <c r="N31"/>
      <c r="O31"/>
      <c r="P31" s="30">
        <v>2013</v>
      </c>
      <c r="Q31" s="5">
        <v>145737</v>
      </c>
      <c r="R31" s="5">
        <v>3317</v>
      </c>
      <c r="S31" s="5">
        <v>4531</v>
      </c>
      <c r="T31" s="5"/>
      <c r="V31" s="30">
        <v>2013</v>
      </c>
      <c r="W31" s="5">
        <v>2070192.0408905495</v>
      </c>
      <c r="X31" s="5">
        <v>190552.72169237808</v>
      </c>
      <c r="Y31" s="5">
        <v>11343.752743200006</v>
      </c>
      <c r="Z31"/>
      <c r="AA31"/>
      <c r="AB31" s="30">
        <v>2013</v>
      </c>
      <c r="AC31" s="5">
        <v>1957304.8675925503</v>
      </c>
      <c r="AD31" s="5">
        <v>199139.94651098902</v>
      </c>
      <c r="AE31" s="5">
        <v>11343.752743200006</v>
      </c>
      <c r="AG31"/>
      <c r="AH31"/>
      <c r="AI31"/>
      <c r="AJ31"/>
      <c r="AK31"/>
      <c r="AL31"/>
      <c r="AM31"/>
      <c r="AN31"/>
    </row>
    <row r="32" spans="1:41" x14ac:dyDescent="0.25">
      <c r="A32" s="16">
        <v>2014</v>
      </c>
      <c r="B32" s="15">
        <f t="shared" si="3"/>
        <v>2852226.9285807782</v>
      </c>
      <c r="C32" s="15">
        <f t="shared" si="4"/>
        <v>311029.48830796516</v>
      </c>
      <c r="D32" s="15">
        <f t="shared" si="5"/>
        <v>83815.302887999977</v>
      </c>
      <c r="E32" s="15">
        <f t="shared" si="0"/>
        <v>3247071.7197767431</v>
      </c>
      <c r="F32" s="5">
        <f t="shared" si="31"/>
        <v>2059996.3352321654</v>
      </c>
      <c r="G32" s="5"/>
      <c r="H32" s="16">
        <v>2014</v>
      </c>
      <c r="I32" s="15">
        <f t="shared" ref="I32:K32" si="35">Q32+AC32</f>
        <v>2939597.7038302575</v>
      </c>
      <c r="J32" s="15">
        <f t="shared" si="35"/>
        <v>264235.93607674027</v>
      </c>
      <c r="K32" s="15">
        <f t="shared" si="35"/>
        <v>83815.302887999977</v>
      </c>
      <c r="L32" s="15">
        <f t="shared" si="2"/>
        <v>3287648.9427949977</v>
      </c>
      <c r="M32" s="5">
        <f t="shared" si="33"/>
        <v>1981456.211340925</v>
      </c>
      <c r="P32" s="30">
        <v>2014</v>
      </c>
      <c r="Q32" s="5">
        <v>157754</v>
      </c>
      <c r="R32" s="5">
        <v>3900</v>
      </c>
      <c r="S32" s="5">
        <v>4017</v>
      </c>
      <c r="T32" s="5"/>
      <c r="V32" s="30">
        <v>2014</v>
      </c>
      <c r="W32" s="5">
        <v>2694472.9285807782</v>
      </c>
      <c r="X32" s="5">
        <v>307129.48830796516</v>
      </c>
      <c r="Y32" s="5">
        <v>79798.302887999977</v>
      </c>
      <c r="AB32" s="30">
        <v>2014</v>
      </c>
      <c r="AC32" s="5">
        <v>2781843.7038302575</v>
      </c>
      <c r="AD32" s="5">
        <v>260335.9360767403</v>
      </c>
      <c r="AE32" s="5">
        <v>79798.302887999977</v>
      </c>
      <c r="AF32" s="17"/>
      <c r="AK32"/>
      <c r="AL32"/>
      <c r="AM32"/>
      <c r="AN32"/>
      <c r="AO32"/>
    </row>
    <row r="33" spans="1:41" x14ac:dyDescent="0.25">
      <c r="A33" s="16">
        <v>2015</v>
      </c>
      <c r="B33" s="15">
        <f t="shared" si="3"/>
        <v>1883337.6749337343</v>
      </c>
      <c r="C33" s="15">
        <f t="shared" si="4"/>
        <v>145484.61572458898</v>
      </c>
      <c r="D33" s="15">
        <f t="shared" si="5"/>
        <v>10215.4591048</v>
      </c>
      <c r="E33" s="15">
        <f t="shared" si="0"/>
        <v>2039037.7497631232</v>
      </c>
      <c r="F33" s="5">
        <f t="shared" si="31"/>
        <v>3032015.4249692466</v>
      </c>
      <c r="G33" s="5"/>
      <c r="H33" s="16">
        <v>2015</v>
      </c>
      <c r="I33" s="15">
        <f t="shared" ref="I33:K33" si="36">Q33+AC33</f>
        <v>1752327.28883581</v>
      </c>
      <c r="J33" s="15">
        <f t="shared" si="36"/>
        <v>150962.38352636198</v>
      </c>
      <c r="K33" s="15">
        <f t="shared" si="36"/>
        <v>10215.4591048</v>
      </c>
      <c r="L33" s="15">
        <f t="shared" si="2"/>
        <v>1913505.1314669719</v>
      </c>
      <c r="M33" s="5">
        <f t="shared" si="33"/>
        <v>3010442.7671929374</v>
      </c>
      <c r="N33" s="17"/>
      <c r="O33" s="17"/>
      <c r="P33" s="30">
        <v>2015</v>
      </c>
      <c r="Q33" s="5">
        <v>162603</v>
      </c>
      <c r="R33" s="5">
        <v>2454</v>
      </c>
      <c r="S33" s="5">
        <v>4663</v>
      </c>
      <c r="T33" s="5"/>
      <c r="V33" s="30">
        <v>2015</v>
      </c>
      <c r="W33" s="5">
        <v>1720734.6749337343</v>
      </c>
      <c r="X33" s="5">
        <v>143030.61572458898</v>
      </c>
      <c r="Y33" s="5">
        <v>5552.4591048000002</v>
      </c>
      <c r="AB33" s="30">
        <v>2015</v>
      </c>
      <c r="AC33" s="5">
        <v>1589724.28883581</v>
      </c>
      <c r="AD33" s="5">
        <v>148508.38352636198</v>
      </c>
      <c r="AE33" s="5">
        <v>5552.4591048000002</v>
      </c>
      <c r="AF33" s="17"/>
      <c r="AK33"/>
      <c r="AL33"/>
      <c r="AM33"/>
      <c r="AN33"/>
      <c r="AO33"/>
    </row>
    <row r="34" spans="1:41" s="17" customFormat="1" x14ac:dyDescent="0.25">
      <c r="A34" s="16">
        <v>2016</v>
      </c>
      <c r="B34" s="15">
        <f t="shared" si="3"/>
        <v>3929485.7747039669</v>
      </c>
      <c r="C34" s="15">
        <f t="shared" si="4"/>
        <v>197574.90094490608</v>
      </c>
      <c r="D34" s="15">
        <f t="shared" si="5"/>
        <v>6491.1146678000005</v>
      </c>
      <c r="E34" s="15">
        <f t="shared" ref="E34:E35" si="37">SUM(B34:D34)</f>
        <v>4133551.790316673</v>
      </c>
      <c r="F34" s="5">
        <f t="shared" si="31"/>
        <v>3032015.4249692466</v>
      </c>
      <c r="G34" s="5"/>
      <c r="H34" s="16">
        <v>2016</v>
      </c>
      <c r="I34" s="15">
        <f t="shared" ref="I34:K34" si="38">Q34+AC34</f>
        <v>4113464.4224234056</v>
      </c>
      <c r="J34" s="15">
        <f t="shared" si="38"/>
        <v>195551.96447200605</v>
      </c>
      <c r="K34" s="15">
        <f t="shared" si="38"/>
        <v>6491.1146678000005</v>
      </c>
      <c r="L34" s="15">
        <f t="shared" si="2"/>
        <v>4315507.5015632119</v>
      </c>
      <c r="M34" s="5">
        <f t="shared" si="33"/>
        <v>3010442.7671929374</v>
      </c>
      <c r="P34" s="30">
        <v>2016</v>
      </c>
      <c r="Q34" s="5">
        <v>159825</v>
      </c>
      <c r="R34" s="5">
        <v>6712</v>
      </c>
      <c r="S34" s="5">
        <v>6285</v>
      </c>
      <c r="T34" s="5"/>
      <c r="V34" s="30">
        <v>2016</v>
      </c>
      <c r="W34" s="5">
        <v>3769660.7747039669</v>
      </c>
      <c r="X34" s="5">
        <v>190862.90094490608</v>
      </c>
      <c r="Y34" s="5">
        <v>206.11466780000001</v>
      </c>
      <c r="Z34"/>
      <c r="AA34"/>
      <c r="AB34" s="30">
        <v>2016</v>
      </c>
      <c r="AC34" s="5">
        <v>3953639.4224234056</v>
      </c>
      <c r="AD34" s="5">
        <v>188839.96447200605</v>
      </c>
      <c r="AE34" s="5">
        <v>206.11466780000001</v>
      </c>
      <c r="AG34"/>
      <c r="AH34"/>
      <c r="AI34"/>
      <c r="AJ34"/>
      <c r="AK34"/>
      <c r="AL34"/>
      <c r="AM34"/>
      <c r="AN34"/>
    </row>
    <row r="35" spans="1:41" s="17" customFormat="1" x14ac:dyDescent="0.25">
      <c r="A35" s="16">
        <v>2017</v>
      </c>
      <c r="B35" s="15">
        <f t="shared" si="3"/>
        <v>3181898.8476802609</v>
      </c>
      <c r="C35" s="15">
        <f t="shared" si="4"/>
        <v>156100.76674494802</v>
      </c>
      <c r="D35" s="15">
        <f t="shared" si="5"/>
        <v>613759.93731259997</v>
      </c>
      <c r="E35" s="15">
        <f t="shared" si="37"/>
        <v>3951759.5517378086</v>
      </c>
      <c r="F35" s="5">
        <f t="shared" si="31"/>
        <v>3032015.4249692466</v>
      </c>
      <c r="G35" s="5"/>
      <c r="H35" s="16">
        <v>2017</v>
      </c>
      <c r="I35" s="15">
        <f t="shared" ref="I35:K35" si="39">Q35+AC35</f>
        <v>3188207.1222692812</v>
      </c>
      <c r="J35" s="15">
        <f t="shared" si="39"/>
        <v>160925.66482751805</v>
      </c>
      <c r="K35" s="15">
        <f t="shared" si="39"/>
        <v>613759.93731259985</v>
      </c>
      <c r="L35" s="15">
        <f t="shared" si="2"/>
        <v>3962892.7244093991</v>
      </c>
      <c r="M35" s="5">
        <f t="shared" si="33"/>
        <v>3010442.7671929374</v>
      </c>
      <c r="P35" s="30">
        <v>2017</v>
      </c>
      <c r="Q35" s="5">
        <v>102353</v>
      </c>
      <c r="R35" s="5">
        <v>4379</v>
      </c>
      <c r="S35" s="5">
        <v>2750</v>
      </c>
      <c r="T35" s="5"/>
      <c r="V35" s="30">
        <v>2017</v>
      </c>
      <c r="W35" s="5">
        <v>3079545.8476802609</v>
      </c>
      <c r="X35" s="5">
        <v>151721.76674494802</v>
      </c>
      <c r="Y35" s="5">
        <v>611009.93731259997</v>
      </c>
      <c r="Z35"/>
      <c r="AA35"/>
      <c r="AB35" s="30">
        <v>2017</v>
      </c>
      <c r="AC35" s="5">
        <v>3085854.1222692812</v>
      </c>
      <c r="AD35" s="5">
        <v>156546.66482751805</v>
      </c>
      <c r="AE35" s="5">
        <v>611009.93731259985</v>
      </c>
      <c r="AG35"/>
      <c r="AH35"/>
      <c r="AI35"/>
      <c r="AJ35"/>
      <c r="AK35"/>
      <c r="AL35"/>
      <c r="AM35"/>
      <c r="AN35"/>
    </row>
    <row r="36" spans="1:41" x14ac:dyDescent="0.25">
      <c r="A36" s="18" t="s">
        <v>71</v>
      </c>
      <c r="B36" s="5">
        <f>AVERAGE(B17:B25)</f>
        <v>1460124.7067755302</v>
      </c>
      <c r="C36" s="5">
        <f t="shared" ref="C36:D36" si="40">AVERAGE(C17:C25)</f>
        <v>226163.74310101348</v>
      </c>
      <c r="D36" s="5">
        <f t="shared" si="40"/>
        <v>52646.103414011792</v>
      </c>
      <c r="E36" s="59"/>
      <c r="F36" s="5"/>
      <c r="G36" s="5"/>
      <c r="H36" s="18" t="s">
        <v>71</v>
      </c>
      <c r="I36" s="5">
        <f>AVERAGE(I17:I25)</f>
        <v>1423766.2887274935</v>
      </c>
      <c r="J36" s="5">
        <f t="shared" ref="J36:K36" si="41">AVERAGE(J17:J25)</f>
        <v>223714.1321031581</v>
      </c>
      <c r="K36" s="5">
        <f t="shared" si="41"/>
        <v>52646.103414011792</v>
      </c>
      <c r="L36" s="59"/>
      <c r="N36" s="17"/>
      <c r="O36" s="17"/>
      <c r="P36" s="18"/>
      <c r="Q36" s="5"/>
      <c r="R36" s="5"/>
      <c r="S36" s="5"/>
      <c r="T36" s="17"/>
      <c r="AB36" s="18"/>
      <c r="AC36" s="5"/>
      <c r="AD36" s="5"/>
      <c r="AE36" s="5"/>
      <c r="AF36" s="17"/>
      <c r="AK36"/>
      <c r="AL36"/>
      <c r="AM36"/>
      <c r="AN36"/>
      <c r="AO36"/>
    </row>
    <row r="37" spans="1:41" x14ac:dyDescent="0.25">
      <c r="A37" s="18" t="s">
        <v>47</v>
      </c>
      <c r="B37" s="5">
        <f>AVERAGE(B30:B32)</f>
        <v>1875577.2452667318</v>
      </c>
      <c r="C37" s="5">
        <f t="shared" ref="C37:D37" si="42">AVERAGE(C30:C32)</f>
        <v>200129.20345432506</v>
      </c>
      <c r="D37" s="5">
        <f t="shared" si="42"/>
        <v>47420.888464999989</v>
      </c>
      <c r="E37" s="59"/>
      <c r="F37" s="5"/>
      <c r="G37" s="5"/>
      <c r="H37" s="18" t="s">
        <v>47</v>
      </c>
      <c r="I37" s="5">
        <f>AVERAGE(I30:I32)</f>
        <v>1882983.8934103921</v>
      </c>
      <c r="J37" s="5">
        <f t="shared" ref="J37:K37" si="43">AVERAGE(J30:J32)</f>
        <v>186355.50718623711</v>
      </c>
      <c r="K37" s="5">
        <f t="shared" si="43"/>
        <v>47420.888464999989</v>
      </c>
      <c r="L37" s="59"/>
      <c r="N37" s="17"/>
      <c r="O37" s="17"/>
      <c r="P37" s="18"/>
      <c r="Q37" s="5"/>
      <c r="R37" s="5"/>
      <c r="S37" s="5"/>
      <c r="T37" s="17"/>
      <c r="AB37" s="18"/>
      <c r="AC37" s="5"/>
      <c r="AD37" s="5"/>
      <c r="AE37" s="5"/>
      <c r="AF37" s="17"/>
      <c r="AK37"/>
      <c r="AL37"/>
      <c r="AM37"/>
      <c r="AN37"/>
      <c r="AO37"/>
    </row>
    <row r="38" spans="1:41" x14ac:dyDescent="0.25">
      <c r="A38" s="18" t="s">
        <v>85</v>
      </c>
      <c r="B38" s="73">
        <f>B37/B36</f>
        <v>1.2845322297221222</v>
      </c>
      <c r="C38" s="73">
        <f t="shared" ref="C38:D38" si="44">C37/C36</f>
        <v>0.8848863248824973</v>
      </c>
      <c r="D38" s="73">
        <f t="shared" si="44"/>
        <v>0.90074830594924693</v>
      </c>
      <c r="E38" s="59"/>
      <c r="F38" s="5"/>
      <c r="G38" s="5"/>
      <c r="H38" s="18" t="s">
        <v>85</v>
      </c>
      <c r="I38" s="73">
        <f>I37/I36</f>
        <v>1.3225372087530807</v>
      </c>
      <c r="J38" s="73">
        <f t="shared" ref="J38" si="45">J37/J36</f>
        <v>0.8330073090791853</v>
      </c>
      <c r="K38" s="73">
        <f t="shared" ref="K38" si="46">K37/K36</f>
        <v>0.90074830594924693</v>
      </c>
      <c r="L38" s="59"/>
      <c r="N38" s="17"/>
      <c r="O38" s="17"/>
      <c r="P38" s="17"/>
      <c r="Q38" s="17"/>
      <c r="R38" s="17"/>
      <c r="S38" s="17"/>
      <c r="T38" s="17"/>
      <c r="U38" s="17"/>
      <c r="V38" s="17"/>
      <c r="W38" s="17"/>
      <c r="X38" s="17"/>
      <c r="AO38"/>
    </row>
    <row r="39" spans="1:41" x14ac:dyDescent="0.25">
      <c r="A39" s="18" t="s">
        <v>335</v>
      </c>
      <c r="B39" s="73">
        <f>B42/B36</f>
        <v>1.1694852988936948</v>
      </c>
      <c r="C39" s="73">
        <f t="shared" ref="C39:D39" si="47">C42/C36</f>
        <v>1.3218599099643937</v>
      </c>
      <c r="D39" s="73">
        <f t="shared" si="47"/>
        <v>1.0151780957786047</v>
      </c>
      <c r="E39" s="37"/>
      <c r="F39" s="5"/>
      <c r="H39" s="18" t="s">
        <v>335</v>
      </c>
      <c r="I39" s="73">
        <f>I42/I36</f>
        <v>1.1586806139346997</v>
      </c>
      <c r="J39" s="73">
        <f t="shared" ref="J39:K39" si="48">J42/J36</f>
        <v>1.2440905730366907</v>
      </c>
      <c r="K39" s="73">
        <f t="shared" si="48"/>
        <v>1.0151780957786047</v>
      </c>
      <c r="L39" s="59"/>
      <c r="AO39"/>
    </row>
    <row r="40" spans="1:41" x14ac:dyDescent="0.25">
      <c r="H40" s="25"/>
      <c r="I40" s="50"/>
      <c r="J40" s="50"/>
      <c r="K40" s="50"/>
      <c r="L40" s="25"/>
      <c r="AO40"/>
    </row>
    <row r="41" spans="1:41" x14ac:dyDescent="0.25">
      <c r="A41" s="30" t="s">
        <v>20</v>
      </c>
      <c r="B41" s="30" t="s">
        <v>51</v>
      </c>
      <c r="C41" s="30" t="s">
        <v>51</v>
      </c>
      <c r="D41" s="30" t="s">
        <v>51</v>
      </c>
      <c r="H41" s="50" t="s">
        <v>20</v>
      </c>
      <c r="I41" s="30" t="s">
        <v>67</v>
      </c>
      <c r="J41" s="30" t="s">
        <v>67</v>
      </c>
      <c r="K41" s="30" t="s">
        <v>67</v>
      </c>
      <c r="L41" s="25"/>
    </row>
    <row r="42" spans="1:41" x14ac:dyDescent="0.25">
      <c r="A42" s="32">
        <v>2012</v>
      </c>
      <c r="B42" s="5">
        <f>VLOOKUP(VLOOKUP(3,$B$119:$E$127,4,FALSE),$A$17:$D$25,2,FALSE)</f>
        <v>1707594.3791254496</v>
      </c>
      <c r="C42" s="5">
        <f>VLOOKUP(VLOOKUP(3,$C$119:$E$127,3,FALSE),$A$17:$D$25,3,FALSE)</f>
        <v>298956.78509271593</v>
      </c>
      <c r="D42" s="5">
        <f>VLOOKUP(VLOOKUP(3,$D$119:$E$127,2,FALSE),$A$17:$D$25,4,FALSE)</f>
        <v>53445.171013999992</v>
      </c>
      <c r="H42" s="54">
        <v>2012</v>
      </c>
      <c r="I42" s="7">
        <f>VLOOKUP(VLOOKUP(3,$I$119:$L$127,4,FALSE),$H$17:$K$25,2,FALSE)</f>
        <v>1649690.3975223012</v>
      </c>
      <c r="J42" s="7">
        <f>VLOOKUP(VLOOKUP(3,$J$119:$L$127,3,FALSE),$H$17:$K$25,3,FALSE)</f>
        <v>278320.64280462387</v>
      </c>
      <c r="K42" s="7">
        <f>VLOOKUP(VLOOKUP(3,$K$119:$L$127,2,FALSE),$H$17:$K$25,4,FALSE)</f>
        <v>53445.171013999992</v>
      </c>
      <c r="L42" s="25"/>
    </row>
    <row r="43" spans="1:41" x14ac:dyDescent="0.25">
      <c r="A43" s="32">
        <v>2013</v>
      </c>
      <c r="B43" s="5">
        <f>VLOOKUP(VLOOKUP(3,$B$119:$E$127,4,FALSE),$A$17:$D$25,2,FALSE)</f>
        <v>1707594.3791254496</v>
      </c>
      <c r="C43" s="5">
        <f>VLOOKUP(VLOOKUP(3,$C$119:$E$127,3,FALSE),$A$17:$D$25,3,FALSE)</f>
        <v>298956.78509271593</v>
      </c>
      <c r="D43" s="5">
        <f>VLOOKUP(VLOOKUP(3,$D$119:$E$127,2,FALSE),$A$17:$D$25,4,FALSE)</f>
        <v>53445.171013999992</v>
      </c>
      <c r="H43" s="54">
        <v>2013</v>
      </c>
      <c r="I43" s="7">
        <f>VLOOKUP(VLOOKUP(3,$I$119:$L$127,4,FALSE),$H$17:$K$25,2,FALSE)</f>
        <v>1649690.3975223012</v>
      </c>
      <c r="J43" s="7">
        <f>VLOOKUP(VLOOKUP(3,$J$119:$L$127,3,FALSE),$H$17:$K$25,3,FALSE)</f>
        <v>278320.64280462387</v>
      </c>
      <c r="K43" s="7">
        <f>VLOOKUP(VLOOKUP(3,$K$119:$L$127,2,FALSE),$H$17:$K$25,4,FALSE)</f>
        <v>53445.171013999992</v>
      </c>
      <c r="L43" s="25"/>
      <c r="M43" s="17"/>
    </row>
    <row r="44" spans="1:41" x14ac:dyDescent="0.25">
      <c r="A44" s="32">
        <v>2014</v>
      </c>
      <c r="B44" s="5">
        <f>VLOOKUP(VLOOKUP(3,$B$119:$E$127,4,FALSE),$A$17:$D$25,2,FALSE)</f>
        <v>1707594.3791254496</v>
      </c>
      <c r="C44" s="5">
        <f>VLOOKUP(VLOOKUP(3,$C$119:$E$127,3,FALSE),$A$17:$D$25,3,FALSE)</f>
        <v>298956.78509271593</v>
      </c>
      <c r="D44" s="5">
        <f>VLOOKUP(VLOOKUP(3,$D$119:$E$127,2,FALSE),$A$17:$D$25,4,FALSE)</f>
        <v>53445.171013999992</v>
      </c>
      <c r="H44" s="54">
        <v>2014</v>
      </c>
      <c r="I44" s="7">
        <f>VLOOKUP(VLOOKUP(3,$I$119:$L$127,4,FALSE),$H$17:$K$25,2,FALSE)</f>
        <v>1649690.3975223012</v>
      </c>
      <c r="J44" s="7">
        <f>VLOOKUP(VLOOKUP(3,$J$119:$L$127,3,FALSE),$H$17:$K$25,3,FALSE)</f>
        <v>278320.64280462387</v>
      </c>
      <c r="K44" s="7">
        <f>VLOOKUP(VLOOKUP(3,$K$119:$L$127,2,FALSE),$H$17:$K$25,4,FALSE)</f>
        <v>53445.171013999992</v>
      </c>
      <c r="L44" s="25"/>
      <c r="M44" s="17"/>
    </row>
    <row r="45" spans="1:41" x14ac:dyDescent="0.25">
      <c r="A45" s="32">
        <v>2015</v>
      </c>
      <c r="B45" s="5">
        <f>$B$57</f>
        <v>2336791.1606564098</v>
      </c>
      <c r="C45" s="5">
        <f>$C$57</f>
        <v>412827.70911912585</v>
      </c>
      <c r="D45" s="5">
        <f>$D$57</f>
        <v>282396.55519371119</v>
      </c>
      <c r="H45" s="54">
        <v>2015</v>
      </c>
      <c r="I45" s="7">
        <f>$I$57</f>
        <v>2340992.5623471406</v>
      </c>
      <c r="J45" s="7">
        <f>$J$57</f>
        <v>387053.64965208585</v>
      </c>
      <c r="K45" s="7">
        <f>$K$57</f>
        <v>282396.55519371119</v>
      </c>
      <c r="L45" s="25"/>
      <c r="M45" s="17"/>
    </row>
    <row r="46" spans="1:41" x14ac:dyDescent="0.25">
      <c r="A46" s="32">
        <v>2016</v>
      </c>
      <c r="B46" s="5">
        <f>$B$57</f>
        <v>2336791.1606564098</v>
      </c>
      <c r="C46" s="5">
        <f>$C$57</f>
        <v>412827.70911912585</v>
      </c>
      <c r="D46" s="5">
        <f>$D$57</f>
        <v>282396.55519371119</v>
      </c>
      <c r="H46" s="54">
        <v>2016</v>
      </c>
      <c r="I46" s="7">
        <f>$I$57</f>
        <v>2340992.5623471406</v>
      </c>
      <c r="J46" s="7">
        <f>$J$57</f>
        <v>387053.64965208585</v>
      </c>
      <c r="K46" s="7">
        <f>$K$57</f>
        <v>282396.55519371119</v>
      </c>
      <c r="L46" s="25"/>
      <c r="M46" s="17"/>
    </row>
    <row r="47" spans="1:41" x14ac:dyDescent="0.25">
      <c r="A47" s="32">
        <v>2017</v>
      </c>
      <c r="B47" s="5">
        <f>$B$57</f>
        <v>2336791.1606564098</v>
      </c>
      <c r="C47" s="5">
        <f>$C$57</f>
        <v>412827.70911912585</v>
      </c>
      <c r="D47" s="5">
        <f>$D$57</f>
        <v>282396.55519371119</v>
      </c>
      <c r="H47" s="54">
        <v>2017</v>
      </c>
      <c r="I47" s="7">
        <f>$I$57</f>
        <v>2340992.5623471406</v>
      </c>
      <c r="J47" s="7">
        <f>$J$57</f>
        <v>387053.64965208585</v>
      </c>
      <c r="K47" s="7">
        <f>$K$57</f>
        <v>282396.55519371119</v>
      </c>
      <c r="L47" s="25"/>
      <c r="M47" s="17"/>
    </row>
    <row r="48" spans="1:41" x14ac:dyDescent="0.25">
      <c r="A48" s="32"/>
      <c r="B48" s="5"/>
      <c r="C48" s="5"/>
      <c r="D48" s="5"/>
      <c r="E48" s="17"/>
      <c r="F48" s="17"/>
      <c r="H48" s="54"/>
      <c r="I48" s="7"/>
      <c r="J48" s="7"/>
      <c r="K48" s="7"/>
      <c r="L48" s="25"/>
      <c r="M48" s="17"/>
    </row>
    <row r="49" spans="1:44" x14ac:dyDescent="0.25">
      <c r="A49" s="365" t="s">
        <v>60</v>
      </c>
      <c r="B49" s="365"/>
      <c r="C49" s="365"/>
      <c r="D49" s="365"/>
      <c r="E49" s="17"/>
      <c r="F49" s="17"/>
      <c r="H49" s="365" t="s">
        <v>84</v>
      </c>
      <c r="I49" s="365"/>
      <c r="J49" s="365"/>
      <c r="K49" s="365"/>
      <c r="L49" s="25"/>
      <c r="M49" s="17"/>
    </row>
    <row r="50" spans="1:44" x14ac:dyDescent="0.25">
      <c r="A50" s="74" t="s">
        <v>56</v>
      </c>
      <c r="B50" s="77" t="s">
        <v>6</v>
      </c>
      <c r="C50" s="77" t="s">
        <v>10</v>
      </c>
      <c r="D50" s="77" t="s">
        <v>4</v>
      </c>
      <c r="E50" s="17"/>
      <c r="F50" s="17"/>
      <c r="H50" s="74" t="s">
        <v>56</v>
      </c>
      <c r="I50" s="77" t="s">
        <v>6</v>
      </c>
      <c r="J50" s="77" t="s">
        <v>10</v>
      </c>
      <c r="K50" s="77" t="s">
        <v>4</v>
      </c>
      <c r="L50" s="25"/>
      <c r="M50" s="17"/>
    </row>
    <row r="51" spans="1:44" x14ac:dyDescent="0.25">
      <c r="A51" s="49" t="s">
        <v>79</v>
      </c>
      <c r="B51" s="49" t="s">
        <v>78</v>
      </c>
      <c r="C51" s="49" t="s">
        <v>78</v>
      </c>
      <c r="D51" s="49" t="s">
        <v>78</v>
      </c>
      <c r="E51" s="17"/>
      <c r="F51" s="17"/>
      <c r="H51" s="49" t="s">
        <v>79</v>
      </c>
      <c r="I51" s="49" t="s">
        <v>78</v>
      </c>
      <c r="J51" s="49" t="s">
        <v>78</v>
      </c>
      <c r="K51" s="49" t="s">
        <v>78</v>
      </c>
      <c r="L51" s="25"/>
      <c r="M51" s="17"/>
    </row>
    <row r="52" spans="1:44" x14ac:dyDescent="0.25">
      <c r="A52" s="49" t="s">
        <v>80</v>
      </c>
      <c r="B52" s="49">
        <f>VLOOKUP(B51,'ORCS Categories'!$A$5:$C$9,2,FALSE)</f>
        <v>1.5</v>
      </c>
      <c r="C52" s="49">
        <f>VLOOKUP(C51,'ORCS Categories'!$A$5:$C$9,2,FALSE)</f>
        <v>1.5</v>
      </c>
      <c r="D52" s="49">
        <f>VLOOKUP(D51,'ORCS Categories'!$A$5:$C$9,2,FALSE)</f>
        <v>1.5</v>
      </c>
      <c r="E52" s="17"/>
      <c r="F52" s="17"/>
      <c r="H52" s="49" t="s">
        <v>80</v>
      </c>
      <c r="I52" s="49">
        <f>VLOOKUP(I51,'ORCS Categories'!$A$5:$C$9,2,FALSE)</f>
        <v>1.5</v>
      </c>
      <c r="J52" s="49">
        <f>VLOOKUP(J51,'ORCS Categories'!$A$5:$C$9,2,FALSE)</f>
        <v>1.5</v>
      </c>
      <c r="K52" s="49">
        <f>VLOOKUP(K51,'ORCS Categories'!$A$5:$C$9,2,FALSE)</f>
        <v>1.5</v>
      </c>
      <c r="L52" s="25"/>
      <c r="M52" s="17"/>
    </row>
    <row r="53" spans="1:44" x14ac:dyDescent="0.25">
      <c r="A53" s="49" t="s">
        <v>81</v>
      </c>
      <c r="B53" s="49" t="s">
        <v>54</v>
      </c>
      <c r="C53" s="49" t="s">
        <v>54</v>
      </c>
      <c r="D53" s="49" t="s">
        <v>54</v>
      </c>
      <c r="E53" s="17"/>
      <c r="F53" s="17"/>
      <c r="H53" s="49" t="s">
        <v>81</v>
      </c>
      <c r="I53" s="49" t="s">
        <v>54</v>
      </c>
      <c r="J53" s="49" t="s">
        <v>54</v>
      </c>
      <c r="K53" s="49" t="s">
        <v>54</v>
      </c>
      <c r="L53" s="25"/>
      <c r="M53" s="17"/>
    </row>
    <row r="54" spans="1:44" x14ac:dyDescent="0.25">
      <c r="A54" s="49" t="s">
        <v>82</v>
      </c>
      <c r="B54" s="49">
        <f>VLOOKUP(MAX(B17:B25),B17:$H$25,7,FALSE)</f>
        <v>2000</v>
      </c>
      <c r="C54" s="49">
        <f>VLOOKUP(MAX(C17:C25),C17:$H$25,6,FALSE)</f>
        <v>2003</v>
      </c>
      <c r="D54" s="49">
        <f>VLOOKUP(MAX(D17:D25),D17:$H$25,5,FALSE)</f>
        <v>2000</v>
      </c>
      <c r="E54" s="17"/>
      <c r="F54" s="17"/>
      <c r="H54" s="49" t="s">
        <v>82</v>
      </c>
      <c r="I54" s="49">
        <f>VLOOKUP(I55,I17:$P$25,8,FALSE)</f>
        <v>2000</v>
      </c>
      <c r="J54" s="49">
        <f>VLOOKUP(J55,J17:$P$25,7,FALSE)</f>
        <v>2003</v>
      </c>
      <c r="K54" s="49">
        <f>VLOOKUP(K55,K17:$P$25,6,FALSE)</f>
        <v>2000</v>
      </c>
      <c r="L54" s="25"/>
      <c r="M54" s="17"/>
    </row>
    <row r="55" spans="1:44" x14ac:dyDescent="0.25">
      <c r="A55" s="49" t="s">
        <v>83</v>
      </c>
      <c r="B55" s="24">
        <f>MAX(B17:B25)</f>
        <v>1947325.9672136747</v>
      </c>
      <c r="C55" s="24">
        <f>MAX(C17:C25)</f>
        <v>344023.09093260486</v>
      </c>
      <c r="D55" s="24">
        <f>MAX(D17:D25)</f>
        <v>235330.46266142599</v>
      </c>
      <c r="E55" s="17"/>
      <c r="F55" s="17"/>
      <c r="H55" s="49" t="s">
        <v>83</v>
      </c>
      <c r="I55" s="24">
        <f>MAX(I17:I25)</f>
        <v>1950827.1352892837</v>
      </c>
      <c r="J55" s="24">
        <f>MAX(J17:J25)</f>
        <v>322544.70804340485</v>
      </c>
      <c r="K55" s="24">
        <f>MAX(K17:K25)</f>
        <v>235330.46266142599</v>
      </c>
      <c r="L55" s="25"/>
      <c r="M55" s="17"/>
    </row>
    <row r="56" spans="1:44" x14ac:dyDescent="0.25">
      <c r="A56" s="49" t="s">
        <v>59</v>
      </c>
      <c r="B56" s="49">
        <f>VLOOKUP(B51,'ORCS Categories'!$A$5:$C$9,3,FALSE)</f>
        <v>0.8</v>
      </c>
      <c r="C56" s="49">
        <f>VLOOKUP(C51,'ORCS Categories'!$A$5:$C$9,3,FALSE)</f>
        <v>0.8</v>
      </c>
      <c r="D56" s="49">
        <f>VLOOKUP(D51,'ORCS Categories'!$A$5:$C$9,3,FALSE)</f>
        <v>0.8</v>
      </c>
      <c r="E56" s="17"/>
      <c r="F56" s="17"/>
      <c r="H56" s="49" t="s">
        <v>59</v>
      </c>
      <c r="I56" s="49">
        <f>VLOOKUP(I51,'ORCS Categories'!$A$5:$C$9,3,FALSE)</f>
        <v>0.8</v>
      </c>
      <c r="J56" s="49">
        <f>VLOOKUP(J51,'ORCS Categories'!$A$5:$C$9,3,FALSE)</f>
        <v>0.8</v>
      </c>
      <c r="K56" s="49">
        <f>VLOOKUP(K51,'ORCS Categories'!$A$5:$C$9,3,FALSE)</f>
        <v>0.8</v>
      </c>
      <c r="L56" s="25"/>
      <c r="M56" s="17"/>
    </row>
    <row r="57" spans="1:44" x14ac:dyDescent="0.25">
      <c r="A57" s="49" t="s">
        <v>41</v>
      </c>
      <c r="B57" s="24">
        <f t="shared" ref="B57:D57" si="49">B55*B52*B56</f>
        <v>2336791.1606564098</v>
      </c>
      <c r="C57" s="24">
        <f t="shared" si="49"/>
        <v>412827.70911912585</v>
      </c>
      <c r="D57" s="24">
        <f t="shared" si="49"/>
        <v>282396.55519371119</v>
      </c>
      <c r="E57" s="17"/>
      <c r="F57" s="17"/>
      <c r="H57" s="49" t="s">
        <v>41</v>
      </c>
      <c r="I57" s="24">
        <f>I55*I52*I56</f>
        <v>2340992.5623471406</v>
      </c>
      <c r="J57" s="24">
        <f t="shared" ref="J57:K57" si="50">J55*J52*J56</f>
        <v>387053.64965208585</v>
      </c>
      <c r="K57" s="24">
        <f t="shared" si="50"/>
        <v>282396.55519371119</v>
      </c>
      <c r="L57" s="25"/>
    </row>
    <row r="58" spans="1:44" x14ac:dyDescent="0.25">
      <c r="A58" s="32"/>
      <c r="B58" s="5"/>
      <c r="C58" s="5"/>
      <c r="D58" s="5"/>
      <c r="E58" s="17"/>
      <c r="F58" s="17"/>
      <c r="H58" s="54"/>
      <c r="I58" s="7"/>
      <c r="J58" s="7"/>
      <c r="K58" s="7"/>
      <c r="L58" s="25"/>
    </row>
    <row r="59" spans="1:44" x14ac:dyDescent="0.25">
      <c r="A59" s="32"/>
      <c r="B59" s="5"/>
      <c r="C59" s="5"/>
      <c r="D59" s="5"/>
      <c r="E59" s="17"/>
      <c r="F59" s="17"/>
      <c r="H59" s="54"/>
      <c r="I59" s="7"/>
      <c r="J59" s="7"/>
      <c r="K59" s="7"/>
      <c r="L59" s="25"/>
    </row>
    <row r="60" spans="1:44" x14ac:dyDescent="0.25">
      <c r="A60" s="32"/>
      <c r="B60" s="5"/>
      <c r="C60" s="5"/>
      <c r="D60" s="5"/>
      <c r="E60" s="17"/>
      <c r="F60" s="17"/>
      <c r="H60" s="54"/>
      <c r="I60" s="7"/>
      <c r="J60" s="7"/>
      <c r="K60" s="7"/>
      <c r="L60" s="25"/>
    </row>
    <row r="61" spans="1:44" x14ac:dyDescent="0.25">
      <c r="A61" s="32"/>
      <c r="B61" s="5"/>
      <c r="C61" s="5"/>
      <c r="D61" s="5"/>
      <c r="E61" s="17"/>
      <c r="F61" s="17"/>
      <c r="H61" s="54"/>
      <c r="I61" s="7"/>
      <c r="J61" s="7"/>
      <c r="K61" s="7"/>
      <c r="L61" s="25"/>
    </row>
    <row r="64" spans="1:44" x14ac:dyDescent="0.25">
      <c r="M64" s="366" t="s">
        <v>6</v>
      </c>
      <c r="N64" s="366"/>
      <c r="O64" s="366"/>
      <c r="P64" s="366"/>
      <c r="Q64" s="366"/>
      <c r="R64" s="366"/>
      <c r="S64" s="366"/>
      <c r="T64" s="366"/>
      <c r="U64" s="366"/>
      <c r="V64" s="366"/>
      <c r="X64" s="366" t="s">
        <v>10</v>
      </c>
      <c r="Y64" s="366"/>
      <c r="Z64" s="366"/>
      <c r="AA64" s="366"/>
      <c r="AB64" s="366"/>
      <c r="AC64" s="366"/>
      <c r="AD64" s="366"/>
      <c r="AE64" s="366"/>
      <c r="AF64" s="366"/>
      <c r="AG64" s="366"/>
      <c r="AH64" s="17"/>
      <c r="AI64" s="366" t="s">
        <v>4</v>
      </c>
      <c r="AJ64" s="366"/>
      <c r="AK64" s="366"/>
      <c r="AL64" s="366"/>
      <c r="AM64" s="366"/>
      <c r="AN64" s="366"/>
      <c r="AO64" s="366"/>
      <c r="AP64" s="366"/>
      <c r="AQ64" s="366"/>
      <c r="AR64" s="366"/>
    </row>
    <row r="65" spans="13:45" x14ac:dyDescent="0.25">
      <c r="M65" s="88" t="s">
        <v>20</v>
      </c>
      <c r="N65" s="88" t="s">
        <v>94</v>
      </c>
      <c r="O65" s="88" t="s">
        <v>95</v>
      </c>
      <c r="P65" s="88" t="s">
        <v>101</v>
      </c>
      <c r="Q65" s="93" t="s">
        <v>50</v>
      </c>
      <c r="R65" s="88" t="s">
        <v>45</v>
      </c>
      <c r="S65" s="88" t="s">
        <v>98</v>
      </c>
      <c r="T65" s="88" t="s">
        <v>97</v>
      </c>
      <c r="U65" s="88" t="s">
        <v>99</v>
      </c>
      <c r="V65" s="88" t="s">
        <v>103</v>
      </c>
      <c r="X65" s="88" t="s">
        <v>20</v>
      </c>
      <c r="Y65" s="88" t="s">
        <v>94</v>
      </c>
      <c r="Z65" s="88" t="s">
        <v>95</v>
      </c>
      <c r="AA65" s="88" t="s">
        <v>101</v>
      </c>
      <c r="AB65" s="93" t="s">
        <v>50</v>
      </c>
      <c r="AC65" s="88" t="s">
        <v>45</v>
      </c>
      <c r="AD65" s="88" t="s">
        <v>98</v>
      </c>
      <c r="AE65" s="88" t="s">
        <v>97</v>
      </c>
      <c r="AF65" s="88" t="s">
        <v>99</v>
      </c>
      <c r="AG65" s="88" t="s">
        <v>103</v>
      </c>
      <c r="AH65" s="17"/>
      <c r="AI65" s="88" t="s">
        <v>20</v>
      </c>
      <c r="AJ65" s="88" t="s">
        <v>94</v>
      </c>
      <c r="AK65" s="88" t="s">
        <v>95</v>
      </c>
      <c r="AL65" s="88" t="s">
        <v>101</v>
      </c>
      <c r="AM65" s="93" t="s">
        <v>50</v>
      </c>
      <c r="AN65" s="88" t="s">
        <v>45</v>
      </c>
      <c r="AO65" s="88" t="s">
        <v>98</v>
      </c>
      <c r="AP65" s="88" t="s">
        <v>97</v>
      </c>
      <c r="AQ65" s="88" t="s">
        <v>99</v>
      </c>
      <c r="AR65" s="88" t="s">
        <v>103</v>
      </c>
    </row>
    <row r="66" spans="13:45" x14ac:dyDescent="0.25">
      <c r="M66" s="39">
        <v>1986</v>
      </c>
      <c r="N66" s="26">
        <v>70</v>
      </c>
      <c r="O66" s="26">
        <v>71</v>
      </c>
      <c r="P66" s="26">
        <v>430928.40877951699</v>
      </c>
      <c r="Q66" s="35">
        <v>636454.35176215984</v>
      </c>
      <c r="R66" s="5">
        <v>99439.81678259997</v>
      </c>
      <c r="S66" s="5">
        <f t="shared" ref="S66:S70" si="51">P66+R66</f>
        <v>530368.22556211695</v>
      </c>
      <c r="T66" s="5">
        <f t="shared" ref="T66:T70" si="52">Q66-S66</f>
        <v>106086.1262000429</v>
      </c>
      <c r="U66" s="92">
        <f t="shared" ref="U66:U70" si="53">T66/S66</f>
        <v>0.20002353287210273</v>
      </c>
      <c r="V66" s="92">
        <f t="shared" ref="V66:V97" si="54">T66/$S$98</f>
        <v>8.7036056419152533E-2</v>
      </c>
      <c r="X66" s="39">
        <v>1986</v>
      </c>
      <c r="Y66" s="26">
        <v>2</v>
      </c>
      <c r="Z66" s="26">
        <v>1</v>
      </c>
      <c r="AA66" s="26">
        <v>12293.166893393731</v>
      </c>
      <c r="AB66" s="35">
        <v>70638.935981899995</v>
      </c>
      <c r="AC66" s="5">
        <v>40720.500810799997</v>
      </c>
      <c r="AD66" s="5">
        <f>AA66+AC66</f>
        <v>53013.667704193729</v>
      </c>
      <c r="AE66" s="5">
        <f>AB66-AD66</f>
        <v>17625.268277706266</v>
      </c>
      <c r="AF66" s="92">
        <f t="shared" ref="AF66:AF97" si="55">AE66/AD66</f>
        <v>0.33246649479247387</v>
      </c>
      <c r="AG66" s="92">
        <f t="shared" ref="AG66:AG97" si="56">AE66/$AD$98</f>
        <v>0.11016871800923246</v>
      </c>
      <c r="AH66" s="17"/>
      <c r="AI66" s="95">
        <v>1986</v>
      </c>
      <c r="AJ66" s="96">
        <v>5</v>
      </c>
      <c r="AK66" s="96">
        <v>2</v>
      </c>
      <c r="AL66" s="96">
        <v>375379.05003890616</v>
      </c>
      <c r="AM66" s="97">
        <v>923668.62942410004</v>
      </c>
      <c r="AN66" s="97">
        <v>1016.4661036000001</v>
      </c>
      <c r="AO66" s="97">
        <f t="shared" ref="AO66:AO97" si="57">AL66+AN66</f>
        <v>376395.51614250615</v>
      </c>
      <c r="AP66" s="97">
        <f t="shared" ref="AP66:AP97" si="58">AM66-AO66</f>
        <v>547273.11328159389</v>
      </c>
      <c r="AQ66" s="98">
        <f t="shared" ref="AQ66:AQ97" si="59">AP66/AO66</f>
        <v>1.4539841464912462</v>
      </c>
      <c r="AR66" s="98">
        <f t="shared" ref="AR66:AR97" si="60">AP66/$AD$98</f>
        <v>3.4207920322788437</v>
      </c>
    </row>
    <row r="67" spans="13:45" x14ac:dyDescent="0.25">
      <c r="M67" s="39">
        <v>1987</v>
      </c>
      <c r="N67" s="26">
        <v>321</v>
      </c>
      <c r="O67" s="26">
        <v>35</v>
      </c>
      <c r="P67" s="26">
        <v>453421.42436194437</v>
      </c>
      <c r="Q67" s="35">
        <v>553858.76583675796</v>
      </c>
      <c r="R67" s="5">
        <v>88417.974197799995</v>
      </c>
      <c r="S67" s="5">
        <f t="shared" si="51"/>
        <v>541839.39855974435</v>
      </c>
      <c r="T67" s="5">
        <f t="shared" si="52"/>
        <v>12019.367277013604</v>
      </c>
      <c r="U67" s="92">
        <f t="shared" si="53"/>
        <v>2.2182527348439618E-2</v>
      </c>
      <c r="V67" s="92">
        <f t="shared" si="54"/>
        <v>9.8610286369778741E-3</v>
      </c>
      <c r="X67" s="39">
        <v>1987</v>
      </c>
      <c r="Y67" s="26">
        <v>37</v>
      </c>
      <c r="Z67" s="26">
        <v>5</v>
      </c>
      <c r="AA67" s="26">
        <v>99816.216615901169</v>
      </c>
      <c r="AB67" s="35">
        <v>175928.74456900003</v>
      </c>
      <c r="AC67" s="5">
        <v>75959.164514399992</v>
      </c>
      <c r="AD67" s="5">
        <f>AA67+AC67</f>
        <v>175775.38113030116</v>
      </c>
      <c r="AE67" s="5">
        <f>AB67-AD67</f>
        <v>153.3634386988706</v>
      </c>
      <c r="AF67" s="92">
        <f t="shared" si="55"/>
        <v>8.7249669272617455E-4</v>
      </c>
      <c r="AG67" s="92">
        <f t="shared" si="56"/>
        <v>9.5861539040022453E-4</v>
      </c>
      <c r="AH67" s="17"/>
      <c r="AI67" s="39">
        <v>1987</v>
      </c>
      <c r="AJ67" s="26"/>
      <c r="AK67" s="26"/>
      <c r="AL67" s="26"/>
      <c r="AM67" s="35">
        <v>131.98940200000001</v>
      </c>
      <c r="AN67" s="5">
        <v>131.98940200000001</v>
      </c>
      <c r="AO67" s="5">
        <f t="shared" si="57"/>
        <v>131.98940200000001</v>
      </c>
      <c r="AP67" s="5">
        <f t="shared" si="58"/>
        <v>0</v>
      </c>
      <c r="AQ67" s="92">
        <f t="shared" si="59"/>
        <v>0</v>
      </c>
      <c r="AR67" s="92">
        <f t="shared" si="60"/>
        <v>0</v>
      </c>
    </row>
    <row r="68" spans="13:45" x14ac:dyDescent="0.25">
      <c r="M68" s="39">
        <v>1988</v>
      </c>
      <c r="N68" s="26">
        <v>168</v>
      </c>
      <c r="O68" s="26">
        <v>91</v>
      </c>
      <c r="P68" s="26">
        <v>103812.08391284889</v>
      </c>
      <c r="Q68" s="35">
        <v>1285761.9070590003</v>
      </c>
      <c r="R68" s="5">
        <v>101002.30939640001</v>
      </c>
      <c r="S68" s="5"/>
      <c r="T68" s="5"/>
      <c r="U68" s="92" t="e">
        <f t="shared" si="53"/>
        <v>#DIV/0!</v>
      </c>
      <c r="V68" s="92">
        <f t="shared" si="54"/>
        <v>0</v>
      </c>
      <c r="W68" s="17" t="s">
        <v>108</v>
      </c>
      <c r="X68" s="39">
        <v>1988</v>
      </c>
      <c r="Y68" s="26">
        <v>16</v>
      </c>
      <c r="Z68" s="26">
        <v>38</v>
      </c>
      <c r="AA68" s="26">
        <v>59198.782096929892</v>
      </c>
      <c r="AB68" s="35">
        <v>179414.78372830997</v>
      </c>
      <c r="AC68" s="5">
        <v>81922.021091400005</v>
      </c>
      <c r="AD68" s="5"/>
      <c r="AE68" s="5"/>
      <c r="AF68" s="92" t="e">
        <f t="shared" si="55"/>
        <v>#DIV/0!</v>
      </c>
      <c r="AG68" s="92">
        <f t="shared" si="56"/>
        <v>0</v>
      </c>
      <c r="AH68" s="17" t="s">
        <v>108</v>
      </c>
      <c r="AI68" s="39">
        <v>1988</v>
      </c>
      <c r="AJ68" s="26">
        <v>0</v>
      </c>
      <c r="AK68" s="26">
        <v>12</v>
      </c>
      <c r="AL68" s="26">
        <v>0</v>
      </c>
      <c r="AM68" s="35">
        <v>196898.04873039998</v>
      </c>
      <c r="AN68" s="5">
        <v>464.23144040000011</v>
      </c>
      <c r="AO68" s="5"/>
      <c r="AP68" s="5"/>
      <c r="AQ68" s="92" t="e">
        <f t="shared" si="59"/>
        <v>#DIV/0!</v>
      </c>
      <c r="AR68" s="92">
        <f t="shared" si="60"/>
        <v>0</v>
      </c>
      <c r="AS68" t="s">
        <v>105</v>
      </c>
    </row>
    <row r="69" spans="13:45" x14ac:dyDescent="0.25">
      <c r="M69" s="39">
        <v>1989</v>
      </c>
      <c r="N69" s="26">
        <v>235</v>
      </c>
      <c r="O69" s="26">
        <v>77</v>
      </c>
      <c r="P69" s="26">
        <v>794135.19795643899</v>
      </c>
      <c r="Q69" s="35">
        <v>856974.97286148998</v>
      </c>
      <c r="R69" s="5">
        <v>59869.078805599995</v>
      </c>
      <c r="S69" s="5">
        <f t="shared" si="51"/>
        <v>854004.27676203893</v>
      </c>
      <c r="T69" s="5">
        <f t="shared" si="52"/>
        <v>2970.6960994510446</v>
      </c>
      <c r="U69" s="92">
        <f t="shared" si="53"/>
        <v>3.4785494408932612E-3</v>
      </c>
      <c r="V69" s="92">
        <f t="shared" si="54"/>
        <v>2.4372430456026297E-3</v>
      </c>
      <c r="X69" s="39">
        <v>1989</v>
      </c>
      <c r="Y69" s="26">
        <v>34</v>
      </c>
      <c r="Z69" s="26">
        <v>65</v>
      </c>
      <c r="AA69" s="26">
        <v>133136.00112489107</v>
      </c>
      <c r="AB69" s="35">
        <v>252265.17498739995</v>
      </c>
      <c r="AC69" s="5">
        <v>103912.14770880001</v>
      </c>
      <c r="AD69" s="5">
        <f>AA69+AC69</f>
        <v>237048.14883369108</v>
      </c>
      <c r="AE69" s="5">
        <f>AB69-AD69</f>
        <v>15217.026153708866</v>
      </c>
      <c r="AF69" s="92">
        <f t="shared" si="55"/>
        <v>6.4193819814998304E-2</v>
      </c>
      <c r="AG69" s="92">
        <f t="shared" si="56"/>
        <v>9.5115730260262321E-2</v>
      </c>
      <c r="AH69" s="17"/>
      <c r="AI69" s="39">
        <v>1989</v>
      </c>
      <c r="AJ69" s="26">
        <v>0</v>
      </c>
      <c r="AK69" s="26">
        <v>1</v>
      </c>
      <c r="AL69" s="26">
        <v>0</v>
      </c>
      <c r="AM69" s="35">
        <v>1215.7458623000005</v>
      </c>
      <c r="AN69" s="5">
        <v>458.34736300000009</v>
      </c>
      <c r="AO69" s="5"/>
      <c r="AP69" s="5"/>
      <c r="AQ69" s="92" t="e">
        <f t="shared" si="59"/>
        <v>#DIV/0!</v>
      </c>
      <c r="AR69" s="92">
        <f t="shared" si="60"/>
        <v>0</v>
      </c>
      <c r="AS69" s="17" t="s">
        <v>105</v>
      </c>
    </row>
    <row r="70" spans="13:45" x14ac:dyDescent="0.25">
      <c r="M70" s="39">
        <v>1990</v>
      </c>
      <c r="N70" s="26">
        <v>301</v>
      </c>
      <c r="O70" s="26">
        <v>81</v>
      </c>
      <c r="P70" s="26">
        <v>693813.73913117137</v>
      </c>
      <c r="Q70" s="35">
        <v>863100.89077293989</v>
      </c>
      <c r="R70" s="5">
        <v>60316.246641999998</v>
      </c>
      <c r="S70" s="5">
        <f t="shared" si="51"/>
        <v>754129.98577317141</v>
      </c>
      <c r="T70" s="5">
        <f t="shared" si="52"/>
        <v>108970.90499976848</v>
      </c>
      <c r="U70" s="92">
        <f t="shared" si="53"/>
        <v>0.144498835818133</v>
      </c>
      <c r="V70" s="92">
        <f t="shared" si="54"/>
        <v>8.9402810483640086E-2</v>
      </c>
      <c r="X70" s="39">
        <v>1990</v>
      </c>
      <c r="Y70" s="26">
        <v>8</v>
      </c>
      <c r="Z70" s="26">
        <v>5</v>
      </c>
      <c r="AA70" s="26">
        <v>42510.307279818218</v>
      </c>
      <c r="AB70" s="35">
        <v>97676.172171729966</v>
      </c>
      <c r="AC70" s="5">
        <v>73562.36528199997</v>
      </c>
      <c r="AD70" s="5">
        <f>AA70+AC70</f>
        <v>116072.67256181818</v>
      </c>
      <c r="AE70" s="5">
        <f>AB70-AD70</f>
        <v>-18396.500390088215</v>
      </c>
      <c r="AF70" s="92">
        <f t="shared" si="55"/>
        <v>-0.15849122781497579</v>
      </c>
      <c r="AG70" s="92">
        <f t="shared" si="56"/>
        <v>-0.11498939090736601</v>
      </c>
      <c r="AH70" s="17"/>
      <c r="AI70" s="39">
        <v>1990</v>
      </c>
      <c r="AJ70" s="26">
        <v>0</v>
      </c>
      <c r="AK70" s="26">
        <v>1</v>
      </c>
      <c r="AL70" s="26">
        <v>117208.83760425687</v>
      </c>
      <c r="AM70" s="35">
        <v>46635.104298000027</v>
      </c>
      <c r="AN70" s="5">
        <v>653.35525599999994</v>
      </c>
      <c r="AO70" s="5">
        <f t="shared" si="57"/>
        <v>117862.19286025687</v>
      </c>
      <c r="AP70" s="5">
        <f t="shared" si="58"/>
        <v>-71227.088562256831</v>
      </c>
      <c r="AQ70" s="92">
        <f t="shared" si="59"/>
        <v>-0.604325160034203</v>
      </c>
      <c r="AR70" s="92">
        <f t="shared" si="60"/>
        <v>-0.44521291311970318</v>
      </c>
    </row>
    <row r="71" spans="13:45" x14ac:dyDescent="0.25">
      <c r="M71" s="39">
        <v>1991</v>
      </c>
      <c r="N71" s="26">
        <v>837</v>
      </c>
      <c r="O71" s="26">
        <v>98</v>
      </c>
      <c r="P71" s="26">
        <v>1399429.6322866979</v>
      </c>
      <c r="Q71" s="35">
        <v>1394965.1935898997</v>
      </c>
      <c r="R71" s="5">
        <v>56026.139133999997</v>
      </c>
      <c r="S71" s="5">
        <f t="shared" ref="S71:S97" si="61">P71+R71</f>
        <v>1455455.7714206979</v>
      </c>
      <c r="T71" s="5">
        <f t="shared" ref="T71:T97" si="62">Q71-S71</f>
        <v>-60490.577830798225</v>
      </c>
      <c r="U71" s="92">
        <f t="shared" ref="U71:U97" si="63">T71/S71</f>
        <v>-4.1561261440292499E-2</v>
      </c>
      <c r="V71" s="92">
        <f t="shared" si="54"/>
        <v>-4.9628179795920976E-2</v>
      </c>
      <c r="X71" s="39">
        <v>1991</v>
      </c>
      <c r="Y71" s="26">
        <v>10</v>
      </c>
      <c r="Z71" s="26">
        <v>45</v>
      </c>
      <c r="AA71" s="26">
        <v>105810.3285135934</v>
      </c>
      <c r="AB71" s="35">
        <v>137189.70561690006</v>
      </c>
      <c r="AC71" s="5">
        <v>43313.357326000005</v>
      </c>
      <c r="AD71" s="5">
        <f>AA71+AC71</f>
        <v>149123.68583959341</v>
      </c>
      <c r="AE71" s="5">
        <f>AB71-AD71</f>
        <v>-11933.980222693353</v>
      </c>
      <c r="AF71" s="92">
        <f t="shared" si="55"/>
        <v>-8.0027395752075736E-2</v>
      </c>
      <c r="AG71" s="92">
        <f t="shared" si="56"/>
        <v>-7.4594683108719279E-2</v>
      </c>
      <c r="AH71" s="17"/>
      <c r="AI71" s="95">
        <v>1991</v>
      </c>
      <c r="AJ71" s="96">
        <v>1</v>
      </c>
      <c r="AK71" s="96">
        <v>11</v>
      </c>
      <c r="AL71" s="96">
        <v>600490.73274748423</v>
      </c>
      <c r="AM71" s="97">
        <v>236558.21299250005</v>
      </c>
      <c r="AN71" s="97">
        <v>1007.965166</v>
      </c>
      <c r="AO71" s="97">
        <f t="shared" si="57"/>
        <v>601498.69791348418</v>
      </c>
      <c r="AP71" s="97">
        <f t="shared" si="58"/>
        <v>-364940.48492098413</v>
      </c>
      <c r="AQ71" s="98">
        <f t="shared" si="59"/>
        <v>-0.60671866154808352</v>
      </c>
      <c r="AR71" s="98">
        <f t="shared" si="60"/>
        <v>-2.2811014697726173</v>
      </c>
    </row>
    <row r="72" spans="13:45" x14ac:dyDescent="0.25">
      <c r="M72" s="39">
        <v>1992</v>
      </c>
      <c r="N72" s="26">
        <v>250</v>
      </c>
      <c r="O72" s="26">
        <v>127</v>
      </c>
      <c r="P72" s="26">
        <v>1156040.5565287359</v>
      </c>
      <c r="Q72" s="35">
        <v>1379670.4770114806</v>
      </c>
      <c r="R72" s="5">
        <v>104551.23699799999</v>
      </c>
      <c r="S72" s="5"/>
      <c r="T72" s="5"/>
      <c r="U72" s="92" t="e">
        <f t="shared" si="63"/>
        <v>#DIV/0!</v>
      </c>
      <c r="V72" s="92">
        <f t="shared" si="54"/>
        <v>0</v>
      </c>
      <c r="W72" s="17" t="s">
        <v>108</v>
      </c>
      <c r="X72" s="39">
        <v>1992</v>
      </c>
      <c r="Y72" s="26">
        <v>25</v>
      </c>
      <c r="Z72" s="26">
        <v>51</v>
      </c>
      <c r="AA72" s="26">
        <v>77256.317341742091</v>
      </c>
      <c r="AB72" s="35">
        <v>131091.27902093003</v>
      </c>
      <c r="AC72" s="5">
        <v>40141.731582000008</v>
      </c>
      <c r="AD72" s="5"/>
      <c r="AE72" s="5"/>
      <c r="AF72" s="92" t="e">
        <f t="shared" si="55"/>
        <v>#DIV/0!</v>
      </c>
      <c r="AG72" s="92">
        <f t="shared" si="56"/>
        <v>0</v>
      </c>
      <c r="AH72" s="17" t="s">
        <v>108</v>
      </c>
      <c r="AI72" s="39">
        <v>1992</v>
      </c>
      <c r="AJ72" s="26">
        <v>0</v>
      </c>
      <c r="AK72" s="26">
        <v>0</v>
      </c>
      <c r="AL72" s="26">
        <v>0</v>
      </c>
      <c r="AM72" s="35">
        <v>1233.91462</v>
      </c>
      <c r="AN72" s="5">
        <v>1233.91462</v>
      </c>
      <c r="AO72" s="5">
        <f t="shared" si="57"/>
        <v>1233.91462</v>
      </c>
      <c r="AP72" s="5">
        <f t="shared" si="58"/>
        <v>0</v>
      </c>
      <c r="AQ72" s="92">
        <f t="shared" si="59"/>
        <v>0</v>
      </c>
      <c r="AR72" s="92">
        <f t="shared" si="60"/>
        <v>0</v>
      </c>
    </row>
    <row r="73" spans="13:45" x14ac:dyDescent="0.25">
      <c r="M73" s="39">
        <v>1993</v>
      </c>
      <c r="N73" s="26">
        <v>169</v>
      </c>
      <c r="O73" s="26">
        <v>158</v>
      </c>
      <c r="P73" s="26">
        <v>613963.3326112692</v>
      </c>
      <c r="Q73" s="35">
        <v>707714.98358992394</v>
      </c>
      <c r="R73" s="5">
        <v>80860.032201999988</v>
      </c>
      <c r="S73" s="5">
        <f t="shared" si="61"/>
        <v>694823.36481326923</v>
      </c>
      <c r="T73" s="5">
        <f t="shared" si="62"/>
        <v>12891.618776654708</v>
      </c>
      <c r="U73" s="92">
        <f t="shared" si="63"/>
        <v>1.8553807240087955E-2</v>
      </c>
      <c r="V73" s="92">
        <f t="shared" si="54"/>
        <v>1.0576648421145493E-2</v>
      </c>
      <c r="X73" s="39">
        <v>1993</v>
      </c>
      <c r="Y73" s="26">
        <v>53</v>
      </c>
      <c r="Z73" s="26">
        <v>50</v>
      </c>
      <c r="AA73" s="26">
        <v>139609.00281766834</v>
      </c>
      <c r="AB73" s="35">
        <v>164257.58854641</v>
      </c>
      <c r="AC73" s="5">
        <v>36014.852658000003</v>
      </c>
      <c r="AD73" s="5">
        <f t="shared" ref="AD73:AD97" si="64">AA73+AC73</f>
        <v>175623.85547566833</v>
      </c>
      <c r="AE73" s="5">
        <f t="shared" ref="AE73:AE97" si="65">AB73-AD73</f>
        <v>-11366.26692925833</v>
      </c>
      <c r="AF73" s="92">
        <f t="shared" si="55"/>
        <v>-6.4719379371745211E-2</v>
      </c>
      <c r="AG73" s="92">
        <f t="shared" si="56"/>
        <v>-7.1046127435745704E-2</v>
      </c>
      <c r="AH73" s="17"/>
      <c r="AI73" s="95">
        <v>1993</v>
      </c>
      <c r="AJ73" s="96">
        <v>14</v>
      </c>
      <c r="AK73" s="96">
        <v>3</v>
      </c>
      <c r="AL73" s="96">
        <v>83274.39849578157</v>
      </c>
      <c r="AM73" s="97">
        <v>328858.25228609983</v>
      </c>
      <c r="AN73" s="97">
        <v>664.55462399999999</v>
      </c>
      <c r="AO73" s="97">
        <f t="shared" si="57"/>
        <v>83938.953119781567</v>
      </c>
      <c r="AP73" s="97">
        <f t="shared" si="58"/>
        <v>244919.29916631826</v>
      </c>
      <c r="AQ73" s="98">
        <f t="shared" si="59"/>
        <v>2.917826468681548</v>
      </c>
      <c r="AR73" s="98">
        <f t="shared" si="60"/>
        <v>1.5308955744521824</v>
      </c>
    </row>
    <row r="74" spans="13:45" x14ac:dyDescent="0.25">
      <c r="M74" s="39">
        <v>1994</v>
      </c>
      <c r="N74" s="26">
        <v>210</v>
      </c>
      <c r="O74" s="26">
        <v>220</v>
      </c>
      <c r="P74" s="26">
        <v>635869.18702564889</v>
      </c>
      <c r="Q74" s="35">
        <v>669649.65959538973</v>
      </c>
      <c r="R74" s="5">
        <v>98839.735685999985</v>
      </c>
      <c r="S74" s="5">
        <f t="shared" si="61"/>
        <v>734708.92271164886</v>
      </c>
      <c r="T74" s="5">
        <f t="shared" si="62"/>
        <v>-65059.263116259128</v>
      </c>
      <c r="U74" s="92">
        <f t="shared" si="63"/>
        <v>-8.8551072547397025E-2</v>
      </c>
      <c r="V74" s="92">
        <f t="shared" si="54"/>
        <v>-5.3376458336292128E-2</v>
      </c>
      <c r="X74" s="39">
        <v>1994</v>
      </c>
      <c r="Y74" s="26">
        <v>23</v>
      </c>
      <c r="Z74" s="26">
        <v>37</v>
      </c>
      <c r="AA74" s="26">
        <v>66319.719241532381</v>
      </c>
      <c r="AB74" s="35">
        <v>104541.67887548001</v>
      </c>
      <c r="AC74" s="5">
        <v>41714.779820000018</v>
      </c>
      <c r="AD74" s="5">
        <f t="shared" si="64"/>
        <v>108034.49906153241</v>
      </c>
      <c r="AE74" s="5">
        <f t="shared" si="65"/>
        <v>-3492.8201860523986</v>
      </c>
      <c r="AF74" s="92">
        <f t="shared" si="55"/>
        <v>-3.2330600098983371E-2</v>
      </c>
      <c r="AG74" s="92">
        <f t="shared" si="56"/>
        <v>-2.1832264682228087E-2</v>
      </c>
      <c r="AH74" s="17"/>
      <c r="AI74" s="39">
        <v>1994</v>
      </c>
      <c r="AJ74" s="26">
        <v>0</v>
      </c>
      <c r="AK74" s="26">
        <v>3</v>
      </c>
      <c r="AL74" s="26">
        <v>14645.807410450927</v>
      </c>
      <c r="AM74" s="35">
        <v>51023.855012</v>
      </c>
      <c r="AN74" s="5">
        <v>793.58986200000004</v>
      </c>
      <c r="AO74" s="5">
        <f t="shared" si="57"/>
        <v>15439.397272450928</v>
      </c>
      <c r="AP74" s="5">
        <f t="shared" si="58"/>
        <v>35584.457739549071</v>
      </c>
      <c r="AQ74" s="92">
        <f t="shared" si="59"/>
        <v>2.3047828300294921</v>
      </c>
      <c r="AR74" s="92">
        <f t="shared" si="60"/>
        <v>0.22242464786641047</v>
      </c>
    </row>
    <row r="75" spans="13:45" x14ac:dyDescent="0.25">
      <c r="M75" s="39">
        <v>1995</v>
      </c>
      <c r="N75" s="26">
        <v>169</v>
      </c>
      <c r="O75" s="26">
        <v>240</v>
      </c>
      <c r="P75" s="26">
        <v>650122.72669908241</v>
      </c>
      <c r="Q75" s="35">
        <v>867200.3806989101</v>
      </c>
      <c r="R75" s="5">
        <v>144904.56608800005</v>
      </c>
      <c r="S75" s="5">
        <f t="shared" si="61"/>
        <v>795027.29278708249</v>
      </c>
      <c r="T75" s="5">
        <f t="shared" si="62"/>
        <v>72173.087911827606</v>
      </c>
      <c r="U75" s="92">
        <f t="shared" si="63"/>
        <v>9.0780641830313105E-2</v>
      </c>
      <c r="V75" s="92">
        <f t="shared" si="54"/>
        <v>5.921284126817087E-2</v>
      </c>
      <c r="X75" s="39">
        <v>1995</v>
      </c>
      <c r="Y75" s="26">
        <v>39</v>
      </c>
      <c r="Z75" s="26">
        <v>27</v>
      </c>
      <c r="AA75" s="26">
        <v>50604.488595971139</v>
      </c>
      <c r="AB75" s="35">
        <v>88649.006941388012</v>
      </c>
      <c r="AC75" s="5">
        <v>28115.329937999999</v>
      </c>
      <c r="AD75" s="5">
        <f t="shared" si="64"/>
        <v>78719.818533971134</v>
      </c>
      <c r="AE75" s="5">
        <f t="shared" si="65"/>
        <v>9929.1884074168775</v>
      </c>
      <c r="AF75" s="92">
        <f t="shared" si="55"/>
        <v>0.12613327358131532</v>
      </c>
      <c r="AG75" s="92">
        <f t="shared" si="56"/>
        <v>6.2063506806354675E-2</v>
      </c>
      <c r="AH75" s="17"/>
      <c r="AI75" s="95">
        <v>1995</v>
      </c>
      <c r="AJ75" s="96">
        <v>6</v>
      </c>
      <c r="AK75" s="96">
        <v>25</v>
      </c>
      <c r="AL75" s="96">
        <v>517595.1737348999</v>
      </c>
      <c r="AM75" s="97">
        <v>647359.32142600033</v>
      </c>
      <c r="AN75" s="97">
        <v>1771.1535940000006</v>
      </c>
      <c r="AO75" s="97">
        <f t="shared" si="57"/>
        <v>519366.32732889988</v>
      </c>
      <c r="AP75" s="97">
        <f t="shared" si="58"/>
        <v>127992.99409710045</v>
      </c>
      <c r="AQ75" s="98">
        <f t="shared" si="59"/>
        <v>0.24644068620191109</v>
      </c>
      <c r="AR75" s="98">
        <f t="shared" si="60"/>
        <v>0.80003457829215419</v>
      </c>
    </row>
    <row r="76" spans="13:45" x14ac:dyDescent="0.25">
      <c r="M76" s="39">
        <v>1996</v>
      </c>
      <c r="N76" s="26">
        <v>183</v>
      </c>
      <c r="O76" s="26">
        <v>109</v>
      </c>
      <c r="P76" s="26">
        <v>456996.39132649882</v>
      </c>
      <c r="Q76" s="35">
        <v>587260.41701681609</v>
      </c>
      <c r="R76" s="5">
        <v>161521.60631199996</v>
      </c>
      <c r="S76" s="5">
        <f t="shared" si="61"/>
        <v>618517.99763849878</v>
      </c>
      <c r="T76" s="5">
        <f t="shared" si="62"/>
        <v>-31257.58062168269</v>
      </c>
      <c r="U76" s="92">
        <f t="shared" si="63"/>
        <v>-5.0536250749410865E-2</v>
      </c>
      <c r="V76" s="92">
        <f t="shared" si="54"/>
        <v>-2.56446026258416E-2</v>
      </c>
      <c r="X76" s="39">
        <v>1996</v>
      </c>
      <c r="Y76" s="26">
        <v>22</v>
      </c>
      <c r="Z76" s="26">
        <v>31</v>
      </c>
      <c r="AA76" s="26">
        <v>54094.625546141782</v>
      </c>
      <c r="AB76" s="35">
        <v>80089.914926490004</v>
      </c>
      <c r="AC76" s="5">
        <v>22514.874328000009</v>
      </c>
      <c r="AD76" s="5">
        <f t="shared" si="64"/>
        <v>76609.499874141795</v>
      </c>
      <c r="AE76" s="5">
        <f t="shared" si="65"/>
        <v>3480.4150523482094</v>
      </c>
      <c r="AF76" s="92">
        <f t="shared" si="55"/>
        <v>4.5430593569544542E-2</v>
      </c>
      <c r="AG76" s="92">
        <f t="shared" si="56"/>
        <v>2.1754725001390873E-2</v>
      </c>
      <c r="AH76" s="17"/>
      <c r="AI76" s="39">
        <v>1996</v>
      </c>
      <c r="AJ76" s="26">
        <v>6</v>
      </c>
      <c r="AK76" s="26">
        <v>0</v>
      </c>
      <c r="AL76" s="26">
        <v>2899.6532554368141</v>
      </c>
      <c r="AM76" s="35">
        <v>19115.854034700005</v>
      </c>
      <c r="AN76" s="5">
        <v>356.46177399999999</v>
      </c>
      <c r="AO76" s="5">
        <f t="shared" si="57"/>
        <v>3256.115029436814</v>
      </c>
      <c r="AP76" s="5">
        <f t="shared" si="58"/>
        <v>15859.739005263191</v>
      </c>
      <c r="AQ76" s="92">
        <f t="shared" si="59"/>
        <v>4.8707551366839557</v>
      </c>
      <c r="AR76" s="92">
        <f t="shared" si="60"/>
        <v>9.9133079090825069E-2</v>
      </c>
    </row>
    <row r="77" spans="13:45" x14ac:dyDescent="0.25">
      <c r="M77" s="39">
        <v>1997</v>
      </c>
      <c r="N77" s="26">
        <v>127</v>
      </c>
      <c r="O77" s="26">
        <v>209</v>
      </c>
      <c r="P77" s="26">
        <v>552868.32150361151</v>
      </c>
      <c r="Q77" s="35">
        <v>672881.58858554892</v>
      </c>
      <c r="R77" s="5">
        <v>71078.552691999997</v>
      </c>
      <c r="S77" s="5">
        <f t="shared" si="61"/>
        <v>623946.87419561157</v>
      </c>
      <c r="T77" s="5">
        <f t="shared" si="62"/>
        <v>48934.714389937348</v>
      </c>
      <c r="U77" s="92">
        <f t="shared" si="63"/>
        <v>7.8427693788872127E-2</v>
      </c>
      <c r="V77" s="92">
        <f t="shared" si="54"/>
        <v>4.0147422806885186E-2</v>
      </c>
      <c r="X77" s="39">
        <v>1997</v>
      </c>
      <c r="Y77" s="26">
        <v>78</v>
      </c>
      <c r="Z77" s="26">
        <v>39</v>
      </c>
      <c r="AA77" s="26">
        <v>78240.310241059808</v>
      </c>
      <c r="AB77" s="35">
        <v>97916.995752689982</v>
      </c>
      <c r="AC77" s="5">
        <v>29334.165093999996</v>
      </c>
      <c r="AD77" s="5">
        <f t="shared" si="64"/>
        <v>107574.4753350598</v>
      </c>
      <c r="AE77" s="5">
        <f t="shared" si="65"/>
        <v>-9657.4795823698223</v>
      </c>
      <c r="AF77" s="92">
        <f t="shared" si="55"/>
        <v>-8.9774823928165923E-2</v>
      </c>
      <c r="AG77" s="92">
        <f t="shared" si="56"/>
        <v>-6.0365160292952018E-2</v>
      </c>
      <c r="AH77" s="17"/>
      <c r="AI77" s="39">
        <v>1997</v>
      </c>
      <c r="AJ77" s="26">
        <v>0</v>
      </c>
      <c r="AK77" s="26">
        <v>1</v>
      </c>
      <c r="AL77" s="26">
        <v>423.07265138079811</v>
      </c>
      <c r="AM77" s="35">
        <v>10155.0763726</v>
      </c>
      <c r="AN77" s="5">
        <v>3626.7654139999995</v>
      </c>
      <c r="AO77" s="5">
        <f t="shared" si="57"/>
        <v>4049.8380653807976</v>
      </c>
      <c r="AP77" s="5">
        <f t="shared" si="58"/>
        <v>6105.2383072192024</v>
      </c>
      <c r="AQ77" s="92">
        <f t="shared" si="59"/>
        <v>1.5075265254205021</v>
      </c>
      <c r="AR77" s="92">
        <f t="shared" si="60"/>
        <v>3.8161477422613638E-2</v>
      </c>
    </row>
    <row r="78" spans="13:45" x14ac:dyDescent="0.25">
      <c r="M78" s="39">
        <v>1998</v>
      </c>
      <c r="N78" s="26">
        <v>288</v>
      </c>
      <c r="O78" s="26">
        <v>139</v>
      </c>
      <c r="P78" s="26">
        <v>635884.15948970162</v>
      </c>
      <c r="Q78" s="35">
        <v>673216.00463168439</v>
      </c>
      <c r="R78" s="5">
        <v>67197.905542000008</v>
      </c>
      <c r="S78" s="5">
        <f t="shared" si="61"/>
        <v>703082.06503170158</v>
      </c>
      <c r="T78" s="5">
        <f t="shared" si="62"/>
        <v>-29866.060400017188</v>
      </c>
      <c r="U78" s="92">
        <f t="shared" si="63"/>
        <v>-4.2478768674991792E-2</v>
      </c>
      <c r="V78" s="92">
        <f t="shared" si="54"/>
        <v>-2.4502960105189157E-2</v>
      </c>
      <c r="X78" s="39">
        <v>1998</v>
      </c>
      <c r="Y78" s="26">
        <v>67</v>
      </c>
      <c r="Z78" s="26">
        <v>50</v>
      </c>
      <c r="AA78" s="26">
        <v>81397.196781954175</v>
      </c>
      <c r="AB78" s="35">
        <v>97363.970357012033</v>
      </c>
      <c r="AC78" s="5">
        <v>25040.221581999991</v>
      </c>
      <c r="AD78" s="5">
        <f t="shared" si="64"/>
        <v>106437.41836395417</v>
      </c>
      <c r="AE78" s="5">
        <f t="shared" si="65"/>
        <v>-9073.4480069421406</v>
      </c>
      <c r="AF78" s="92">
        <f t="shared" si="55"/>
        <v>-8.5246787703138538E-2</v>
      </c>
      <c r="AG78" s="92">
        <f t="shared" si="56"/>
        <v>-5.671460536646817E-2</v>
      </c>
      <c r="AH78" s="17"/>
      <c r="AI78" s="39">
        <v>1998</v>
      </c>
      <c r="AJ78" s="26">
        <v>3</v>
      </c>
      <c r="AK78" s="26">
        <v>0</v>
      </c>
      <c r="AL78" s="26">
        <v>2052.3130723347485</v>
      </c>
      <c r="AM78" s="35">
        <v>18977.129780430001</v>
      </c>
      <c r="AN78" s="5">
        <v>5135.8582059999999</v>
      </c>
      <c r="AO78" s="5">
        <f t="shared" si="57"/>
        <v>7188.1712783347484</v>
      </c>
      <c r="AP78" s="5">
        <f t="shared" si="58"/>
        <v>11788.958502095253</v>
      </c>
      <c r="AQ78" s="92">
        <f t="shared" si="59"/>
        <v>1.640049749179926</v>
      </c>
      <c r="AR78" s="92">
        <f t="shared" si="60"/>
        <v>7.3688208563761876E-2</v>
      </c>
    </row>
    <row r="79" spans="13:45" x14ac:dyDescent="0.25">
      <c r="M79" s="39">
        <v>1999</v>
      </c>
      <c r="N79" s="26">
        <v>778</v>
      </c>
      <c r="O79" s="26">
        <v>161</v>
      </c>
      <c r="P79" s="26">
        <v>1450613.7057742656</v>
      </c>
      <c r="Q79" s="35">
        <v>1502856.3975223012</v>
      </c>
      <c r="R79" s="5">
        <v>72086.650133999996</v>
      </c>
      <c r="S79" s="5">
        <f t="shared" si="61"/>
        <v>1522700.3559082656</v>
      </c>
      <c r="T79" s="5">
        <f t="shared" si="62"/>
        <v>-19843.95838596439</v>
      </c>
      <c r="U79" s="92">
        <f t="shared" si="63"/>
        <v>-1.3032083632848301E-2</v>
      </c>
      <c r="V79" s="92">
        <f t="shared" si="54"/>
        <v>-1.6280544341899187E-2</v>
      </c>
      <c r="X79" s="39">
        <v>1999</v>
      </c>
      <c r="Y79" s="26">
        <v>188</v>
      </c>
      <c r="Z79" s="26">
        <v>6</v>
      </c>
      <c r="AA79" s="26">
        <v>145455.39753646834</v>
      </c>
      <c r="AB79" s="35">
        <v>192084.68030181588</v>
      </c>
      <c r="AC79" s="5">
        <v>29740.561058000007</v>
      </c>
      <c r="AD79" s="5">
        <f t="shared" si="64"/>
        <v>175195.95859446836</v>
      </c>
      <c r="AE79" s="5">
        <f t="shared" si="65"/>
        <v>16888.721707347519</v>
      </c>
      <c r="AF79" s="92">
        <f t="shared" si="55"/>
        <v>9.6399037071627766E-2</v>
      </c>
      <c r="AG79" s="92">
        <f t="shared" si="56"/>
        <v>0.10556485098536665</v>
      </c>
      <c r="AH79" s="17"/>
      <c r="AI79" s="39">
        <v>1999</v>
      </c>
      <c r="AJ79" s="26">
        <v>1</v>
      </c>
      <c r="AK79" s="26">
        <v>0</v>
      </c>
      <c r="AL79" s="26">
        <v>2106.417281225431</v>
      </c>
      <c r="AM79" s="35">
        <v>17401.340439999996</v>
      </c>
      <c r="AN79" s="5">
        <v>4922.5411100000001</v>
      </c>
      <c r="AO79" s="5">
        <f t="shared" si="57"/>
        <v>7028.9583912254311</v>
      </c>
      <c r="AP79" s="5">
        <f t="shared" si="58"/>
        <v>10372.382048774565</v>
      </c>
      <c r="AQ79" s="92">
        <f t="shared" si="59"/>
        <v>1.4756641697755506</v>
      </c>
      <c r="AR79" s="92">
        <f t="shared" si="60"/>
        <v>6.4833738415253292E-2</v>
      </c>
    </row>
    <row r="80" spans="13:45" x14ac:dyDescent="0.25">
      <c r="M80" s="39">
        <v>2000</v>
      </c>
      <c r="N80" s="26">
        <v>661</v>
      </c>
      <c r="O80" s="26">
        <v>121</v>
      </c>
      <c r="P80" s="26">
        <v>1701317.4921415553</v>
      </c>
      <c r="Q80" s="35">
        <v>1774222.1352892837</v>
      </c>
      <c r="R80" s="5">
        <v>62576.689159999994</v>
      </c>
      <c r="S80" s="5">
        <f t="shared" si="61"/>
        <v>1763894.1813015554</v>
      </c>
      <c r="T80" s="5">
        <f t="shared" si="62"/>
        <v>10327.953987728339</v>
      </c>
      <c r="U80" s="92">
        <f t="shared" si="63"/>
        <v>5.855200440713213E-3</v>
      </c>
      <c r="V80" s="92">
        <f t="shared" si="54"/>
        <v>8.4733453672849023E-3</v>
      </c>
      <c r="X80" s="39">
        <v>2000</v>
      </c>
      <c r="Y80" s="26">
        <v>253</v>
      </c>
      <c r="Z80" s="26">
        <v>40</v>
      </c>
      <c r="AA80" s="26">
        <v>253973.89341774987</v>
      </c>
      <c r="AB80" s="35">
        <v>261941.64280462387</v>
      </c>
      <c r="AC80" s="5">
        <v>33902.008109999988</v>
      </c>
      <c r="AD80" s="5">
        <f t="shared" si="64"/>
        <v>287875.90152774984</v>
      </c>
      <c r="AE80" s="5">
        <f t="shared" si="65"/>
        <v>-25934.258723125968</v>
      </c>
      <c r="AF80" s="92">
        <f t="shared" si="55"/>
        <v>-9.0088328288312911E-2</v>
      </c>
      <c r="AG80" s="92">
        <f t="shared" si="56"/>
        <v>-0.16210499556823585</v>
      </c>
      <c r="AH80" s="17"/>
      <c r="AI80" s="95">
        <v>2000</v>
      </c>
      <c r="AJ80" s="96">
        <v>12</v>
      </c>
      <c r="AK80" s="96">
        <v>0</v>
      </c>
      <c r="AL80" s="96">
        <v>376587.13514983241</v>
      </c>
      <c r="AM80" s="97">
        <v>231123.46266142599</v>
      </c>
      <c r="AN80" s="97">
        <v>1329.682444</v>
      </c>
      <c r="AO80" s="97">
        <f t="shared" si="57"/>
        <v>377916.81759383238</v>
      </c>
      <c r="AP80" s="97">
        <f t="shared" si="58"/>
        <v>-146793.35493240639</v>
      </c>
      <c r="AQ80" s="98">
        <f t="shared" si="59"/>
        <v>-0.38842768593106947</v>
      </c>
      <c r="AR80" s="98">
        <f t="shared" si="60"/>
        <v>-0.9175483442503416</v>
      </c>
    </row>
    <row r="81" spans="13:44" x14ac:dyDescent="0.25">
      <c r="M81" s="39">
        <v>2001</v>
      </c>
      <c r="N81" s="26">
        <v>490</v>
      </c>
      <c r="O81" s="26">
        <v>158</v>
      </c>
      <c r="P81" s="26">
        <v>924770.88872643223</v>
      </c>
      <c r="Q81" s="35">
        <v>1001540.2834350804</v>
      </c>
      <c r="R81" s="5">
        <v>88586.14108599996</v>
      </c>
      <c r="S81" s="5">
        <f t="shared" si="61"/>
        <v>1013357.0298124321</v>
      </c>
      <c r="T81" s="5">
        <f t="shared" si="62"/>
        <v>-11816.746377351694</v>
      </c>
      <c r="U81" s="92">
        <f t="shared" si="63"/>
        <v>-1.1660990183823879E-2</v>
      </c>
      <c r="V81" s="92">
        <f t="shared" si="54"/>
        <v>-9.6947927238913763E-3</v>
      </c>
      <c r="X81" s="39">
        <v>2001</v>
      </c>
      <c r="Y81" s="26">
        <v>236</v>
      </c>
      <c r="Z81" s="26">
        <v>54</v>
      </c>
      <c r="AA81" s="26">
        <v>265119.47513659514</v>
      </c>
      <c r="AB81" s="35">
        <v>284607.69572570879</v>
      </c>
      <c r="AC81" s="5">
        <v>20436.201079999999</v>
      </c>
      <c r="AD81" s="5">
        <f t="shared" si="64"/>
        <v>285555.67621659511</v>
      </c>
      <c r="AE81" s="5">
        <f t="shared" si="65"/>
        <v>-947.98049088631524</v>
      </c>
      <c r="AF81" s="92">
        <f t="shared" si="55"/>
        <v>-3.3197746353578637E-3</v>
      </c>
      <c r="AG81" s="92">
        <f t="shared" si="56"/>
        <v>-5.9254584800169444E-3</v>
      </c>
      <c r="AH81" s="17"/>
      <c r="AI81" s="39">
        <v>2001</v>
      </c>
      <c r="AJ81" s="26">
        <v>5</v>
      </c>
      <c r="AK81" s="26">
        <v>0</v>
      </c>
      <c r="AL81" s="26">
        <v>60794.873944311563</v>
      </c>
      <c r="AM81" s="35">
        <v>79466.265053620024</v>
      </c>
      <c r="AN81" s="5">
        <v>1745.447958</v>
      </c>
      <c r="AO81" s="5">
        <f t="shared" si="57"/>
        <v>62540.32190231156</v>
      </c>
      <c r="AP81" s="5">
        <f t="shared" si="58"/>
        <v>16925.943151308464</v>
      </c>
      <c r="AQ81" s="92">
        <f t="shared" si="59"/>
        <v>0.27064048659274431</v>
      </c>
      <c r="AR81" s="92">
        <f t="shared" si="60"/>
        <v>0.10579750779938046</v>
      </c>
    </row>
    <row r="82" spans="13:44" x14ac:dyDescent="0.25">
      <c r="M82" s="39">
        <v>2002</v>
      </c>
      <c r="N82" s="26">
        <v>905</v>
      </c>
      <c r="O82" s="26">
        <v>245</v>
      </c>
      <c r="P82" s="26">
        <v>1399900.9677147667</v>
      </c>
      <c r="Q82" s="35">
        <v>1469427.1639960583</v>
      </c>
      <c r="R82" s="5">
        <v>77621.364572000006</v>
      </c>
      <c r="S82" s="5">
        <f t="shared" si="61"/>
        <v>1477522.3322867667</v>
      </c>
      <c r="T82" s="5">
        <f t="shared" si="62"/>
        <v>-8095.1682907084469</v>
      </c>
      <c r="U82" s="92">
        <f t="shared" si="63"/>
        <v>-5.4788804973116886E-3</v>
      </c>
      <c r="V82" s="92">
        <f t="shared" si="54"/>
        <v>-6.641504872598035E-3</v>
      </c>
      <c r="X82" s="39">
        <v>2002</v>
      </c>
      <c r="Y82" s="26">
        <v>315</v>
      </c>
      <c r="Z82" s="26">
        <v>32</v>
      </c>
      <c r="AA82" s="26">
        <v>197182.59942748374</v>
      </c>
      <c r="AB82" s="35">
        <v>225641.98135973996</v>
      </c>
      <c r="AC82" s="5">
        <v>27669.008667999999</v>
      </c>
      <c r="AD82" s="5">
        <f t="shared" si="64"/>
        <v>224851.60809548374</v>
      </c>
      <c r="AE82" s="5">
        <f t="shared" si="65"/>
        <v>790.3732642562245</v>
      </c>
      <c r="AF82" s="92">
        <f t="shared" si="55"/>
        <v>3.5150883329266237E-3</v>
      </c>
      <c r="AG82" s="92">
        <f t="shared" si="56"/>
        <v>4.9403168167385389E-3</v>
      </c>
      <c r="AH82" s="17"/>
      <c r="AI82" s="39">
        <v>2002</v>
      </c>
      <c r="AJ82" s="26">
        <v>5</v>
      </c>
      <c r="AK82" s="26">
        <v>0</v>
      </c>
      <c r="AL82" s="26">
        <v>26722.980146281559</v>
      </c>
      <c r="AM82" s="35">
        <v>34505.950465320006</v>
      </c>
      <c r="AN82" s="5">
        <v>2812.5625419999997</v>
      </c>
      <c r="AO82" s="5">
        <f t="shared" si="57"/>
        <v>29535.542688281559</v>
      </c>
      <c r="AP82" s="5">
        <f t="shared" si="58"/>
        <v>4970.4077770384465</v>
      </c>
      <c r="AQ82" s="92">
        <f t="shared" si="59"/>
        <v>0.16828564247138386</v>
      </c>
      <c r="AR82" s="92">
        <f t="shared" si="60"/>
        <v>3.1068091795917137E-2</v>
      </c>
    </row>
    <row r="83" spans="13:44" x14ac:dyDescent="0.25">
      <c r="M83" s="39">
        <v>2003</v>
      </c>
      <c r="N83" s="26">
        <v>790</v>
      </c>
      <c r="O83" s="26">
        <v>209</v>
      </c>
      <c r="P83" s="26">
        <v>1513543.1896497807</v>
      </c>
      <c r="Q83" s="35">
        <v>1399832.5912507887</v>
      </c>
      <c r="R83" s="5">
        <v>79793.556952000014</v>
      </c>
      <c r="S83" s="5">
        <f t="shared" si="61"/>
        <v>1593336.7466017809</v>
      </c>
      <c r="T83" s="5">
        <f t="shared" si="62"/>
        <v>-193504.15535099222</v>
      </c>
      <c r="U83" s="92">
        <f t="shared" si="63"/>
        <v>-0.12144586244162879</v>
      </c>
      <c r="V83" s="92">
        <f t="shared" si="54"/>
        <v>-0.15875627837245512</v>
      </c>
      <c r="X83" s="39">
        <v>2003</v>
      </c>
      <c r="Y83" s="26">
        <v>330</v>
      </c>
      <c r="Z83" s="26">
        <v>116</v>
      </c>
      <c r="AA83" s="26">
        <v>319474.91435441072</v>
      </c>
      <c r="AB83" s="35">
        <v>309197.70804340485</v>
      </c>
      <c r="AC83" s="5">
        <v>15330.303387999997</v>
      </c>
      <c r="AD83" s="5">
        <f t="shared" si="64"/>
        <v>334805.21774241072</v>
      </c>
      <c r="AE83" s="5">
        <f t="shared" si="65"/>
        <v>-25607.509699005866</v>
      </c>
      <c r="AF83" s="92">
        <f t="shared" si="55"/>
        <v>-7.6484798748589183E-2</v>
      </c>
      <c r="AG83" s="92">
        <f t="shared" si="56"/>
        <v>-0.16006261411163064</v>
      </c>
      <c r="AH83" s="17"/>
      <c r="AI83" s="39">
        <v>2003</v>
      </c>
      <c r="AJ83" s="26">
        <v>1</v>
      </c>
      <c r="AK83" s="26">
        <v>3</v>
      </c>
      <c r="AL83" s="26">
        <v>112785.51147166561</v>
      </c>
      <c r="AM83" s="35">
        <v>50306.171013999992</v>
      </c>
      <c r="AN83" s="5">
        <v>2225.3232400000002</v>
      </c>
      <c r="AO83" s="5">
        <f t="shared" si="57"/>
        <v>115010.83471166561</v>
      </c>
      <c r="AP83" s="5">
        <f t="shared" si="58"/>
        <v>-64704.663697665615</v>
      </c>
      <c r="AQ83" s="92">
        <f t="shared" si="59"/>
        <v>-0.56259624460496671</v>
      </c>
      <c r="AR83" s="92">
        <f t="shared" si="60"/>
        <v>-0.40444376428623818</v>
      </c>
    </row>
    <row r="84" spans="13:44" x14ac:dyDescent="0.25">
      <c r="M84" s="39">
        <v>2004</v>
      </c>
      <c r="N84" s="26">
        <v>339</v>
      </c>
      <c r="O84" s="26">
        <v>130</v>
      </c>
      <c r="P84" s="26">
        <v>870533.1181858296</v>
      </c>
      <c r="Q84" s="35">
        <v>847633.80699992599</v>
      </c>
      <c r="R84" s="5">
        <v>57109.413436000039</v>
      </c>
      <c r="S84" s="5">
        <f t="shared" si="61"/>
        <v>927642.53162182961</v>
      </c>
      <c r="T84" s="5">
        <f t="shared" si="62"/>
        <v>-80008.724621903617</v>
      </c>
      <c r="U84" s="92">
        <f t="shared" si="63"/>
        <v>-8.6249521657897232E-2</v>
      </c>
      <c r="V84" s="92">
        <f t="shared" si="54"/>
        <v>-6.56414190964551E-2</v>
      </c>
      <c r="X84" s="39">
        <v>2004</v>
      </c>
      <c r="Y84" s="26">
        <v>183</v>
      </c>
      <c r="Z84" s="26">
        <v>55</v>
      </c>
      <c r="AA84" s="26">
        <v>97548.602344275641</v>
      </c>
      <c r="AB84" s="35">
        <v>127747.99579653761</v>
      </c>
      <c r="AC84" s="5">
        <v>27603.995013999986</v>
      </c>
      <c r="AD84" s="5">
        <f t="shared" si="64"/>
        <v>125152.59735827563</v>
      </c>
      <c r="AE84" s="5">
        <f t="shared" si="65"/>
        <v>2595.3984382619819</v>
      </c>
      <c r="AF84" s="92">
        <f t="shared" si="55"/>
        <v>2.0737871151264308E-2</v>
      </c>
      <c r="AG84" s="92">
        <f t="shared" si="56"/>
        <v>1.6222829301733469E-2</v>
      </c>
      <c r="AH84" s="17"/>
      <c r="AI84" s="39">
        <v>2004</v>
      </c>
      <c r="AJ84" s="26">
        <v>1</v>
      </c>
      <c r="AK84" s="26">
        <v>0</v>
      </c>
      <c r="AL84" s="26">
        <v>3666.0942183441048</v>
      </c>
      <c r="AM84" s="35">
        <v>10547.864626299999</v>
      </c>
      <c r="AN84" s="5">
        <v>2466.3742040000006</v>
      </c>
      <c r="AO84" s="5">
        <f t="shared" si="57"/>
        <v>6132.4684223441054</v>
      </c>
      <c r="AP84" s="5">
        <f t="shared" si="58"/>
        <v>4415.3962039558937</v>
      </c>
      <c r="AQ84" s="92">
        <f t="shared" si="59"/>
        <v>0.72000308845750738</v>
      </c>
      <c r="AR84" s="92">
        <f t="shared" si="60"/>
        <v>2.7598929651921129E-2</v>
      </c>
    </row>
    <row r="85" spans="13:44" x14ac:dyDescent="0.25">
      <c r="M85" s="39">
        <v>2005</v>
      </c>
      <c r="N85" s="26">
        <v>538</v>
      </c>
      <c r="O85" s="26">
        <v>150</v>
      </c>
      <c r="P85" s="26">
        <v>916472.18962353456</v>
      </c>
      <c r="Q85" s="35">
        <v>993336.23588715971</v>
      </c>
      <c r="R85" s="5">
        <v>74928.070890000003</v>
      </c>
      <c r="S85" s="5">
        <f t="shared" si="61"/>
        <v>991400.26051353454</v>
      </c>
      <c r="T85" s="5">
        <f t="shared" si="62"/>
        <v>1935.9753736251732</v>
      </c>
      <c r="U85" s="92">
        <f t="shared" si="63"/>
        <v>1.9527686755119059E-3</v>
      </c>
      <c r="V85" s="92">
        <f t="shared" si="54"/>
        <v>1.5883289161411792E-3</v>
      </c>
      <c r="X85" s="39">
        <v>2005</v>
      </c>
      <c r="Y85" s="26">
        <v>266</v>
      </c>
      <c r="Z85" s="26">
        <v>41</v>
      </c>
      <c r="AA85" s="26">
        <v>175639.71961595057</v>
      </c>
      <c r="AB85" s="35">
        <v>196481.87217096309</v>
      </c>
      <c r="AC85" s="5">
        <v>24063.914472</v>
      </c>
      <c r="AD85" s="5">
        <f t="shared" si="64"/>
        <v>199703.63408795057</v>
      </c>
      <c r="AE85" s="5">
        <f t="shared" si="65"/>
        <v>-3221.7619169874815</v>
      </c>
      <c r="AF85" s="92">
        <f t="shared" si="55"/>
        <v>-1.6132715519681529E-2</v>
      </c>
      <c r="AG85" s="92">
        <f t="shared" si="56"/>
        <v>-2.0137984542024187E-2</v>
      </c>
      <c r="AH85" s="17"/>
      <c r="AI85" s="39">
        <v>2005</v>
      </c>
      <c r="AJ85" s="26">
        <v>1</v>
      </c>
      <c r="AK85" s="26">
        <v>0</v>
      </c>
      <c r="AL85" s="26">
        <v>860.4160884011344</v>
      </c>
      <c r="AM85" s="35">
        <v>2515.0670132000005</v>
      </c>
      <c r="AN85" s="5">
        <v>704.59016000000008</v>
      </c>
      <c r="AO85" s="5">
        <f t="shared" si="57"/>
        <v>1565.0062484011346</v>
      </c>
      <c r="AP85" s="5">
        <f t="shared" si="58"/>
        <v>950.06076479886588</v>
      </c>
      <c r="AQ85" s="92">
        <f t="shared" si="59"/>
        <v>0.60706515757971025</v>
      </c>
      <c r="AR85" s="92">
        <f t="shared" si="60"/>
        <v>5.9384614656420561E-3</v>
      </c>
    </row>
    <row r="86" spans="13:44" x14ac:dyDescent="0.25">
      <c r="M86" s="39">
        <v>2006</v>
      </c>
      <c r="N86" s="26">
        <v>758</v>
      </c>
      <c r="O86" s="26">
        <v>92</v>
      </c>
      <c r="P86" s="26">
        <v>1173510.4644262686</v>
      </c>
      <c r="Q86" s="35">
        <v>1090879.8811101208</v>
      </c>
      <c r="R86" s="5">
        <v>74894.031865999976</v>
      </c>
      <c r="S86" s="5">
        <f t="shared" si="61"/>
        <v>1248404.4962922686</v>
      </c>
      <c r="T86" s="5">
        <f t="shared" si="62"/>
        <v>-157524.61518214783</v>
      </c>
      <c r="U86" s="92">
        <f t="shared" si="63"/>
        <v>-0.12618074962881995</v>
      </c>
      <c r="V86" s="92">
        <f t="shared" si="54"/>
        <v>-0.12923764666970342</v>
      </c>
      <c r="X86" s="39">
        <v>2006</v>
      </c>
      <c r="Y86" s="26">
        <v>202</v>
      </c>
      <c r="Z86" s="26">
        <v>52</v>
      </c>
      <c r="AA86" s="26">
        <v>113375.30329467765</v>
      </c>
      <c r="AB86" s="35">
        <v>136752.59802695393</v>
      </c>
      <c r="AC86" s="5">
        <v>21052.056090000009</v>
      </c>
      <c r="AD86" s="5">
        <f t="shared" si="64"/>
        <v>134427.35938467766</v>
      </c>
      <c r="AE86" s="5">
        <f t="shared" si="65"/>
        <v>2325.2386422762647</v>
      </c>
      <c r="AF86" s="92">
        <f t="shared" si="55"/>
        <v>1.7297361585615588E-2</v>
      </c>
      <c r="AG86" s="92">
        <f t="shared" si="56"/>
        <v>1.4534165168375064E-2</v>
      </c>
      <c r="AH86" s="17"/>
      <c r="AI86" s="39">
        <v>2006</v>
      </c>
      <c r="AJ86" s="26">
        <v>3</v>
      </c>
      <c r="AK86" s="26">
        <v>0</v>
      </c>
      <c r="AL86" s="26">
        <v>1380.661529953094</v>
      </c>
      <c r="AM86" s="35">
        <v>5498.9103844399997</v>
      </c>
      <c r="AN86" s="5">
        <v>4263.4979859999994</v>
      </c>
      <c r="AO86" s="5">
        <f t="shared" si="57"/>
        <v>5644.1595159530934</v>
      </c>
      <c r="AP86" s="5">
        <f t="shared" si="58"/>
        <v>-145.24913151309374</v>
      </c>
      <c r="AQ86" s="92">
        <f t="shared" si="59"/>
        <v>-2.5734412909938185E-2</v>
      </c>
      <c r="AR86" s="92">
        <f t="shared" si="60"/>
        <v>-9.0789600241105762E-4</v>
      </c>
    </row>
    <row r="87" spans="13:44" x14ac:dyDescent="0.25">
      <c r="M87" s="39">
        <v>2007</v>
      </c>
      <c r="N87" s="26">
        <v>882</v>
      </c>
      <c r="O87" s="26">
        <v>175</v>
      </c>
      <c r="P87" s="26">
        <v>1246851.667536438</v>
      </c>
      <c r="Q87" s="35">
        <v>1339839.1030567233</v>
      </c>
      <c r="R87" s="5">
        <v>77955.405563999971</v>
      </c>
      <c r="S87" s="5">
        <f t="shared" si="61"/>
        <v>1324807.0731004379</v>
      </c>
      <c r="T87" s="5">
        <f t="shared" si="62"/>
        <v>15032.029956285376</v>
      </c>
      <c r="U87" s="92">
        <f t="shared" si="63"/>
        <v>1.1346580390083523E-2</v>
      </c>
      <c r="V87" s="92">
        <f t="shared" si="54"/>
        <v>1.2332702250835095E-2</v>
      </c>
      <c r="X87" s="39">
        <v>2007</v>
      </c>
      <c r="Y87" s="26">
        <v>188</v>
      </c>
      <c r="Z87" s="26">
        <v>28</v>
      </c>
      <c r="AA87" s="26">
        <v>137973.67089635789</v>
      </c>
      <c r="AB87" s="35">
        <v>155311.0146986749</v>
      </c>
      <c r="AC87" s="5">
        <v>13542.483017999999</v>
      </c>
      <c r="AD87" s="5">
        <f t="shared" si="64"/>
        <v>151516.15391435788</v>
      </c>
      <c r="AE87" s="5">
        <f t="shared" si="65"/>
        <v>3794.8607843170175</v>
      </c>
      <c r="AF87" s="92">
        <f t="shared" si="55"/>
        <v>2.5045915476854058E-2</v>
      </c>
      <c r="AG87" s="92">
        <f t="shared" si="56"/>
        <v>2.3720203349218132E-2</v>
      </c>
      <c r="AH87" s="17"/>
      <c r="AI87" s="39">
        <v>2007</v>
      </c>
      <c r="AJ87" s="26"/>
      <c r="AK87" s="26"/>
      <c r="AL87" s="26"/>
      <c r="AM87" s="35">
        <v>11700.899067800001</v>
      </c>
      <c r="AN87" s="5">
        <v>11700.899067800001</v>
      </c>
      <c r="AO87" s="5">
        <f t="shared" si="57"/>
        <v>11700.899067800001</v>
      </c>
      <c r="AP87" s="5">
        <f t="shared" si="58"/>
        <v>0</v>
      </c>
      <c r="AQ87" s="92">
        <f t="shared" si="59"/>
        <v>0</v>
      </c>
      <c r="AR87" s="92">
        <f t="shared" si="60"/>
        <v>0</v>
      </c>
    </row>
    <row r="88" spans="13:44" x14ac:dyDescent="0.25">
      <c r="M88" s="39">
        <v>2008</v>
      </c>
      <c r="N88" s="26">
        <v>560</v>
      </c>
      <c r="O88" s="26">
        <v>92</v>
      </c>
      <c r="P88" s="26">
        <v>778698.06403139257</v>
      </c>
      <c r="Q88" s="35">
        <v>820112.00790669338</v>
      </c>
      <c r="R88" s="5">
        <v>48028.368414999997</v>
      </c>
      <c r="S88" s="5">
        <f t="shared" si="61"/>
        <v>826726.4324463926</v>
      </c>
      <c r="T88" s="5">
        <f t="shared" si="62"/>
        <v>-6614.4245396992192</v>
      </c>
      <c r="U88" s="92">
        <f t="shared" si="63"/>
        <v>-8.0007415755732701E-3</v>
      </c>
      <c r="V88" s="92">
        <f t="shared" si="54"/>
        <v>-5.4266608466023471E-3</v>
      </c>
      <c r="X88" s="39">
        <v>2008</v>
      </c>
      <c r="Y88" s="26">
        <v>241</v>
      </c>
      <c r="Z88" s="26">
        <v>36</v>
      </c>
      <c r="AA88" s="26">
        <v>129507.07815026362</v>
      </c>
      <c r="AB88" s="35">
        <v>138967.28706763891</v>
      </c>
      <c r="AC88" s="5">
        <v>21566.234948000008</v>
      </c>
      <c r="AD88" s="5">
        <f t="shared" si="64"/>
        <v>151073.31309826364</v>
      </c>
      <c r="AE88" s="5">
        <f t="shared" si="65"/>
        <v>-12106.026030624722</v>
      </c>
      <c r="AF88" s="92">
        <f t="shared" si="55"/>
        <v>-8.0133451649071319E-2</v>
      </c>
      <c r="AG88" s="92">
        <f t="shared" si="56"/>
        <v>-7.5670074745318422E-2</v>
      </c>
      <c r="AH88" s="17"/>
      <c r="AI88" s="39">
        <v>2008</v>
      </c>
      <c r="AJ88" s="26">
        <v>5</v>
      </c>
      <c r="AK88" s="26">
        <v>1</v>
      </c>
      <c r="AL88" s="26">
        <v>41393.008871431201</v>
      </c>
      <c r="AM88" s="35">
        <v>58316.039220999999</v>
      </c>
      <c r="AN88" s="5">
        <v>3869.7542213999996</v>
      </c>
      <c r="AO88" s="5">
        <f t="shared" si="57"/>
        <v>45262.763092831199</v>
      </c>
      <c r="AP88" s="5">
        <f t="shared" si="58"/>
        <v>13053.2761281688</v>
      </c>
      <c r="AQ88" s="92">
        <f t="shared" si="59"/>
        <v>0.28838884849776664</v>
      </c>
      <c r="AR88" s="92">
        <f t="shared" si="60"/>
        <v>8.159096781975464E-2</v>
      </c>
    </row>
    <row r="89" spans="13:44" x14ac:dyDescent="0.25">
      <c r="M89" s="108">
        <v>2009</v>
      </c>
      <c r="N89" s="109">
        <v>403</v>
      </c>
      <c r="O89" s="109">
        <v>79</v>
      </c>
      <c r="P89" s="109">
        <v>699246.38949961762</v>
      </c>
      <c r="Q89" s="35">
        <v>765440.02320099191</v>
      </c>
      <c r="R89" s="7">
        <v>48234.862273999985</v>
      </c>
      <c r="S89" s="7">
        <f t="shared" si="61"/>
        <v>747481.25177361758</v>
      </c>
      <c r="T89" s="7">
        <f t="shared" si="62"/>
        <v>17958.771427374333</v>
      </c>
      <c r="U89" s="102">
        <f t="shared" si="63"/>
        <v>2.4025714872128099E-2</v>
      </c>
      <c r="V89" s="92">
        <f t="shared" si="54"/>
        <v>1.4733883676968354E-2</v>
      </c>
      <c r="X89" s="108">
        <v>2009</v>
      </c>
      <c r="Y89" s="109">
        <v>98</v>
      </c>
      <c r="Z89" s="109">
        <v>20</v>
      </c>
      <c r="AA89" s="109">
        <v>101282.31810157104</v>
      </c>
      <c r="AB89" s="35">
        <v>109773.07461037998</v>
      </c>
      <c r="AC89" s="7">
        <v>15450.720844599997</v>
      </c>
      <c r="AD89" s="7">
        <f t="shared" si="64"/>
        <v>116733.03894617104</v>
      </c>
      <c r="AE89" s="7">
        <f t="shared" si="65"/>
        <v>-6959.9643357910682</v>
      </c>
      <c r="AF89" s="102">
        <f t="shared" si="55"/>
        <v>-5.9622917373037015E-2</v>
      </c>
      <c r="AG89" s="92">
        <f t="shared" si="56"/>
        <v>-4.3504038417046316E-2</v>
      </c>
      <c r="AH89" s="17"/>
      <c r="AI89" s="108">
        <v>2009</v>
      </c>
      <c r="AJ89" s="109">
        <v>3</v>
      </c>
      <c r="AK89" s="109">
        <v>0</v>
      </c>
      <c r="AL89" s="109">
        <v>29227.249928676709</v>
      </c>
      <c r="AM89" s="35">
        <v>40908.552826830004</v>
      </c>
      <c r="AN89" s="7">
        <v>3398.0337548000002</v>
      </c>
      <c r="AO89" s="7">
        <f t="shared" si="57"/>
        <v>32625.283683476708</v>
      </c>
      <c r="AP89" s="7">
        <f t="shared" si="58"/>
        <v>8283.2691433532964</v>
      </c>
      <c r="AQ89" s="102">
        <f t="shared" si="59"/>
        <v>0.2538910994220232</v>
      </c>
      <c r="AR89" s="92">
        <f t="shared" si="60"/>
        <v>5.1775503672924807E-2</v>
      </c>
    </row>
    <row r="90" spans="13:44" x14ac:dyDescent="0.25">
      <c r="M90" s="39">
        <v>2010</v>
      </c>
      <c r="N90" s="26">
        <v>240</v>
      </c>
      <c r="O90" s="26">
        <v>77</v>
      </c>
      <c r="P90" s="26">
        <v>380049.02774855745</v>
      </c>
      <c r="Q90" s="35">
        <v>416862.74145659216</v>
      </c>
      <c r="R90" s="5">
        <v>60565.190074000006</v>
      </c>
      <c r="S90" s="5">
        <f t="shared" si="61"/>
        <v>440614.21782255743</v>
      </c>
      <c r="T90" s="5">
        <f t="shared" si="62"/>
        <v>-23751.476365965267</v>
      </c>
      <c r="U90" s="92">
        <f t="shared" si="63"/>
        <v>-5.3905378912512479E-2</v>
      </c>
      <c r="V90" s="92">
        <f t="shared" si="54"/>
        <v>-1.9486382537224598E-2</v>
      </c>
      <c r="X90" s="39">
        <v>2010</v>
      </c>
      <c r="Y90" s="26">
        <v>82</v>
      </c>
      <c r="Z90" s="26">
        <v>7</v>
      </c>
      <c r="AA90" s="26">
        <v>35680.751747141599</v>
      </c>
      <c r="AB90" s="35">
        <v>49625.724294073283</v>
      </c>
      <c r="AC90" s="5">
        <v>13772.067857400003</v>
      </c>
      <c r="AD90" s="5">
        <f t="shared" si="64"/>
        <v>49452.819604541604</v>
      </c>
      <c r="AE90" s="5">
        <f t="shared" si="65"/>
        <v>172.90468953167874</v>
      </c>
      <c r="AF90" s="92">
        <f t="shared" si="55"/>
        <v>3.4963565457812578E-3</v>
      </c>
      <c r="AG90" s="92">
        <f t="shared" si="56"/>
        <v>1.0807601724612376E-3</v>
      </c>
      <c r="AH90" s="17"/>
      <c r="AI90" s="39">
        <v>2010</v>
      </c>
      <c r="AJ90" s="26"/>
      <c r="AK90" s="26"/>
      <c r="AL90" s="26"/>
      <c r="AM90" s="35">
        <v>3668.1655974000005</v>
      </c>
      <c r="AN90" s="5">
        <v>3668.1655974000005</v>
      </c>
      <c r="AO90" s="5">
        <f t="shared" si="57"/>
        <v>3668.1655974000005</v>
      </c>
      <c r="AP90" s="5">
        <f t="shared" si="58"/>
        <v>0</v>
      </c>
      <c r="AQ90" s="92">
        <f t="shared" si="59"/>
        <v>0</v>
      </c>
      <c r="AR90" s="92">
        <f t="shared" si="60"/>
        <v>0</v>
      </c>
    </row>
    <row r="91" spans="13:44" x14ac:dyDescent="0.25">
      <c r="M91" s="39">
        <v>2011</v>
      </c>
      <c r="N91" s="26">
        <v>217</v>
      </c>
      <c r="O91" s="26">
        <v>96</v>
      </c>
      <c r="P91" s="26">
        <v>534311.77418230276</v>
      </c>
      <c r="Q91" s="35">
        <v>534862.84553722793</v>
      </c>
      <c r="R91" s="5">
        <v>57352.040688799985</v>
      </c>
      <c r="S91" s="5">
        <f t="shared" si="61"/>
        <v>591663.8148711028</v>
      </c>
      <c r="T91" s="5">
        <f t="shared" si="62"/>
        <v>-56800.969333874877</v>
      </c>
      <c r="U91" s="92">
        <f t="shared" si="63"/>
        <v>-9.6002101034773066E-2</v>
      </c>
      <c r="V91" s="92">
        <f t="shared" si="54"/>
        <v>-4.6601120699642319E-2</v>
      </c>
      <c r="X91" s="39">
        <v>2011</v>
      </c>
      <c r="Y91" s="26">
        <v>50</v>
      </c>
      <c r="Z91" s="26">
        <v>12</v>
      </c>
      <c r="AA91" s="26">
        <v>63306.669620220295</v>
      </c>
      <c r="AB91" s="35">
        <v>62294.344283489991</v>
      </c>
      <c r="AC91" s="5">
        <v>9833.2589502000028</v>
      </c>
      <c r="AD91" s="5">
        <f t="shared" si="64"/>
        <v>73139.928570420292</v>
      </c>
      <c r="AE91" s="5">
        <f t="shared" si="65"/>
        <v>-10845.584286930301</v>
      </c>
      <c r="AF91" s="92">
        <f t="shared" si="55"/>
        <v>-0.1482854098837135</v>
      </c>
      <c r="AG91" s="92">
        <f t="shared" si="56"/>
        <v>-6.7791542127248847E-2</v>
      </c>
      <c r="AH91" s="17"/>
      <c r="AI91" s="95">
        <v>2011</v>
      </c>
      <c r="AJ91" s="96">
        <v>1</v>
      </c>
      <c r="AK91" s="96">
        <v>9</v>
      </c>
      <c r="AL91" s="96">
        <v>18282.474452292925</v>
      </c>
      <c r="AM91" s="97">
        <v>108210.83203439999</v>
      </c>
      <c r="AN91" s="97">
        <v>4999.2920543999999</v>
      </c>
      <c r="AO91" s="97">
        <f t="shared" si="57"/>
        <v>23281.766506692926</v>
      </c>
      <c r="AP91" s="97">
        <f t="shared" si="58"/>
        <v>84929.065527707076</v>
      </c>
      <c r="AQ91" s="98">
        <f t="shared" si="59"/>
        <v>3.6478789314931106</v>
      </c>
      <c r="AR91" s="98">
        <f t="shared" si="60"/>
        <v>0.53085865834702828</v>
      </c>
    </row>
    <row r="92" spans="13:44" x14ac:dyDescent="0.25">
      <c r="M92" s="39">
        <v>2012</v>
      </c>
      <c r="N92" s="26">
        <v>343</v>
      </c>
      <c r="O92" s="26">
        <v>67</v>
      </c>
      <c r="P92" s="26">
        <v>398650.83873091335</v>
      </c>
      <c r="Q92" s="35">
        <v>487423.10880836885</v>
      </c>
      <c r="R92" s="5">
        <v>80139.110364999971</v>
      </c>
      <c r="S92" s="5">
        <f t="shared" si="61"/>
        <v>478789.94909591333</v>
      </c>
      <c r="T92" s="5">
        <f t="shared" si="62"/>
        <v>8633.1597124555265</v>
      </c>
      <c r="U92" s="92">
        <f t="shared" si="63"/>
        <v>1.8031204975704478E-2</v>
      </c>
      <c r="V92" s="92">
        <f t="shared" si="54"/>
        <v>7.082888241125445E-3</v>
      </c>
      <c r="X92" s="39">
        <v>2012</v>
      </c>
      <c r="Y92" s="26">
        <v>255</v>
      </c>
      <c r="Z92" s="26">
        <v>11</v>
      </c>
      <c r="AA92" s="26">
        <v>70453.800817082156</v>
      </c>
      <c r="AB92" s="35">
        <v>89965.638970981963</v>
      </c>
      <c r="AC92" s="5">
        <v>17733.857515000003</v>
      </c>
      <c r="AD92" s="5">
        <f t="shared" si="64"/>
        <v>88187.658332082152</v>
      </c>
      <c r="AE92" s="5">
        <f t="shared" si="65"/>
        <v>1777.9806388998113</v>
      </c>
      <c r="AF92" s="92">
        <f t="shared" si="55"/>
        <v>2.0161331784143682E-2</v>
      </c>
      <c r="AG92" s="92">
        <f t="shared" si="56"/>
        <v>1.1113467582254562E-2</v>
      </c>
      <c r="AH92" s="17"/>
      <c r="AI92" s="39">
        <v>2012</v>
      </c>
      <c r="AJ92" s="26">
        <v>2</v>
      </c>
      <c r="AK92" s="26">
        <v>0</v>
      </c>
      <c r="AL92" s="26">
        <v>23041.446330325176</v>
      </c>
      <c r="AM92" s="35">
        <v>39732.609763799992</v>
      </c>
      <c r="AN92" s="5">
        <v>13066.670813799999</v>
      </c>
      <c r="AO92" s="5">
        <f t="shared" si="57"/>
        <v>36108.117144125179</v>
      </c>
      <c r="AP92" s="5">
        <f t="shared" si="58"/>
        <v>3624.4926196748129</v>
      </c>
      <c r="AQ92" s="92">
        <f t="shared" si="59"/>
        <v>0.10037888725151986</v>
      </c>
      <c r="AR92" s="92">
        <f t="shared" si="60"/>
        <v>2.2655298010332694E-2</v>
      </c>
    </row>
    <row r="93" spans="13:44" x14ac:dyDescent="0.25">
      <c r="M93" s="39">
        <v>2013</v>
      </c>
      <c r="N93" s="26">
        <v>725</v>
      </c>
      <c r="O93" s="26">
        <v>72</v>
      </c>
      <c r="P93" s="26">
        <v>1980776.6252988931</v>
      </c>
      <c r="Q93" s="35">
        <v>1957304.8675925503</v>
      </c>
      <c r="R93" s="5">
        <v>66937.493780600023</v>
      </c>
      <c r="S93" s="5">
        <f t="shared" si="61"/>
        <v>2047714.119079493</v>
      </c>
      <c r="T93" s="5">
        <f t="shared" si="62"/>
        <v>-90409.251486942638</v>
      </c>
      <c r="U93" s="92">
        <f t="shared" si="63"/>
        <v>-4.4151305421278347E-2</v>
      </c>
      <c r="V93" s="92">
        <f t="shared" si="54"/>
        <v>-7.4174305303530891E-2</v>
      </c>
      <c r="X93" s="39">
        <v>2013</v>
      </c>
      <c r="Y93" s="26">
        <v>229</v>
      </c>
      <c r="Z93" s="26">
        <v>27</v>
      </c>
      <c r="AA93" s="26">
        <v>173271.42987367706</v>
      </c>
      <c r="AB93" s="35">
        <v>199139.94651098902</v>
      </c>
      <c r="AC93" s="5">
        <v>14027.854367799999</v>
      </c>
      <c r="AD93" s="5">
        <f t="shared" si="64"/>
        <v>187299.28424147706</v>
      </c>
      <c r="AE93" s="5">
        <f t="shared" si="65"/>
        <v>11840.662269511959</v>
      </c>
      <c r="AF93" s="92">
        <f t="shared" si="55"/>
        <v>6.3217872494623586E-2</v>
      </c>
      <c r="AG93" s="92">
        <f t="shared" si="56"/>
        <v>7.4011388766343583E-2</v>
      </c>
      <c r="AH93" s="17"/>
      <c r="AI93" s="39">
        <v>2013</v>
      </c>
      <c r="AJ93" s="26">
        <v>1</v>
      </c>
      <c r="AK93" s="26">
        <v>0</v>
      </c>
      <c r="AL93" s="26">
        <v>9150.1628808906953</v>
      </c>
      <c r="AM93" s="35">
        <v>11343.752743200006</v>
      </c>
      <c r="AN93" s="5">
        <v>2794.2775896000003</v>
      </c>
      <c r="AO93" s="5">
        <f t="shared" si="57"/>
        <v>11944.440470490696</v>
      </c>
      <c r="AP93" s="5">
        <f t="shared" si="58"/>
        <v>-600.68772729068951</v>
      </c>
      <c r="AQ93" s="92">
        <f t="shared" si="59"/>
        <v>-5.0290152039747439E-2</v>
      </c>
      <c r="AR93" s="92">
        <f t="shared" si="60"/>
        <v>-3.7546660735485221E-3</v>
      </c>
    </row>
    <row r="94" spans="13:44" x14ac:dyDescent="0.25">
      <c r="M94" s="39">
        <v>2014</v>
      </c>
      <c r="N94" s="26">
        <v>783</v>
      </c>
      <c r="O94" s="26">
        <v>138</v>
      </c>
      <c r="P94" s="26">
        <v>2612595.6288426146</v>
      </c>
      <c r="Q94" s="35">
        <v>2781843.7038302575</v>
      </c>
      <c r="R94" s="5">
        <v>119601.84939759996</v>
      </c>
      <c r="S94" s="5">
        <f t="shared" si="61"/>
        <v>2732197.4782402148</v>
      </c>
      <c r="T94" s="5">
        <f t="shared" si="62"/>
        <v>49646.22559004277</v>
      </c>
      <c r="U94" s="92">
        <f t="shared" si="63"/>
        <v>1.8170804264858439E-2</v>
      </c>
      <c r="V94" s="92">
        <f t="shared" si="54"/>
        <v>4.073116670604935E-2</v>
      </c>
      <c r="X94" s="95">
        <v>2014</v>
      </c>
      <c r="Y94" s="96">
        <v>220</v>
      </c>
      <c r="Z94" s="96">
        <v>25</v>
      </c>
      <c r="AA94" s="96">
        <v>332421.31072194054</v>
      </c>
      <c r="AB94" s="97">
        <v>260335.9360767403</v>
      </c>
      <c r="AC94" s="97">
        <v>21815.994082000005</v>
      </c>
      <c r="AD94" s="97">
        <f t="shared" si="64"/>
        <v>354237.30480394053</v>
      </c>
      <c r="AE94" s="97">
        <f t="shared" si="65"/>
        <v>-93901.368727200228</v>
      </c>
      <c r="AF94" s="98">
        <f t="shared" si="55"/>
        <v>-0.26508040642182434</v>
      </c>
      <c r="AG94" s="98">
        <f t="shared" si="56"/>
        <v>-0.58694104673986658</v>
      </c>
      <c r="AH94" s="17"/>
      <c r="AI94" s="95">
        <v>2014</v>
      </c>
      <c r="AJ94" s="96">
        <v>2</v>
      </c>
      <c r="AK94" s="96">
        <v>0</v>
      </c>
      <c r="AL94" s="96">
        <v>7919.4806692893744</v>
      </c>
      <c r="AM94" s="97">
        <v>79798.302887999977</v>
      </c>
      <c r="AN94" s="97">
        <v>100.56282899999999</v>
      </c>
      <c r="AO94" s="97">
        <f t="shared" si="57"/>
        <v>8020.0434982893748</v>
      </c>
      <c r="AP94" s="97">
        <f t="shared" si="58"/>
        <v>71778.259389710598</v>
      </c>
      <c r="AQ94" s="98">
        <f t="shared" si="59"/>
        <v>8.9498591129861644</v>
      </c>
      <c r="AR94" s="98">
        <f t="shared" si="60"/>
        <v>0.44865806825197851</v>
      </c>
    </row>
    <row r="95" spans="13:44" x14ac:dyDescent="0.25">
      <c r="M95" s="39">
        <v>2015</v>
      </c>
      <c r="N95" s="26">
        <v>816</v>
      </c>
      <c r="O95" s="26">
        <v>92</v>
      </c>
      <c r="P95" s="26">
        <v>1603221.3665238249</v>
      </c>
      <c r="Q95" s="35">
        <v>1589724.28883581</v>
      </c>
      <c r="R95" s="5">
        <v>95565.750363600033</v>
      </c>
      <c r="S95" s="5">
        <f t="shared" si="61"/>
        <v>1698787.1168874248</v>
      </c>
      <c r="T95" s="5">
        <f t="shared" si="62"/>
        <v>-109062.82805161481</v>
      </c>
      <c r="U95" s="92">
        <f t="shared" si="63"/>
        <v>-6.4200409202209749E-2</v>
      </c>
      <c r="V95" s="92">
        <f t="shared" si="54"/>
        <v>-8.9478226753545456E-2</v>
      </c>
      <c r="X95" s="39">
        <v>2015</v>
      </c>
      <c r="Y95" s="26">
        <v>221</v>
      </c>
      <c r="Z95" s="26">
        <v>7</v>
      </c>
      <c r="AA95" s="26">
        <v>118967.82747484912</v>
      </c>
      <c r="AB95" s="35">
        <v>148508.38352636198</v>
      </c>
      <c r="AC95" s="5">
        <v>24490.8661264</v>
      </c>
      <c r="AD95" s="5">
        <f t="shared" si="64"/>
        <v>143458.69360124914</v>
      </c>
      <c r="AE95" s="5">
        <f t="shared" si="65"/>
        <v>5049.6899251128489</v>
      </c>
      <c r="AF95" s="92">
        <f t="shared" si="55"/>
        <v>3.5199609018807344E-2</v>
      </c>
      <c r="AG95" s="92">
        <f t="shared" si="56"/>
        <v>3.1563653762790737E-2</v>
      </c>
      <c r="AH95" s="17"/>
      <c r="AI95" s="39">
        <v>2015</v>
      </c>
      <c r="AJ95" s="26">
        <v>1</v>
      </c>
      <c r="AK95" s="26">
        <v>0</v>
      </c>
      <c r="AL95" s="26">
        <v>5440.5514975707038</v>
      </c>
      <c r="AM95" s="35">
        <v>5552.4591048000002</v>
      </c>
      <c r="AN95" s="5">
        <v>576.47203560000003</v>
      </c>
      <c r="AO95" s="5">
        <f t="shared" si="57"/>
        <v>6017.0235331707036</v>
      </c>
      <c r="AP95" s="5">
        <f t="shared" si="58"/>
        <v>-464.56442837070335</v>
      </c>
      <c r="AQ95" s="92">
        <f t="shared" si="59"/>
        <v>-7.7208344924969668E-2</v>
      </c>
      <c r="AR95" s="92">
        <f t="shared" si="60"/>
        <v>-2.9038121122405328E-3</v>
      </c>
    </row>
    <row r="96" spans="13:44" x14ac:dyDescent="0.25">
      <c r="M96" s="39">
        <v>2016</v>
      </c>
      <c r="N96" s="26">
        <v>583</v>
      </c>
      <c r="O96" s="26">
        <v>152</v>
      </c>
      <c r="P96" s="26">
        <v>3700259.8644404612</v>
      </c>
      <c r="Q96" s="35">
        <v>3953639.4224234056</v>
      </c>
      <c r="R96" s="5">
        <v>97978.109663600044</v>
      </c>
      <c r="S96" s="5">
        <f t="shared" si="61"/>
        <v>3798237.9741040613</v>
      </c>
      <c r="T96" s="5">
        <f t="shared" si="62"/>
        <v>155401.44831934432</v>
      </c>
      <c r="U96" s="92">
        <f t="shared" si="63"/>
        <v>4.091408947487047E-2</v>
      </c>
      <c r="V96" s="92">
        <f t="shared" si="54"/>
        <v>0.12749574056494295</v>
      </c>
      <c r="X96" s="39">
        <v>2016</v>
      </c>
      <c r="Y96" s="26">
        <v>112</v>
      </c>
      <c r="Z96" s="26">
        <v>14</v>
      </c>
      <c r="AA96" s="26">
        <v>152201.70511073025</v>
      </c>
      <c r="AB96" s="35">
        <v>188839.96447200605</v>
      </c>
      <c r="AC96" s="5">
        <v>24147.634157</v>
      </c>
      <c r="AD96" s="5">
        <f t="shared" si="64"/>
        <v>176349.33926773025</v>
      </c>
      <c r="AE96" s="5">
        <f t="shared" si="65"/>
        <v>12490.625204275799</v>
      </c>
      <c r="AF96" s="92">
        <f t="shared" si="55"/>
        <v>7.0828874415643631E-2</v>
      </c>
      <c r="AG96" s="92">
        <f t="shared" si="56"/>
        <v>7.8074055055912792E-2</v>
      </c>
      <c r="AH96" s="17"/>
      <c r="AI96" s="39">
        <v>2016</v>
      </c>
      <c r="AJ96" s="26"/>
      <c r="AK96" s="26"/>
      <c r="AL96" s="26"/>
      <c r="AM96" s="35">
        <v>206.11466780000001</v>
      </c>
      <c r="AN96" s="5">
        <v>206.11466780000001</v>
      </c>
      <c r="AO96" s="5">
        <f t="shared" si="57"/>
        <v>206.11466780000001</v>
      </c>
      <c r="AP96" s="5">
        <f t="shared" si="58"/>
        <v>0</v>
      </c>
      <c r="AQ96" s="92">
        <f t="shared" si="59"/>
        <v>0</v>
      </c>
      <c r="AR96" s="92">
        <f t="shared" si="60"/>
        <v>0</v>
      </c>
    </row>
    <row r="97" spans="13:44" x14ac:dyDescent="0.25">
      <c r="M97" s="108">
        <v>2017</v>
      </c>
      <c r="N97" s="109">
        <v>592</v>
      </c>
      <c r="O97" s="109">
        <v>208</v>
      </c>
      <c r="P97" s="109">
        <v>2963093.0632148767</v>
      </c>
      <c r="Q97" s="35">
        <v>3085854.1222692812</v>
      </c>
      <c r="R97" s="7">
        <v>71993.644673399991</v>
      </c>
      <c r="S97" s="7">
        <f t="shared" si="61"/>
        <v>3035086.7078882768</v>
      </c>
      <c r="T97" s="7">
        <f t="shared" si="62"/>
        <v>50767.414381004404</v>
      </c>
      <c r="U97" s="102">
        <f t="shared" si="63"/>
        <v>1.6726841526160833E-2</v>
      </c>
      <c r="V97" s="92">
        <f t="shared" si="54"/>
        <v>4.1651021680135666E-2</v>
      </c>
      <c r="X97" s="108">
        <v>2017</v>
      </c>
      <c r="Y97" s="109">
        <v>159</v>
      </c>
      <c r="Z97" s="109">
        <v>29</v>
      </c>
      <c r="AA97" s="109">
        <v>133608.56465590021</v>
      </c>
      <c r="AB97" s="35">
        <v>156546.66482751805</v>
      </c>
      <c r="AC97" s="7">
        <v>22872.654452799994</v>
      </c>
      <c r="AD97" s="7">
        <f t="shared" si="64"/>
        <v>156481.2191087002</v>
      </c>
      <c r="AE97" s="7">
        <f t="shared" si="65"/>
        <v>65.445718817849411</v>
      </c>
      <c r="AF97" s="102">
        <f t="shared" si="55"/>
        <v>4.18233697248916E-4</v>
      </c>
      <c r="AG97" s="92">
        <f t="shared" si="56"/>
        <v>4.090758125069221E-4</v>
      </c>
      <c r="AH97" s="17"/>
      <c r="AI97" s="95">
        <v>2017</v>
      </c>
      <c r="AJ97" s="96">
        <v>5</v>
      </c>
      <c r="AK97" s="96">
        <v>2</v>
      </c>
      <c r="AL97" s="96">
        <v>464878.03206317924</v>
      </c>
      <c r="AM97" s="97">
        <v>611009.93731259985</v>
      </c>
      <c r="AN97" s="97">
        <v>117.50738459999999</v>
      </c>
      <c r="AO97" s="97">
        <f t="shared" si="57"/>
        <v>464995.53944777924</v>
      </c>
      <c r="AP97" s="97">
        <f t="shared" si="58"/>
        <v>146014.39786482061</v>
      </c>
      <c r="AQ97" s="98">
        <f t="shared" si="59"/>
        <v>0.31401246996524917</v>
      </c>
      <c r="AR97" s="98">
        <f t="shared" si="60"/>
        <v>0.91267938565249118</v>
      </c>
    </row>
    <row r="98" spans="13:44" x14ac:dyDescent="0.25">
      <c r="M98" s="108" t="s">
        <v>104</v>
      </c>
      <c r="N98" s="109"/>
      <c r="O98" s="109"/>
      <c r="P98" s="109"/>
      <c r="Q98" s="7"/>
      <c r="R98" s="7"/>
      <c r="S98" s="7">
        <f>AVERAGE(S66:S97)</f>
        <v>1218875.6081634501</v>
      </c>
      <c r="T98" s="7"/>
      <c r="U98" s="102"/>
      <c r="V98" s="17"/>
      <c r="X98" s="108" t="s">
        <v>104</v>
      </c>
      <c r="Y98" s="109"/>
      <c r="Z98" s="109"/>
      <c r="AA98" s="109"/>
      <c r="AB98" s="7"/>
      <c r="AC98" s="7"/>
      <c r="AD98" s="7">
        <f>AVERAGE(AD66:AD97)</f>
        <v>159984.32764034902</v>
      </c>
      <c r="AE98" s="7"/>
      <c r="AF98" s="102"/>
      <c r="AG98" s="17"/>
      <c r="AH98" s="17"/>
      <c r="AI98" s="108" t="s">
        <v>104</v>
      </c>
      <c r="AJ98" s="109"/>
      <c r="AK98" s="109"/>
      <c r="AL98" s="109"/>
      <c r="AM98" s="7"/>
      <c r="AN98" s="7"/>
      <c r="AO98" s="7">
        <f>AVERAGE(AO66:AO97)</f>
        <v>99318.845973880059</v>
      </c>
      <c r="AP98" s="7"/>
      <c r="AQ98" s="102"/>
      <c r="AR98" s="17"/>
    </row>
    <row r="117" spans="2:12" x14ac:dyDescent="0.25">
      <c r="B117" s="366" t="s">
        <v>65</v>
      </c>
      <c r="C117" s="366"/>
      <c r="D117" s="366"/>
      <c r="E117" s="366"/>
      <c r="I117" s="366" t="s">
        <v>65</v>
      </c>
      <c r="J117" s="366"/>
      <c r="K117" s="366"/>
      <c r="L117" s="366"/>
    </row>
    <row r="118" spans="2:12" x14ac:dyDescent="0.25">
      <c r="B118" s="333" t="s">
        <v>6</v>
      </c>
      <c r="C118" s="333" t="s">
        <v>10</v>
      </c>
      <c r="D118" s="333" t="s">
        <v>4</v>
      </c>
      <c r="E118" s="333" t="s">
        <v>20</v>
      </c>
      <c r="I118" s="30" t="s">
        <v>6</v>
      </c>
      <c r="J118" s="30" t="s">
        <v>10</v>
      </c>
      <c r="K118" s="30" t="s">
        <v>4</v>
      </c>
      <c r="L118" s="30" t="s">
        <v>20</v>
      </c>
    </row>
    <row r="119" spans="2:12" x14ac:dyDescent="0.25">
      <c r="B119" s="5">
        <f>_xlfn.RANK.AVG(B17,B$17:B$25,0)</f>
        <v>4</v>
      </c>
      <c r="C119" s="5">
        <f>_xlfn.RANK.AVG(C17,C$17:C$25,0)</f>
        <v>6</v>
      </c>
      <c r="D119" s="5">
        <f>_xlfn.RANK.AVG(D17,D$17:D$25,0)</f>
        <v>5</v>
      </c>
      <c r="E119" s="141">
        <v>1999</v>
      </c>
      <c r="I119" s="5">
        <f>_xlfn.RANK.AVG(I17,I$17:I$25,0)</f>
        <v>3</v>
      </c>
      <c r="J119" s="5">
        <f>_xlfn.RANK.AVG(J17,J$17:J$25,0)</f>
        <v>5</v>
      </c>
      <c r="K119" s="5">
        <f>_xlfn.RANK.AVG(K17,K$17:K$25,0)</f>
        <v>5</v>
      </c>
      <c r="L119" s="55">
        <v>1999</v>
      </c>
    </row>
    <row r="120" spans="2:12" x14ac:dyDescent="0.25">
      <c r="B120" s="5">
        <f t="shared" ref="B120:D120" si="66">_xlfn.RANK.AVG(B18,B$17:B$25,0)</f>
        <v>1</v>
      </c>
      <c r="C120" s="5">
        <f t="shared" si="66"/>
        <v>2</v>
      </c>
      <c r="D120" s="5">
        <f t="shared" si="66"/>
        <v>1</v>
      </c>
      <c r="E120" s="141">
        <v>2000</v>
      </c>
      <c r="I120" s="5">
        <f t="shared" ref="I120:K120" si="67">_xlfn.RANK.AVG(I18,I$17:I$25,0)</f>
        <v>1</v>
      </c>
      <c r="J120" s="5">
        <f t="shared" si="67"/>
        <v>3</v>
      </c>
      <c r="K120" s="5">
        <f t="shared" si="67"/>
        <v>1</v>
      </c>
      <c r="L120" s="55">
        <v>2000</v>
      </c>
    </row>
    <row r="121" spans="2:12" x14ac:dyDescent="0.25">
      <c r="B121" s="5">
        <f t="shared" ref="B121:D121" si="68">_xlfn.RANK.AVG(B19,B$17:B$25,0)</f>
        <v>7</v>
      </c>
      <c r="C121" s="5">
        <f t="shared" si="68"/>
        <v>3</v>
      </c>
      <c r="D121" s="5">
        <f t="shared" si="68"/>
        <v>2</v>
      </c>
      <c r="E121" s="141">
        <v>2001</v>
      </c>
      <c r="I121" s="5">
        <f t="shared" ref="I121:K121" si="69">_xlfn.RANK.AVG(I19,I$17:I$25,0)</f>
        <v>7</v>
      </c>
      <c r="J121" s="5">
        <f t="shared" si="69"/>
        <v>2</v>
      </c>
      <c r="K121" s="5">
        <f t="shared" si="69"/>
        <v>2</v>
      </c>
      <c r="L121" s="55">
        <v>2001</v>
      </c>
    </row>
    <row r="122" spans="2:12" x14ac:dyDescent="0.25">
      <c r="B122" s="5">
        <f t="shared" ref="B122:D122" si="70">_xlfn.RANK.AVG(B20,B$17:B$25,0)</f>
        <v>3</v>
      </c>
      <c r="C122" s="5">
        <f t="shared" si="70"/>
        <v>4</v>
      </c>
      <c r="D122" s="5">
        <f t="shared" si="70"/>
        <v>4</v>
      </c>
      <c r="E122" s="141">
        <v>2002</v>
      </c>
      <c r="I122" s="5">
        <f t="shared" ref="I122:K122" si="71">_xlfn.RANK.AVG(I20,I$17:I$25,0)</f>
        <v>2</v>
      </c>
      <c r="J122" s="5">
        <f t="shared" si="71"/>
        <v>4</v>
      </c>
      <c r="K122" s="5">
        <f t="shared" si="71"/>
        <v>4</v>
      </c>
      <c r="L122" s="55">
        <v>2002</v>
      </c>
    </row>
    <row r="123" spans="2:12" x14ac:dyDescent="0.25">
      <c r="B123" s="5">
        <f t="shared" ref="B123:D123" si="72">_xlfn.RANK.AVG(B21,B$17:B$25,0)</f>
        <v>2</v>
      </c>
      <c r="C123" s="5">
        <f t="shared" si="72"/>
        <v>1</v>
      </c>
      <c r="D123" s="5">
        <f t="shared" si="72"/>
        <v>3</v>
      </c>
      <c r="E123" s="141">
        <v>2003</v>
      </c>
      <c r="I123" s="5">
        <f t="shared" ref="I123:K123" si="73">_xlfn.RANK.AVG(I21,I$17:I$25,0)</f>
        <v>4</v>
      </c>
      <c r="J123" s="5">
        <f t="shared" si="73"/>
        <v>1</v>
      </c>
      <c r="K123" s="5">
        <f t="shared" si="73"/>
        <v>3</v>
      </c>
      <c r="L123" s="55">
        <v>2003</v>
      </c>
    </row>
    <row r="124" spans="2:12" x14ac:dyDescent="0.25">
      <c r="B124" s="5">
        <f t="shared" ref="B124:D124" si="74">_xlfn.RANK.AVG(B22,B$17:B$25,0)</f>
        <v>9</v>
      </c>
      <c r="C124" s="5">
        <f t="shared" si="74"/>
        <v>9</v>
      </c>
      <c r="D124" s="5">
        <f t="shared" si="74"/>
        <v>7</v>
      </c>
      <c r="E124" s="141">
        <v>2004</v>
      </c>
      <c r="I124" s="5">
        <f t="shared" ref="I124:K124" si="75">_xlfn.RANK.AVG(I22,I$17:I$25,0)</f>
        <v>9</v>
      </c>
      <c r="J124" s="5">
        <f t="shared" si="75"/>
        <v>9</v>
      </c>
      <c r="K124" s="5">
        <f t="shared" si="75"/>
        <v>7</v>
      </c>
      <c r="L124" s="55">
        <v>2004</v>
      </c>
    </row>
    <row r="125" spans="2:12" x14ac:dyDescent="0.25">
      <c r="B125" s="5">
        <f t="shared" ref="B125:D125" si="76">_xlfn.RANK.AVG(B23,B$17:B$25,0)</f>
        <v>8</v>
      </c>
      <c r="C125" s="5">
        <f t="shared" si="76"/>
        <v>5</v>
      </c>
      <c r="D125" s="5">
        <f t="shared" si="76"/>
        <v>9</v>
      </c>
      <c r="E125" s="141">
        <v>2005</v>
      </c>
      <c r="I125" s="5">
        <f t="shared" ref="I125:K125" si="77">_xlfn.RANK.AVG(I23,I$17:I$25,0)</f>
        <v>8</v>
      </c>
      <c r="J125" s="5">
        <f t="shared" si="77"/>
        <v>6</v>
      </c>
      <c r="K125" s="5">
        <f t="shared" si="77"/>
        <v>9</v>
      </c>
      <c r="L125" s="55">
        <v>2005</v>
      </c>
    </row>
    <row r="126" spans="2:12" x14ac:dyDescent="0.25">
      <c r="B126" s="5">
        <f t="shared" ref="B126:D126" si="78">_xlfn.RANK.AVG(B24,B$17:B$25,0)</f>
        <v>6</v>
      </c>
      <c r="C126" s="5">
        <f t="shared" si="78"/>
        <v>8</v>
      </c>
      <c r="D126" s="5">
        <f t="shared" si="78"/>
        <v>8</v>
      </c>
      <c r="E126" s="141">
        <v>2006</v>
      </c>
      <c r="I126" s="5">
        <f t="shared" ref="I126:K126" si="79">_xlfn.RANK.AVG(I24,I$17:I$25,0)</f>
        <v>6</v>
      </c>
      <c r="J126" s="5">
        <f t="shared" si="79"/>
        <v>8</v>
      </c>
      <c r="K126" s="5">
        <f t="shared" si="79"/>
        <v>8</v>
      </c>
      <c r="L126" s="55">
        <v>2006</v>
      </c>
    </row>
    <row r="127" spans="2:12" x14ac:dyDescent="0.25">
      <c r="B127" s="5">
        <f t="shared" ref="B127:D127" si="80">_xlfn.RANK.AVG(B25,B$17:B$25,0)</f>
        <v>5</v>
      </c>
      <c r="C127" s="5">
        <f t="shared" si="80"/>
        <v>7</v>
      </c>
      <c r="D127" s="5">
        <f t="shared" si="80"/>
        <v>6</v>
      </c>
      <c r="E127" s="141">
        <v>2007</v>
      </c>
      <c r="I127" s="5">
        <f t="shared" ref="I127:K127" si="81">_xlfn.RANK.AVG(I25,I$17:I$25,0)</f>
        <v>5</v>
      </c>
      <c r="J127" s="5">
        <f t="shared" si="81"/>
        <v>7</v>
      </c>
      <c r="K127" s="5">
        <f t="shared" si="81"/>
        <v>6</v>
      </c>
      <c r="L127" s="55">
        <v>2007</v>
      </c>
    </row>
    <row r="128" spans="2:12" x14ac:dyDescent="0.25">
      <c r="I128" s="5"/>
      <c r="J128" s="5"/>
      <c r="K128" s="5"/>
      <c r="L128" s="55"/>
    </row>
  </sheetData>
  <mergeCells count="7">
    <mergeCell ref="AI64:AR64"/>
    <mergeCell ref="I117:L117"/>
    <mergeCell ref="A49:D49"/>
    <mergeCell ref="H49:K49"/>
    <mergeCell ref="M64:V64"/>
    <mergeCell ref="X64:AG64"/>
    <mergeCell ref="B117:E117"/>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B165"/>
  <sheetViews>
    <sheetView topLeftCell="AW1" workbookViewId="0">
      <selection activeCell="J42" sqref="J42:M47"/>
    </sheetView>
  </sheetViews>
  <sheetFormatPr defaultRowHeight="15" x14ac:dyDescent="0.25"/>
  <cols>
    <col min="1" max="1" width="11.42578125" customWidth="1"/>
    <col min="2" max="2" width="12.140625" bestFit="1" customWidth="1"/>
    <col min="3" max="3" width="14" bestFit="1" customWidth="1"/>
    <col min="4" max="5" width="11.42578125" bestFit="1" customWidth="1"/>
    <col min="6" max="6" width="12" bestFit="1" customWidth="1"/>
    <col min="7" max="7" width="13.28515625" bestFit="1" customWidth="1"/>
    <col min="9" max="9" width="11.5703125" style="17" bestFit="1" customWidth="1"/>
    <col min="10" max="10" width="12.42578125" bestFit="1" customWidth="1"/>
    <col min="11" max="11" width="14" bestFit="1" customWidth="1"/>
    <col min="12" max="12" width="13.42578125" customWidth="1"/>
    <col min="13" max="13" width="12.42578125" bestFit="1" customWidth="1"/>
    <col min="15" max="15" width="12.7109375" bestFit="1" customWidth="1"/>
    <col min="19" max="19" width="11.28515625" bestFit="1" customWidth="1"/>
    <col min="20" max="20" width="13.140625" bestFit="1" customWidth="1"/>
    <col min="21" max="22" width="10.7109375" bestFit="1" customWidth="1"/>
    <col min="26" max="26" width="11.28515625" bestFit="1" customWidth="1"/>
    <col min="27" max="27" width="13.140625" bestFit="1" customWidth="1"/>
    <col min="28" max="29" width="9.42578125" customWidth="1"/>
    <col min="32" max="32" width="9.5703125" customWidth="1"/>
    <col min="33" max="33" width="11.28515625" bestFit="1" customWidth="1"/>
    <col min="34" max="34" width="13.140625" bestFit="1" customWidth="1"/>
    <col min="35" max="36" width="11.28515625" bestFit="1" customWidth="1"/>
    <col min="39" max="39" width="8.85546875" customWidth="1"/>
    <col min="40" max="40" width="11.28515625" bestFit="1" customWidth="1"/>
    <col min="41" max="41" width="13.140625" bestFit="1" customWidth="1"/>
    <col min="46" max="46" width="10.85546875" bestFit="1" customWidth="1"/>
    <col min="47" max="47" width="10" bestFit="1" customWidth="1"/>
    <col min="52" max="52" width="10.28515625" bestFit="1" customWidth="1"/>
    <col min="57" max="57" width="10.85546875" bestFit="1" customWidth="1"/>
    <col min="58" max="58" width="10" bestFit="1" customWidth="1"/>
  </cols>
  <sheetData>
    <row r="1" spans="1:45" x14ac:dyDescent="0.25">
      <c r="A1" t="s">
        <v>35</v>
      </c>
      <c r="I1"/>
      <c r="R1" t="s">
        <v>46</v>
      </c>
      <c r="Y1" s="17" t="s">
        <v>326</v>
      </c>
      <c r="Z1" s="17"/>
      <c r="AA1" s="17"/>
      <c r="AB1" s="17"/>
      <c r="AC1" s="17"/>
      <c r="AF1" s="17" t="s">
        <v>327</v>
      </c>
      <c r="AG1" s="17"/>
      <c r="AH1" s="17"/>
      <c r="AI1" s="17"/>
      <c r="AJ1" s="17"/>
      <c r="AK1" s="17"/>
    </row>
    <row r="2" spans="1:45" s="17" customFormat="1" x14ac:dyDescent="0.25">
      <c r="B2" s="57" t="s">
        <v>19</v>
      </c>
      <c r="C2" s="57" t="s">
        <v>36</v>
      </c>
      <c r="D2" s="57" t="s">
        <v>15</v>
      </c>
      <c r="E2" s="57" t="s">
        <v>23</v>
      </c>
      <c r="J2" s="57" t="s">
        <v>19</v>
      </c>
      <c r="K2" s="57" t="s">
        <v>36</v>
      </c>
      <c r="L2" s="57" t="s">
        <v>15</v>
      </c>
      <c r="M2" s="57" t="s">
        <v>23</v>
      </c>
      <c r="S2" s="36" t="s">
        <v>19</v>
      </c>
      <c r="T2" s="36" t="s">
        <v>36</v>
      </c>
      <c r="U2" s="36" t="s">
        <v>15</v>
      </c>
      <c r="V2" s="36" t="s">
        <v>23</v>
      </c>
      <c r="W2"/>
      <c r="X2"/>
      <c r="Y2"/>
      <c r="Z2" s="36" t="s">
        <v>19</v>
      </c>
      <c r="AA2" s="36" t="s">
        <v>36</v>
      </c>
      <c r="AB2" s="36" t="s">
        <v>15</v>
      </c>
      <c r="AC2" s="36" t="s">
        <v>23</v>
      </c>
      <c r="AD2"/>
      <c r="AE2"/>
      <c r="AG2" s="36" t="s">
        <v>19</v>
      </c>
      <c r="AH2" s="36" t="s">
        <v>36</v>
      </c>
      <c r="AI2" s="36" t="s">
        <v>15</v>
      </c>
      <c r="AJ2" s="36" t="s">
        <v>23</v>
      </c>
      <c r="AL2"/>
      <c r="AM2"/>
      <c r="AN2"/>
      <c r="AO2"/>
      <c r="AP2"/>
      <c r="AQ2"/>
      <c r="AR2"/>
      <c r="AS2"/>
    </row>
    <row r="3" spans="1:45" x14ac:dyDescent="0.25">
      <c r="A3" s="12" t="s">
        <v>20</v>
      </c>
      <c r="B3" s="12" t="s">
        <v>316</v>
      </c>
      <c r="C3" s="12" t="s">
        <v>316</v>
      </c>
      <c r="D3" s="12" t="s">
        <v>316</v>
      </c>
      <c r="E3" s="12" t="s">
        <v>316</v>
      </c>
      <c r="F3" s="12" t="s">
        <v>5</v>
      </c>
      <c r="G3" s="333" t="s">
        <v>328</v>
      </c>
      <c r="I3" s="12" t="s">
        <v>20</v>
      </c>
      <c r="J3" s="12" t="s">
        <v>305</v>
      </c>
      <c r="K3" s="12" t="s">
        <v>305</v>
      </c>
      <c r="L3" s="12" t="s">
        <v>305</v>
      </c>
      <c r="M3" s="12" t="s">
        <v>305</v>
      </c>
      <c r="N3" s="12" t="s">
        <v>5</v>
      </c>
      <c r="O3" s="333" t="s">
        <v>329</v>
      </c>
      <c r="R3" s="36" t="s">
        <v>20</v>
      </c>
      <c r="S3" s="48" t="s">
        <v>1</v>
      </c>
      <c r="T3" s="48" t="s">
        <v>1</v>
      </c>
      <c r="U3" s="48" t="s">
        <v>1</v>
      </c>
      <c r="V3" s="48" t="s">
        <v>1</v>
      </c>
      <c r="Y3" s="36" t="s">
        <v>20</v>
      </c>
      <c r="Z3" s="48" t="s">
        <v>322</v>
      </c>
      <c r="AA3" s="141" t="s">
        <v>322</v>
      </c>
      <c r="AB3" s="141" t="s">
        <v>322</v>
      </c>
      <c r="AC3" s="141" t="s">
        <v>322</v>
      </c>
      <c r="AF3" s="36" t="s">
        <v>20</v>
      </c>
      <c r="AG3" s="48" t="s">
        <v>306</v>
      </c>
      <c r="AH3" s="141" t="s">
        <v>306</v>
      </c>
      <c r="AI3" s="141" t="s">
        <v>306</v>
      </c>
      <c r="AJ3" s="141" t="s">
        <v>306</v>
      </c>
      <c r="AK3" s="17"/>
    </row>
    <row r="4" spans="1:45" x14ac:dyDescent="0.25">
      <c r="A4" s="16">
        <v>1986</v>
      </c>
      <c r="B4" s="15">
        <f>S4+Z4</f>
        <v>683748.5893929</v>
      </c>
      <c r="C4" s="15">
        <f>T4+AA4</f>
        <v>18421.29223721</v>
      </c>
      <c r="D4" s="15">
        <f>U4+AB4</f>
        <v>121347.12749422601</v>
      </c>
      <c r="E4" s="15">
        <f>V4+AC4</f>
        <v>14760.929453409999</v>
      </c>
      <c r="F4" s="15">
        <f>SUM(B4:E4)</f>
        <v>838277.93857774592</v>
      </c>
      <c r="G4" s="5"/>
      <c r="I4" s="16">
        <v>1986</v>
      </c>
      <c r="J4" s="15">
        <f>S4+AG4</f>
        <v>683748.58939290012</v>
      </c>
      <c r="K4" s="15">
        <f t="shared" ref="K4:M4" si="0">T4+AH4</f>
        <v>18302.13059207</v>
      </c>
      <c r="L4" s="15">
        <f t="shared" si="0"/>
        <v>121872.20077350998</v>
      </c>
      <c r="M4" s="15">
        <f t="shared" si="0"/>
        <v>14760.929453409997</v>
      </c>
      <c r="N4" s="15">
        <f>SUM(J4:M4)</f>
        <v>838683.85021189018</v>
      </c>
      <c r="O4" s="5"/>
      <c r="R4" s="30">
        <v>1986</v>
      </c>
      <c r="S4" s="5">
        <v>230042</v>
      </c>
      <c r="T4" s="5">
        <v>0</v>
      </c>
      <c r="U4" s="5">
        <v>0</v>
      </c>
      <c r="V4" s="5">
        <v>0</v>
      </c>
      <c r="Y4" s="30">
        <v>1986</v>
      </c>
      <c r="Z4" s="5">
        <v>453706.58939290006</v>
      </c>
      <c r="AA4" s="5">
        <v>18421.29223721</v>
      </c>
      <c r="AB4" s="5">
        <v>121347.12749422601</v>
      </c>
      <c r="AC4" s="5">
        <v>14760.929453409999</v>
      </c>
      <c r="AF4" s="30">
        <v>1986</v>
      </c>
      <c r="AG4" s="5">
        <v>453706.58939290012</v>
      </c>
      <c r="AH4" s="5">
        <v>18302.13059207</v>
      </c>
      <c r="AI4" s="5">
        <v>121872.20077350998</v>
      </c>
      <c r="AJ4" s="5">
        <v>14760.929453409997</v>
      </c>
      <c r="AK4" s="17"/>
    </row>
    <row r="5" spans="1:45" x14ac:dyDescent="0.25">
      <c r="A5" s="16">
        <v>1987</v>
      </c>
      <c r="B5" s="15">
        <f t="shared" ref="B5:B35" si="1">S5+Z5</f>
        <v>935838.52715354599</v>
      </c>
      <c r="C5" s="15">
        <f t="shared" ref="C5:C35" si="2">T5+AA5</f>
        <v>67763.252662771003</v>
      </c>
      <c r="D5" s="15">
        <f t="shared" ref="D5:D35" si="3">U5+AB5</f>
        <v>156072.58221820404</v>
      </c>
      <c r="E5" s="15">
        <f t="shared" ref="E5:E35" si="4">V5+AC5</f>
        <v>12118.053479800001</v>
      </c>
      <c r="F5" s="15">
        <f t="shared" ref="F5:F27" si="5">SUM(B5:E5)</f>
        <v>1171792.4155143211</v>
      </c>
      <c r="G5" s="5"/>
      <c r="I5" s="16">
        <v>1987</v>
      </c>
      <c r="J5" s="15">
        <f t="shared" ref="J5:M5" si="6">S5+AG5</f>
        <v>941354.81109314587</v>
      </c>
      <c r="K5" s="15">
        <f t="shared" si="6"/>
        <v>86508.980683770991</v>
      </c>
      <c r="L5" s="15">
        <f t="shared" si="6"/>
        <v>156381.52628053309</v>
      </c>
      <c r="M5" s="15">
        <f t="shared" si="6"/>
        <v>12118.053479800001</v>
      </c>
      <c r="N5" s="15">
        <f t="shared" ref="N5:N27" si="7">SUM(J5:M5)</f>
        <v>1196363.37153725</v>
      </c>
      <c r="O5" s="5"/>
      <c r="R5" s="30">
        <v>1987</v>
      </c>
      <c r="S5" s="5">
        <v>366614</v>
      </c>
      <c r="T5" s="5">
        <v>0</v>
      </c>
      <c r="U5" s="5">
        <v>0</v>
      </c>
      <c r="V5" s="5">
        <v>0</v>
      </c>
      <c r="Y5" s="30">
        <v>1987</v>
      </c>
      <c r="Z5" s="5">
        <v>569224.52715354599</v>
      </c>
      <c r="AA5" s="5">
        <v>67763.252662771003</v>
      </c>
      <c r="AB5" s="5">
        <v>156072.58221820404</v>
      </c>
      <c r="AC5" s="5">
        <v>12118.053479800001</v>
      </c>
      <c r="AF5" s="30">
        <v>1987</v>
      </c>
      <c r="AG5" s="5">
        <v>574740.81109314587</v>
      </c>
      <c r="AH5" s="5">
        <v>86508.980683770991</v>
      </c>
      <c r="AI5" s="5">
        <v>156381.52628053309</v>
      </c>
      <c r="AJ5" s="5">
        <v>12118.053479800001</v>
      </c>
      <c r="AK5" s="17"/>
    </row>
    <row r="6" spans="1:45" x14ac:dyDescent="0.25">
      <c r="A6" s="16">
        <v>1988</v>
      </c>
      <c r="B6" s="15">
        <f t="shared" si="1"/>
        <v>831784.04769530101</v>
      </c>
      <c r="C6" s="15">
        <f t="shared" si="2"/>
        <v>484783.15181320003</v>
      </c>
      <c r="D6" s="15">
        <f t="shared" si="3"/>
        <v>181240.24330458787</v>
      </c>
      <c r="E6" s="15">
        <f t="shared" si="4"/>
        <v>360842.33988430002</v>
      </c>
      <c r="F6" s="15">
        <f t="shared" si="5"/>
        <v>1858649.7826973889</v>
      </c>
      <c r="G6" s="5"/>
      <c r="H6" s="5"/>
      <c r="I6" s="16">
        <v>1988</v>
      </c>
      <c r="J6" s="15">
        <f t="shared" ref="J6:M6" si="8">S6+AG6</f>
        <v>825960.26080615108</v>
      </c>
      <c r="K6" s="15">
        <f t="shared" si="8"/>
        <v>481647.06024130003</v>
      </c>
      <c r="L6" s="15">
        <f t="shared" si="8"/>
        <v>181213.90150664389</v>
      </c>
      <c r="M6" s="15">
        <f t="shared" si="8"/>
        <v>360842.33988430002</v>
      </c>
      <c r="N6" s="15">
        <f t="shared" si="7"/>
        <v>1849663.5624383951</v>
      </c>
      <c r="O6" s="5"/>
      <c r="R6" s="30">
        <v>1988</v>
      </c>
      <c r="S6" s="5">
        <v>356464</v>
      </c>
      <c r="T6" s="5">
        <v>0</v>
      </c>
      <c r="U6" s="5">
        <v>0</v>
      </c>
      <c r="V6" s="5">
        <v>0</v>
      </c>
      <c r="Y6" s="30">
        <v>1988</v>
      </c>
      <c r="Z6" s="5">
        <v>475320.04769530101</v>
      </c>
      <c r="AA6" s="5">
        <v>484783.15181320003</v>
      </c>
      <c r="AB6" s="5">
        <v>181240.24330458787</v>
      </c>
      <c r="AC6" s="5">
        <v>360842.33988430002</v>
      </c>
      <c r="AF6" s="30">
        <v>1988</v>
      </c>
      <c r="AG6" s="5">
        <v>469496.26080615108</v>
      </c>
      <c r="AH6" s="5">
        <v>481647.06024130003</v>
      </c>
      <c r="AI6" s="5">
        <v>181213.90150664389</v>
      </c>
      <c r="AJ6" s="5">
        <v>360842.33988430002</v>
      </c>
      <c r="AK6" s="17"/>
    </row>
    <row r="7" spans="1:45" x14ac:dyDescent="0.25">
      <c r="A7" s="16">
        <v>1989</v>
      </c>
      <c r="B7" s="15">
        <f t="shared" si="1"/>
        <v>892750.34765706793</v>
      </c>
      <c r="C7" s="15">
        <f t="shared" si="2"/>
        <v>360971.04252739</v>
      </c>
      <c r="D7" s="15">
        <f t="shared" si="3"/>
        <v>137692.20931362896</v>
      </c>
      <c r="E7" s="15">
        <f t="shared" si="4"/>
        <v>15130.572430999997</v>
      </c>
      <c r="F7" s="15">
        <f t="shared" si="5"/>
        <v>1406544.1719290868</v>
      </c>
      <c r="G7" s="5"/>
      <c r="H7" s="5"/>
      <c r="I7" s="16">
        <v>1989</v>
      </c>
      <c r="J7" s="15">
        <f t="shared" ref="J7:M7" si="9">S7+AG7</f>
        <v>885871.04906831845</v>
      </c>
      <c r="K7" s="15">
        <f t="shared" si="9"/>
        <v>442893.90913149004</v>
      </c>
      <c r="L7" s="15">
        <f t="shared" si="9"/>
        <v>138150.22443446796</v>
      </c>
      <c r="M7" s="15">
        <f t="shared" si="9"/>
        <v>15130.572430999997</v>
      </c>
      <c r="N7" s="15">
        <f t="shared" si="7"/>
        <v>1482045.7550652763</v>
      </c>
      <c r="O7" s="5"/>
      <c r="R7" s="30">
        <v>1989</v>
      </c>
      <c r="S7" s="5">
        <v>360406</v>
      </c>
      <c r="T7" s="5">
        <v>0</v>
      </c>
      <c r="U7" s="5">
        <v>0</v>
      </c>
      <c r="V7" s="5">
        <v>0</v>
      </c>
      <c r="Y7" s="30">
        <v>1989</v>
      </c>
      <c r="Z7" s="5">
        <v>532344.34765706793</v>
      </c>
      <c r="AA7" s="5">
        <v>360971.04252739</v>
      </c>
      <c r="AB7" s="5">
        <v>137692.20931362896</v>
      </c>
      <c r="AC7" s="5">
        <v>15130.572430999997</v>
      </c>
      <c r="AF7" s="30">
        <v>1989</v>
      </c>
      <c r="AG7" s="5">
        <v>525465.04906831845</v>
      </c>
      <c r="AH7" s="5">
        <v>442893.90913149004</v>
      </c>
      <c r="AI7" s="5">
        <v>138150.22443446796</v>
      </c>
      <c r="AJ7" s="5">
        <v>15130.572430999997</v>
      </c>
      <c r="AK7" s="17"/>
    </row>
    <row r="8" spans="1:45" x14ac:dyDescent="0.25">
      <c r="A8" s="16">
        <v>1990</v>
      </c>
      <c r="B8" s="15">
        <f t="shared" si="1"/>
        <v>2043327.7761729783</v>
      </c>
      <c r="C8" s="15">
        <f t="shared" si="2"/>
        <v>66132.181876899995</v>
      </c>
      <c r="D8" s="15">
        <f t="shared" si="3"/>
        <v>89153.108473609958</v>
      </c>
      <c r="E8" s="15">
        <f t="shared" si="4"/>
        <v>51775.557473000001</v>
      </c>
      <c r="F8" s="15">
        <f t="shared" si="5"/>
        <v>2250388.6239964887</v>
      </c>
      <c r="G8" s="5"/>
      <c r="H8" s="5"/>
      <c r="I8" s="16">
        <v>1990</v>
      </c>
      <c r="J8" s="15">
        <f t="shared" ref="J8:M8" si="10">S8+AG8</f>
        <v>1942939.1665226792</v>
      </c>
      <c r="K8" s="15">
        <f t="shared" si="10"/>
        <v>108857.22537099999</v>
      </c>
      <c r="L8" s="15">
        <f t="shared" si="10"/>
        <v>89060.056869369961</v>
      </c>
      <c r="M8" s="15">
        <f t="shared" si="10"/>
        <v>51775.557473000008</v>
      </c>
      <c r="N8" s="15">
        <f t="shared" si="7"/>
        <v>2192632.0062360493</v>
      </c>
      <c r="O8" s="5"/>
      <c r="R8" s="30">
        <v>1990</v>
      </c>
      <c r="S8" s="5">
        <v>441871</v>
      </c>
      <c r="T8" s="5">
        <v>0</v>
      </c>
      <c r="U8" s="5">
        <v>0</v>
      </c>
      <c r="V8" s="5">
        <v>0</v>
      </c>
      <c r="Y8" s="30">
        <v>1990</v>
      </c>
      <c r="Z8" s="5">
        <v>1601456.7761729783</v>
      </c>
      <c r="AA8" s="5">
        <v>66132.181876899995</v>
      </c>
      <c r="AB8" s="5">
        <v>89153.108473609958</v>
      </c>
      <c r="AC8" s="5">
        <v>51775.557473000001</v>
      </c>
      <c r="AF8" s="30">
        <v>1990</v>
      </c>
      <c r="AG8" s="5">
        <v>1501068.1665226792</v>
      </c>
      <c r="AH8" s="5">
        <v>108857.22537099999</v>
      </c>
      <c r="AI8" s="5">
        <v>89060.056869369961</v>
      </c>
      <c r="AJ8" s="5">
        <v>51775.557473000008</v>
      </c>
      <c r="AK8" s="17"/>
    </row>
    <row r="9" spans="1:45" x14ac:dyDescent="0.25">
      <c r="A9" s="16">
        <v>1991</v>
      </c>
      <c r="B9" s="15">
        <f t="shared" si="1"/>
        <v>1453981.955765221</v>
      </c>
      <c r="C9" s="15">
        <f t="shared" si="2"/>
        <v>303964.20061668998</v>
      </c>
      <c r="D9" s="15">
        <f t="shared" si="3"/>
        <v>107328.34099509998</v>
      </c>
      <c r="E9" s="15">
        <f t="shared" si="4"/>
        <v>1029.6363839999999</v>
      </c>
      <c r="F9" s="15">
        <f t="shared" si="5"/>
        <v>1866304.1337610111</v>
      </c>
      <c r="G9" s="5"/>
      <c r="H9" s="5"/>
      <c r="I9" s="16">
        <v>1991</v>
      </c>
      <c r="J9" s="15">
        <f t="shared" ref="J9:M9" si="11">S9+AG9</f>
        <v>1425923.1356100016</v>
      </c>
      <c r="K9" s="15">
        <f t="shared" si="11"/>
        <v>325296.82282079</v>
      </c>
      <c r="L9" s="15">
        <f t="shared" si="11"/>
        <v>107288.20215197999</v>
      </c>
      <c r="M9" s="15">
        <f t="shared" si="11"/>
        <v>1029.6363839999999</v>
      </c>
      <c r="N9" s="15">
        <f t="shared" si="7"/>
        <v>1859537.7969667718</v>
      </c>
      <c r="O9" s="5"/>
      <c r="R9" s="30">
        <v>1991</v>
      </c>
      <c r="S9" s="5">
        <v>386663</v>
      </c>
      <c r="T9" s="5">
        <v>0</v>
      </c>
      <c r="U9" s="5">
        <v>0</v>
      </c>
      <c r="V9" s="5">
        <v>0</v>
      </c>
      <c r="Y9" s="30">
        <v>1991</v>
      </c>
      <c r="Z9" s="5">
        <v>1067318.955765221</v>
      </c>
      <c r="AA9" s="5">
        <v>303964.20061668998</v>
      </c>
      <c r="AB9" s="5">
        <v>107328.34099509998</v>
      </c>
      <c r="AC9" s="5">
        <v>1029.6363839999999</v>
      </c>
      <c r="AF9" s="30">
        <v>1991</v>
      </c>
      <c r="AG9" s="5">
        <v>1039260.1356100017</v>
      </c>
      <c r="AH9" s="5">
        <v>325296.82282079</v>
      </c>
      <c r="AI9" s="5">
        <v>107288.20215197999</v>
      </c>
      <c r="AJ9" s="5">
        <v>1029.6363839999999</v>
      </c>
      <c r="AK9" s="17"/>
    </row>
    <row r="10" spans="1:45" x14ac:dyDescent="0.25">
      <c r="A10" s="16">
        <v>1992</v>
      </c>
      <c r="B10" s="15">
        <f t="shared" si="1"/>
        <v>1547530.92440387</v>
      </c>
      <c r="C10" s="15">
        <f t="shared" si="2"/>
        <v>194814.92960936998</v>
      </c>
      <c r="D10" s="15">
        <f t="shared" si="3"/>
        <v>147476.71806687495</v>
      </c>
      <c r="E10" s="15">
        <f t="shared" si="4"/>
        <v>36763.632783000001</v>
      </c>
      <c r="F10" s="15">
        <f t="shared" si="5"/>
        <v>1926586.2048631147</v>
      </c>
      <c r="G10" s="5"/>
      <c r="I10" s="16">
        <v>1992</v>
      </c>
      <c r="J10" s="15">
        <f t="shared" ref="J10:M10" si="12">S10+AG10</f>
        <v>1576845.5874956707</v>
      </c>
      <c r="K10" s="15">
        <f t="shared" si="12"/>
        <v>214561.63253907999</v>
      </c>
      <c r="L10" s="15">
        <f t="shared" si="12"/>
        <v>147313.67361917492</v>
      </c>
      <c r="M10" s="15">
        <f t="shared" si="12"/>
        <v>36763.632783000001</v>
      </c>
      <c r="N10" s="15">
        <f t="shared" si="7"/>
        <v>1975484.5264369254</v>
      </c>
      <c r="O10" s="5"/>
      <c r="R10" s="30">
        <v>1992</v>
      </c>
      <c r="S10" s="5">
        <v>259774</v>
      </c>
      <c r="T10" s="5">
        <v>0</v>
      </c>
      <c r="U10" s="5">
        <v>0</v>
      </c>
      <c r="V10" s="5">
        <v>2918</v>
      </c>
      <c r="Y10" s="30">
        <v>1992</v>
      </c>
      <c r="Z10" s="5">
        <v>1287756.92440387</v>
      </c>
      <c r="AA10" s="5">
        <v>194814.92960936998</v>
      </c>
      <c r="AB10" s="5">
        <v>147476.71806687495</v>
      </c>
      <c r="AC10" s="5">
        <v>33845.632783000001</v>
      </c>
      <c r="AF10" s="30">
        <v>1992</v>
      </c>
      <c r="AG10" s="5">
        <v>1317071.5874956707</v>
      </c>
      <c r="AH10" s="5">
        <v>214561.63253907999</v>
      </c>
      <c r="AI10" s="5">
        <v>147313.67361917492</v>
      </c>
      <c r="AJ10" s="5">
        <v>33845.632783000001</v>
      </c>
      <c r="AK10" s="17"/>
    </row>
    <row r="11" spans="1:45" x14ac:dyDescent="0.25">
      <c r="A11" s="16">
        <v>1993</v>
      </c>
      <c r="B11" s="15">
        <f t="shared" si="1"/>
        <v>1180475.8228959099</v>
      </c>
      <c r="C11" s="15">
        <f t="shared" si="2"/>
        <v>62247.335335629992</v>
      </c>
      <c r="D11" s="15">
        <f t="shared" si="3"/>
        <v>84023.528079469994</v>
      </c>
      <c r="E11" s="15">
        <f t="shared" si="4"/>
        <v>68569.476811</v>
      </c>
      <c r="F11" s="15">
        <f t="shared" si="5"/>
        <v>1395316.1631220097</v>
      </c>
      <c r="G11" s="5"/>
      <c r="I11" s="16">
        <v>1993</v>
      </c>
      <c r="J11" s="15">
        <f t="shared" ref="J11:M11" si="13">S11+AG11</f>
        <v>1173428.5318365097</v>
      </c>
      <c r="K11" s="15">
        <f t="shared" si="13"/>
        <v>59091.14308550999</v>
      </c>
      <c r="L11" s="15">
        <f t="shared" si="13"/>
        <v>84498.565772519985</v>
      </c>
      <c r="M11" s="15">
        <f t="shared" si="13"/>
        <v>68569.476810999986</v>
      </c>
      <c r="N11" s="15">
        <f t="shared" si="7"/>
        <v>1385587.7175055395</v>
      </c>
      <c r="O11" s="5"/>
      <c r="R11" s="30">
        <v>1993</v>
      </c>
      <c r="S11" s="5">
        <v>249164</v>
      </c>
      <c r="T11" s="5">
        <v>0</v>
      </c>
      <c r="U11" s="5">
        <v>0</v>
      </c>
      <c r="V11" s="5">
        <v>5342</v>
      </c>
      <c r="Y11" s="30">
        <v>1993</v>
      </c>
      <c r="Z11" s="5">
        <v>931311.82289590989</v>
      </c>
      <c r="AA11" s="5">
        <v>62247.335335629992</v>
      </c>
      <c r="AB11" s="5">
        <v>84023.528079469994</v>
      </c>
      <c r="AC11" s="5">
        <v>63227.476811</v>
      </c>
      <c r="AF11" s="30">
        <v>1993</v>
      </c>
      <c r="AG11" s="5">
        <v>924264.53183650959</v>
      </c>
      <c r="AH11" s="5">
        <v>59091.14308550999</v>
      </c>
      <c r="AI11" s="5">
        <v>84498.565772519985</v>
      </c>
      <c r="AJ11" s="5">
        <v>63227.476810999986</v>
      </c>
      <c r="AK11" s="17"/>
    </row>
    <row r="12" spans="1:45" x14ac:dyDescent="0.25">
      <c r="A12" s="16">
        <v>1994</v>
      </c>
      <c r="B12" s="15">
        <f t="shared" si="1"/>
        <v>1317425.2407230178</v>
      </c>
      <c r="C12" s="15">
        <f t="shared" si="2"/>
        <v>28708.654248212999</v>
      </c>
      <c r="D12" s="15">
        <f t="shared" si="3"/>
        <v>76340.096454810002</v>
      </c>
      <c r="E12" s="15">
        <f t="shared" si="4"/>
        <v>102185.66791189002</v>
      </c>
      <c r="F12" s="15">
        <f t="shared" si="5"/>
        <v>1524659.6593379308</v>
      </c>
      <c r="G12" s="5"/>
      <c r="I12" s="16">
        <v>1994</v>
      </c>
      <c r="J12" s="15">
        <f t="shared" ref="J12:M12" si="14">S12+AG12</f>
        <v>1302437.0025709178</v>
      </c>
      <c r="K12" s="15">
        <f t="shared" si="14"/>
        <v>32146.009871202994</v>
      </c>
      <c r="L12" s="15">
        <f t="shared" si="14"/>
        <v>76693.796443930027</v>
      </c>
      <c r="M12" s="15">
        <f t="shared" si="14"/>
        <v>101743.99352264999</v>
      </c>
      <c r="N12" s="15">
        <f t="shared" si="7"/>
        <v>1513020.802408701</v>
      </c>
      <c r="O12" s="5"/>
      <c r="R12" s="30">
        <v>1994</v>
      </c>
      <c r="S12" s="5">
        <v>307476</v>
      </c>
      <c r="T12" s="5">
        <v>0</v>
      </c>
      <c r="U12" s="5">
        <v>0</v>
      </c>
      <c r="V12" s="5">
        <v>21258</v>
      </c>
      <c r="Y12" s="30">
        <v>1994</v>
      </c>
      <c r="Z12" s="5">
        <v>1009949.2407230178</v>
      </c>
      <c r="AA12" s="5">
        <v>28708.654248212999</v>
      </c>
      <c r="AB12" s="5">
        <v>76340.096454810002</v>
      </c>
      <c r="AC12" s="5">
        <v>80927.667911890021</v>
      </c>
      <c r="AF12" s="30">
        <v>1994</v>
      </c>
      <c r="AG12" s="5">
        <v>994961.00257091795</v>
      </c>
      <c r="AH12" s="5">
        <v>32146.009871202994</v>
      </c>
      <c r="AI12" s="5">
        <v>76693.796443930027</v>
      </c>
      <c r="AJ12" s="5">
        <v>80485.993522649995</v>
      </c>
      <c r="AK12" s="17"/>
    </row>
    <row r="13" spans="1:45" x14ac:dyDescent="0.25">
      <c r="A13" s="16">
        <v>1995</v>
      </c>
      <c r="B13" s="15">
        <f t="shared" si="1"/>
        <v>790159.47074252204</v>
      </c>
      <c r="C13" s="15">
        <f t="shared" si="2"/>
        <v>24090.8615894586</v>
      </c>
      <c r="D13" s="15">
        <f t="shared" si="3"/>
        <v>80091.042063633009</v>
      </c>
      <c r="E13" s="15">
        <f t="shared" si="4"/>
        <v>51775.491047214004</v>
      </c>
      <c r="F13" s="15">
        <f t="shared" si="5"/>
        <v>946116.86544282769</v>
      </c>
      <c r="G13" s="5"/>
      <c r="I13" s="16">
        <v>1995</v>
      </c>
      <c r="J13" s="15">
        <f t="shared" ref="J13:M13" si="15">S13+AG13</f>
        <v>801237.00871931179</v>
      </c>
      <c r="K13" s="15">
        <f t="shared" si="15"/>
        <v>20602.8296664136</v>
      </c>
      <c r="L13" s="15">
        <f t="shared" si="15"/>
        <v>80111.148564432995</v>
      </c>
      <c r="M13" s="15">
        <f t="shared" si="15"/>
        <v>53264.18776565</v>
      </c>
      <c r="N13" s="15">
        <f t="shared" si="7"/>
        <v>955215.17471580836</v>
      </c>
      <c r="O13" s="5"/>
      <c r="R13" s="30">
        <v>1995</v>
      </c>
      <c r="S13" s="5">
        <v>312508</v>
      </c>
      <c r="T13" s="5">
        <v>0</v>
      </c>
      <c r="U13" s="5">
        <v>0</v>
      </c>
      <c r="V13" s="5">
        <v>27150</v>
      </c>
      <c r="Y13" s="30">
        <v>1995</v>
      </c>
      <c r="Z13" s="5">
        <v>477651.47074252198</v>
      </c>
      <c r="AA13" s="5">
        <v>24090.8615894586</v>
      </c>
      <c r="AB13" s="5">
        <v>80091.042063633009</v>
      </c>
      <c r="AC13" s="5">
        <v>24625.491047214</v>
      </c>
      <c r="AF13" s="30">
        <v>1995</v>
      </c>
      <c r="AG13" s="5">
        <v>488729.00871931185</v>
      </c>
      <c r="AH13" s="5">
        <v>20602.8296664136</v>
      </c>
      <c r="AI13" s="5">
        <v>80111.148564432995</v>
      </c>
      <c r="AJ13" s="5">
        <v>26114.187765650004</v>
      </c>
      <c r="AK13" s="17"/>
    </row>
    <row r="14" spans="1:45" x14ac:dyDescent="0.25">
      <c r="A14" s="16">
        <v>1996</v>
      </c>
      <c r="B14" s="15">
        <f t="shared" si="1"/>
        <v>873689.0523910278</v>
      </c>
      <c r="C14" s="15">
        <f t="shared" si="2"/>
        <v>6129.0136033300005</v>
      </c>
      <c r="D14" s="15">
        <f t="shared" si="3"/>
        <v>40569.493285750003</v>
      </c>
      <c r="E14" s="15">
        <f t="shared" si="4"/>
        <v>124442.83245289</v>
      </c>
      <c r="F14" s="15">
        <f t="shared" si="5"/>
        <v>1044830.3917329978</v>
      </c>
      <c r="G14" s="5"/>
      <c r="I14" s="16">
        <v>1996</v>
      </c>
      <c r="J14" s="15">
        <f t="shared" ref="J14:M14" si="16">S14+AG14</f>
        <v>922103.13724647823</v>
      </c>
      <c r="K14" s="15">
        <f t="shared" si="16"/>
        <v>6089.6966078700007</v>
      </c>
      <c r="L14" s="15">
        <f t="shared" si="16"/>
        <v>40510.904602809991</v>
      </c>
      <c r="M14" s="15">
        <f t="shared" si="16"/>
        <v>215563.93775748994</v>
      </c>
      <c r="N14" s="15">
        <f t="shared" si="7"/>
        <v>1184267.6762146482</v>
      </c>
      <c r="O14" s="5"/>
      <c r="R14" s="30">
        <v>1996</v>
      </c>
      <c r="S14" s="5">
        <v>267584</v>
      </c>
      <c r="T14" s="5">
        <v>0</v>
      </c>
      <c r="U14" s="5">
        <v>0</v>
      </c>
      <c r="V14" s="5">
        <v>18795</v>
      </c>
      <c r="Y14" s="30">
        <v>1996</v>
      </c>
      <c r="Z14" s="5">
        <v>606105.0523910278</v>
      </c>
      <c r="AA14" s="5">
        <v>6129.0136033300005</v>
      </c>
      <c r="AB14" s="5">
        <v>40569.493285750003</v>
      </c>
      <c r="AC14" s="5">
        <v>105647.83245289</v>
      </c>
      <c r="AF14" s="30">
        <v>1996</v>
      </c>
      <c r="AG14" s="5">
        <v>654519.13724647823</v>
      </c>
      <c r="AH14" s="5">
        <v>6089.6966078700007</v>
      </c>
      <c r="AI14" s="5">
        <v>40510.904602809991</v>
      </c>
      <c r="AJ14" s="5">
        <v>196768.93775748994</v>
      </c>
      <c r="AK14" s="17"/>
    </row>
    <row r="15" spans="1:45" x14ac:dyDescent="0.25">
      <c r="A15" s="16">
        <v>1997</v>
      </c>
      <c r="B15" s="15">
        <f t="shared" si="1"/>
        <v>786272.99264079495</v>
      </c>
      <c r="C15" s="15">
        <f t="shared" si="2"/>
        <v>26650.915381539999</v>
      </c>
      <c r="D15" s="15">
        <f t="shared" si="3"/>
        <v>64772.934866133008</v>
      </c>
      <c r="E15" s="15">
        <f t="shared" si="4"/>
        <v>15929.721593999997</v>
      </c>
      <c r="F15" s="15">
        <f t="shared" si="5"/>
        <v>893626.56448246795</v>
      </c>
      <c r="G15" s="5"/>
      <c r="I15" s="16">
        <v>1997</v>
      </c>
      <c r="J15" s="15">
        <f t="shared" ref="J15:M15" si="17">S15+AG15</f>
        <v>789605.374243445</v>
      </c>
      <c r="K15" s="15">
        <f t="shared" si="17"/>
        <v>17533.989109360005</v>
      </c>
      <c r="L15" s="15">
        <f t="shared" si="17"/>
        <v>70359.542526943027</v>
      </c>
      <c r="M15" s="15">
        <f t="shared" si="17"/>
        <v>15929.721593999997</v>
      </c>
      <c r="N15" s="15">
        <f t="shared" si="7"/>
        <v>893428.62747374806</v>
      </c>
      <c r="O15" s="5"/>
      <c r="R15" s="30">
        <v>1997</v>
      </c>
      <c r="S15" s="5">
        <v>382329</v>
      </c>
      <c r="T15" s="5">
        <v>0</v>
      </c>
      <c r="U15" s="5">
        <v>0</v>
      </c>
      <c r="V15" s="5">
        <v>9573</v>
      </c>
      <c r="Y15" s="30">
        <v>1997</v>
      </c>
      <c r="Z15" s="5">
        <v>403943.99264079495</v>
      </c>
      <c r="AA15" s="5">
        <v>26650.915381539999</v>
      </c>
      <c r="AB15" s="5">
        <v>64772.934866133008</v>
      </c>
      <c r="AC15" s="5">
        <v>6356.7215939999969</v>
      </c>
      <c r="AF15" s="30">
        <v>1997</v>
      </c>
      <c r="AG15" s="5">
        <v>407276.374243445</v>
      </c>
      <c r="AH15" s="5">
        <v>17533.989109360005</v>
      </c>
      <c r="AI15" s="5">
        <v>70359.542526943027</v>
      </c>
      <c r="AJ15" s="5">
        <v>6356.7215939999969</v>
      </c>
      <c r="AK15" s="17"/>
    </row>
    <row r="16" spans="1:45" x14ac:dyDescent="0.25">
      <c r="A16" s="16">
        <v>1998</v>
      </c>
      <c r="B16" s="15">
        <f t="shared" si="1"/>
        <v>990888.47486432991</v>
      </c>
      <c r="C16" s="15">
        <f t="shared" si="2"/>
        <v>49313.296559940005</v>
      </c>
      <c r="D16" s="15">
        <f t="shared" si="3"/>
        <v>53172.581371389999</v>
      </c>
      <c r="E16" s="15">
        <f t="shared" si="4"/>
        <v>122469.89311782489</v>
      </c>
      <c r="F16" s="15">
        <f t="shared" si="5"/>
        <v>1215844.2459134846</v>
      </c>
      <c r="G16" s="5"/>
      <c r="I16" s="16">
        <v>1998</v>
      </c>
      <c r="J16" s="15">
        <f t="shared" ref="J16:M16" si="18">S16+AG16</f>
        <v>1087689.0311079598</v>
      </c>
      <c r="K16" s="15">
        <f t="shared" si="18"/>
        <v>49313.296559940005</v>
      </c>
      <c r="L16" s="15">
        <f t="shared" si="18"/>
        <v>53086.843294169972</v>
      </c>
      <c r="M16" s="15">
        <f t="shared" si="18"/>
        <v>162134.98564849503</v>
      </c>
      <c r="N16" s="15">
        <f t="shared" si="7"/>
        <v>1352224.1566105648</v>
      </c>
      <c r="O16" s="5"/>
      <c r="R16" s="30">
        <v>1998</v>
      </c>
      <c r="S16" s="5">
        <v>275275</v>
      </c>
      <c r="T16" s="5">
        <v>0</v>
      </c>
      <c r="U16" s="5">
        <v>0</v>
      </c>
      <c r="V16" s="5">
        <v>4342</v>
      </c>
      <c r="Y16" s="30">
        <v>1998</v>
      </c>
      <c r="Z16" s="5">
        <v>715613.47486432991</v>
      </c>
      <c r="AA16" s="5">
        <v>49313.296559940005</v>
      </c>
      <c r="AB16" s="5">
        <v>53172.581371389999</v>
      </c>
      <c r="AC16" s="5">
        <v>118127.89311782489</v>
      </c>
      <c r="AF16" s="30">
        <v>1998</v>
      </c>
      <c r="AG16" s="5">
        <v>812414.03110795992</v>
      </c>
      <c r="AH16" s="5">
        <v>49313.296559940005</v>
      </c>
      <c r="AI16" s="5">
        <v>53086.843294169972</v>
      </c>
      <c r="AJ16" s="5">
        <v>157792.98564849503</v>
      </c>
      <c r="AK16" s="17"/>
    </row>
    <row r="17" spans="1:80" x14ac:dyDescent="0.25">
      <c r="A17" s="16">
        <v>1999</v>
      </c>
      <c r="B17" s="15">
        <f t="shared" si="1"/>
        <v>710735.02721870795</v>
      </c>
      <c r="C17" s="15">
        <f t="shared" si="2"/>
        <v>52433.174993339999</v>
      </c>
      <c r="D17" s="15">
        <f t="shared" si="3"/>
        <v>117542.08973488001</v>
      </c>
      <c r="E17" s="15">
        <f t="shared" si="4"/>
        <v>212820.83349909997</v>
      </c>
      <c r="F17" s="15">
        <f t="shared" si="5"/>
        <v>1093531.1254460281</v>
      </c>
      <c r="G17" s="5"/>
      <c r="I17" s="16">
        <v>1999</v>
      </c>
      <c r="J17" s="15">
        <f t="shared" ref="J17:M17" si="19">S17+AG17</f>
        <v>690371.69920340041</v>
      </c>
      <c r="K17" s="15">
        <f t="shared" si="19"/>
        <v>50887.260700209998</v>
      </c>
      <c r="L17" s="15">
        <f t="shared" si="19"/>
        <v>119910.95310888004</v>
      </c>
      <c r="M17" s="15">
        <f t="shared" si="19"/>
        <v>193439.12731599994</v>
      </c>
      <c r="N17" s="15">
        <f t="shared" si="7"/>
        <v>1054609.0403284905</v>
      </c>
      <c r="O17" s="5"/>
      <c r="R17" s="30">
        <v>1999</v>
      </c>
      <c r="S17" s="5">
        <v>270102</v>
      </c>
      <c r="T17" s="5">
        <v>0</v>
      </c>
      <c r="U17" s="5">
        <v>0</v>
      </c>
      <c r="V17" s="5">
        <v>3095</v>
      </c>
      <c r="Y17" s="30">
        <v>1999</v>
      </c>
      <c r="Z17" s="5">
        <v>440633.02721870795</v>
      </c>
      <c r="AA17" s="5">
        <v>52433.174993339999</v>
      </c>
      <c r="AB17" s="5">
        <v>117542.08973488001</v>
      </c>
      <c r="AC17" s="5">
        <v>209725.83349909997</v>
      </c>
      <c r="AF17" s="30">
        <v>1999</v>
      </c>
      <c r="AG17" s="5">
        <v>420269.69920340035</v>
      </c>
      <c r="AH17" s="5">
        <v>50887.260700209998</v>
      </c>
      <c r="AI17" s="5">
        <v>119910.95310888004</v>
      </c>
      <c r="AJ17" s="5">
        <v>190344.12731599994</v>
      </c>
      <c r="AK17" s="17"/>
    </row>
    <row r="18" spans="1:80" x14ac:dyDescent="0.25">
      <c r="A18" s="16">
        <v>2000</v>
      </c>
      <c r="B18" s="15">
        <f t="shared" si="1"/>
        <v>616970.20025187102</v>
      </c>
      <c r="C18" s="15">
        <f t="shared" si="2"/>
        <v>39788.157675220005</v>
      </c>
      <c r="D18" s="15">
        <f t="shared" si="3"/>
        <v>166558.73095311099</v>
      </c>
      <c r="E18" s="15">
        <f t="shared" si="4"/>
        <v>136105.82489329998</v>
      </c>
      <c r="F18" s="15">
        <f t="shared" si="5"/>
        <v>959422.91377350199</v>
      </c>
      <c r="G18" s="5"/>
      <c r="I18" s="16">
        <v>2000</v>
      </c>
      <c r="J18" s="15">
        <f t="shared" ref="J18:M18" si="20">S18+AG18</f>
        <v>717047.67655487102</v>
      </c>
      <c r="K18" s="15">
        <f t="shared" si="20"/>
        <v>38686.362023380003</v>
      </c>
      <c r="L18" s="15">
        <f t="shared" si="20"/>
        <v>190153.65448970115</v>
      </c>
      <c r="M18" s="15">
        <f t="shared" si="20"/>
        <v>69755.000106699983</v>
      </c>
      <c r="N18" s="15">
        <f t="shared" si="7"/>
        <v>1015642.6931746522</v>
      </c>
      <c r="O18" s="5"/>
      <c r="R18" s="30">
        <v>2000</v>
      </c>
      <c r="S18" s="5">
        <v>249333</v>
      </c>
      <c r="T18" s="5">
        <v>0</v>
      </c>
      <c r="U18" s="5">
        <v>0</v>
      </c>
      <c r="V18" s="5">
        <v>3204</v>
      </c>
      <c r="Y18" s="30">
        <v>2000</v>
      </c>
      <c r="Z18" s="5">
        <v>367637.20025187102</v>
      </c>
      <c r="AA18" s="5">
        <v>39788.157675220005</v>
      </c>
      <c r="AB18" s="5">
        <v>166558.73095311099</v>
      </c>
      <c r="AC18" s="5">
        <v>132901.82489329998</v>
      </c>
      <c r="AF18" s="30">
        <v>2000</v>
      </c>
      <c r="AG18" s="5">
        <v>467714.67655487108</v>
      </c>
      <c r="AH18" s="5">
        <v>38686.362023380003</v>
      </c>
      <c r="AI18" s="5">
        <v>190153.65448970115</v>
      </c>
      <c r="AJ18" s="5">
        <v>66551.000106699983</v>
      </c>
      <c r="AK18" s="17"/>
    </row>
    <row r="19" spans="1:80" x14ac:dyDescent="0.25">
      <c r="A19" s="16">
        <v>2001</v>
      </c>
      <c r="B19" s="15">
        <f t="shared" si="1"/>
        <v>863615.15818114707</v>
      </c>
      <c r="C19" s="15">
        <f t="shared" si="2"/>
        <v>21636.8701973803</v>
      </c>
      <c r="D19" s="15">
        <f t="shared" si="3"/>
        <v>115353.31097334001</v>
      </c>
      <c r="E19" s="15">
        <f t="shared" si="4"/>
        <v>109423.604436842</v>
      </c>
      <c r="F19" s="15">
        <f t="shared" si="5"/>
        <v>1110028.9437887094</v>
      </c>
      <c r="G19" s="5"/>
      <c r="I19" s="16">
        <v>2001</v>
      </c>
      <c r="J19" s="15">
        <f t="shared" ref="J19:M19" si="21">S19+AG19</f>
        <v>862947.93659533688</v>
      </c>
      <c r="K19" s="15">
        <f t="shared" si="21"/>
        <v>16306.573121181498</v>
      </c>
      <c r="L19" s="15">
        <f t="shared" si="21"/>
        <v>115821.28729998998</v>
      </c>
      <c r="M19" s="15">
        <f t="shared" si="21"/>
        <v>79593.095842032024</v>
      </c>
      <c r="N19" s="15">
        <f t="shared" si="7"/>
        <v>1074668.8928585404</v>
      </c>
      <c r="O19" s="5"/>
      <c r="R19" s="30">
        <v>2001</v>
      </c>
      <c r="S19" s="5">
        <v>246312</v>
      </c>
      <c r="T19" s="5">
        <v>0</v>
      </c>
      <c r="U19" s="5">
        <v>0</v>
      </c>
      <c r="V19" s="5">
        <v>4015</v>
      </c>
      <c r="Y19" s="30">
        <v>2001</v>
      </c>
      <c r="Z19" s="5">
        <v>617303.15818114707</v>
      </c>
      <c r="AA19" s="5">
        <v>21636.8701973803</v>
      </c>
      <c r="AB19" s="5">
        <v>115353.31097334001</v>
      </c>
      <c r="AC19" s="5">
        <v>105408.604436842</v>
      </c>
      <c r="AF19" s="30">
        <v>2001</v>
      </c>
      <c r="AG19" s="5">
        <v>616635.93659533688</v>
      </c>
      <c r="AH19" s="5">
        <v>16306.573121181498</v>
      </c>
      <c r="AI19" s="5">
        <v>115821.28729998998</v>
      </c>
      <c r="AJ19" s="5">
        <v>75578.095842032024</v>
      </c>
      <c r="AK19" s="17"/>
    </row>
    <row r="20" spans="1:80" x14ac:dyDescent="0.25">
      <c r="A20" s="16">
        <v>2002</v>
      </c>
      <c r="B20" s="15">
        <f t="shared" si="1"/>
        <v>1066139.154769137</v>
      </c>
      <c r="C20" s="15">
        <f t="shared" si="2"/>
        <v>455456.39775108709</v>
      </c>
      <c r="D20" s="15">
        <f t="shared" si="3"/>
        <v>91166.69083931201</v>
      </c>
      <c r="E20" s="15">
        <f t="shared" si="4"/>
        <v>24238.773943234002</v>
      </c>
      <c r="F20" s="15">
        <f t="shared" si="5"/>
        <v>1637001.0173027702</v>
      </c>
      <c r="G20" s="5"/>
      <c r="I20" s="16">
        <v>2002</v>
      </c>
      <c r="J20" s="15">
        <f t="shared" ref="J20:M20" si="22">S20+AG20</f>
        <v>1086739.6873818471</v>
      </c>
      <c r="K20" s="15">
        <f t="shared" si="22"/>
        <v>465659.426481737</v>
      </c>
      <c r="L20" s="15">
        <f t="shared" si="22"/>
        <v>86266.973119231974</v>
      </c>
      <c r="M20" s="15">
        <f t="shared" si="22"/>
        <v>21661.278613873998</v>
      </c>
      <c r="N20" s="15">
        <f t="shared" si="7"/>
        <v>1660327.36559669</v>
      </c>
      <c r="O20" s="5"/>
      <c r="R20" s="30">
        <v>2002</v>
      </c>
      <c r="S20" s="5">
        <v>247817</v>
      </c>
      <c r="T20" s="5">
        <v>0</v>
      </c>
      <c r="U20" s="5">
        <v>0</v>
      </c>
      <c r="V20" s="5">
        <v>2719</v>
      </c>
      <c r="Y20" s="30">
        <v>2002</v>
      </c>
      <c r="Z20" s="5">
        <v>818322.15476913704</v>
      </c>
      <c r="AA20" s="5">
        <v>455456.39775108709</v>
      </c>
      <c r="AB20" s="5">
        <v>91166.69083931201</v>
      </c>
      <c r="AC20" s="5">
        <v>21519.773943234002</v>
      </c>
      <c r="AF20" s="30">
        <v>2002</v>
      </c>
      <c r="AG20" s="5">
        <v>838922.68738184706</v>
      </c>
      <c r="AH20" s="5">
        <v>465659.426481737</v>
      </c>
      <c r="AI20" s="5">
        <v>86266.973119231974</v>
      </c>
      <c r="AJ20" s="5">
        <v>18942.278613873998</v>
      </c>
      <c r="AK20" s="17"/>
    </row>
    <row r="21" spans="1:80" x14ac:dyDescent="0.25">
      <c r="A21" s="16">
        <v>2003</v>
      </c>
      <c r="B21" s="15">
        <f t="shared" si="1"/>
        <v>810404.03950595902</v>
      </c>
      <c r="C21" s="15">
        <f t="shared" si="2"/>
        <v>361533.16659054987</v>
      </c>
      <c r="D21" s="15">
        <f t="shared" si="3"/>
        <v>198594.06340797379</v>
      </c>
      <c r="E21" s="15">
        <f t="shared" si="4"/>
        <v>82124.128645399003</v>
      </c>
      <c r="F21" s="15">
        <f t="shared" si="5"/>
        <v>1452655.398149882</v>
      </c>
      <c r="G21" s="5"/>
      <c r="I21" s="16">
        <v>2003</v>
      </c>
      <c r="J21" s="15">
        <f t="shared" ref="J21:M21" si="23">S21+AG21</f>
        <v>853996.48984417983</v>
      </c>
      <c r="K21" s="15">
        <f t="shared" si="23"/>
        <v>365589.5271471499</v>
      </c>
      <c r="L21" s="15">
        <f t="shared" si="23"/>
        <v>199690.08822563372</v>
      </c>
      <c r="M21" s="15">
        <f t="shared" si="23"/>
        <v>74693.042119259975</v>
      </c>
      <c r="N21" s="15">
        <f t="shared" si="7"/>
        <v>1493969.1473362236</v>
      </c>
      <c r="O21" s="5"/>
      <c r="R21" s="30">
        <v>2003</v>
      </c>
      <c r="S21" s="5">
        <v>178712</v>
      </c>
      <c r="T21" s="5">
        <v>0</v>
      </c>
      <c r="U21" s="5">
        <v>0</v>
      </c>
      <c r="V21" s="5">
        <v>3101</v>
      </c>
      <c r="Y21" s="30">
        <v>2003</v>
      </c>
      <c r="Z21" s="5">
        <v>631692.03950595902</v>
      </c>
      <c r="AA21" s="5">
        <v>361533.16659054987</v>
      </c>
      <c r="AB21" s="5">
        <v>198594.06340797379</v>
      </c>
      <c r="AC21" s="5">
        <v>79023.128645399003</v>
      </c>
      <c r="AF21" s="30">
        <v>2003</v>
      </c>
      <c r="AG21" s="5">
        <v>675284.48984417983</v>
      </c>
      <c r="AH21" s="5">
        <v>365589.5271471499</v>
      </c>
      <c r="AI21" s="5">
        <v>199690.08822563372</v>
      </c>
      <c r="AJ21" s="5">
        <v>71592.042119259975</v>
      </c>
      <c r="AK21" s="17"/>
    </row>
    <row r="22" spans="1:80" x14ac:dyDescent="0.25">
      <c r="A22" s="16">
        <v>2004</v>
      </c>
      <c r="B22" s="15">
        <f t="shared" si="1"/>
        <v>807790.95501876017</v>
      </c>
      <c r="C22" s="15">
        <f t="shared" si="2"/>
        <v>73721.411576780098</v>
      </c>
      <c r="D22" s="15">
        <f t="shared" si="3"/>
        <v>93125.467296939983</v>
      </c>
      <c r="E22" s="15">
        <f t="shared" si="4"/>
        <v>43124.182094418007</v>
      </c>
      <c r="F22" s="15">
        <f t="shared" si="5"/>
        <v>1017762.0159868982</v>
      </c>
      <c r="G22" s="5"/>
      <c r="I22" s="16">
        <v>2004</v>
      </c>
      <c r="J22" s="15">
        <f t="shared" ref="J22:M22" si="24">S22+AG22</f>
        <v>827634.46615152515</v>
      </c>
      <c r="K22" s="15">
        <f t="shared" si="24"/>
        <v>75546.917158725118</v>
      </c>
      <c r="L22" s="15">
        <f t="shared" si="24"/>
        <v>93340.549976609967</v>
      </c>
      <c r="M22" s="15">
        <f t="shared" si="24"/>
        <v>73884.717652510022</v>
      </c>
      <c r="N22" s="15">
        <f t="shared" si="7"/>
        <v>1070406.6509393703</v>
      </c>
      <c r="O22" s="5"/>
      <c r="R22" s="30">
        <v>2004</v>
      </c>
      <c r="S22" s="5">
        <v>187649</v>
      </c>
      <c r="T22" s="5">
        <v>0</v>
      </c>
      <c r="U22" s="5">
        <v>0</v>
      </c>
      <c r="V22" s="5">
        <v>3064</v>
      </c>
      <c r="Y22" s="30">
        <v>2004</v>
      </c>
      <c r="Z22" s="5">
        <v>620141.95501876017</v>
      </c>
      <c r="AA22" s="5">
        <v>73721.411576780098</v>
      </c>
      <c r="AB22" s="5">
        <v>93125.467296939983</v>
      </c>
      <c r="AC22" s="5">
        <v>40060.182094418007</v>
      </c>
      <c r="AD22" s="17"/>
      <c r="AE22" s="17"/>
      <c r="AF22" s="30">
        <v>2004</v>
      </c>
      <c r="AG22" s="5">
        <v>639985.46615152515</v>
      </c>
      <c r="AH22" s="5">
        <v>75546.917158725118</v>
      </c>
      <c r="AI22" s="5">
        <v>93340.549976609967</v>
      </c>
      <c r="AJ22" s="5">
        <v>70820.717652510022</v>
      </c>
      <c r="AK22" s="17"/>
      <c r="AL22" s="17"/>
      <c r="AM22" s="17"/>
      <c r="AN22" s="17"/>
      <c r="AO22" s="17"/>
      <c r="AP22" s="17"/>
      <c r="AQ22" s="17"/>
      <c r="AR22" s="17"/>
      <c r="AS22" s="17"/>
    </row>
    <row r="23" spans="1:80" x14ac:dyDescent="0.25">
      <c r="A23" s="16">
        <v>2005</v>
      </c>
      <c r="B23" s="15">
        <f t="shared" si="1"/>
        <v>789034.35585041216</v>
      </c>
      <c r="C23" s="15">
        <f t="shared" si="2"/>
        <v>97397.131278806017</v>
      </c>
      <c r="D23" s="15">
        <f t="shared" si="3"/>
        <v>90326.823456728016</v>
      </c>
      <c r="E23" s="15">
        <f t="shared" si="4"/>
        <v>86343.344138681001</v>
      </c>
      <c r="F23" s="15">
        <f t="shared" si="5"/>
        <v>1063101.6547246273</v>
      </c>
      <c r="G23" s="5"/>
      <c r="I23" s="16">
        <v>2005</v>
      </c>
      <c r="J23" s="15">
        <f t="shared" ref="J23:M23" si="25">S23+AG23</f>
        <v>788947.14301624813</v>
      </c>
      <c r="K23" s="15">
        <f t="shared" si="25"/>
        <v>97375.21827054098</v>
      </c>
      <c r="L23" s="15">
        <f t="shared" si="25"/>
        <v>92789.93814702805</v>
      </c>
      <c r="M23" s="15">
        <f t="shared" si="25"/>
        <v>140145.22820749108</v>
      </c>
      <c r="N23" s="15">
        <f t="shared" si="7"/>
        <v>1119257.5276413083</v>
      </c>
      <c r="O23" s="5"/>
      <c r="R23" s="30">
        <v>2005</v>
      </c>
      <c r="S23" s="5">
        <v>178009</v>
      </c>
      <c r="T23" s="5">
        <v>0</v>
      </c>
      <c r="U23" s="5">
        <v>0</v>
      </c>
      <c r="V23" s="5">
        <v>2523</v>
      </c>
      <c r="Y23" s="30">
        <v>2005</v>
      </c>
      <c r="Z23" s="5">
        <v>611025.35585041216</v>
      </c>
      <c r="AA23" s="5">
        <v>97397.131278806017</v>
      </c>
      <c r="AB23" s="5">
        <v>90326.823456728016</v>
      </c>
      <c r="AC23" s="5">
        <v>83820.344138681001</v>
      </c>
      <c r="AD23" s="17"/>
      <c r="AE23" s="17"/>
      <c r="AF23" s="30">
        <v>2005</v>
      </c>
      <c r="AG23" s="5">
        <v>610938.14301624813</v>
      </c>
      <c r="AH23" s="5">
        <v>97375.21827054098</v>
      </c>
      <c r="AI23" s="5">
        <v>92789.93814702805</v>
      </c>
      <c r="AJ23" s="5">
        <v>137622.22820749108</v>
      </c>
      <c r="AK23" s="17"/>
      <c r="AL23" s="17"/>
      <c r="AM23" s="17"/>
      <c r="AN23" s="17"/>
      <c r="AO23" s="17"/>
      <c r="AP23" s="17"/>
      <c r="AQ23" s="17"/>
      <c r="AR23" s="17"/>
      <c r="AS23" s="17"/>
    </row>
    <row r="24" spans="1:80" x14ac:dyDescent="0.25">
      <c r="A24" s="16">
        <v>2006</v>
      </c>
      <c r="B24" s="15">
        <f t="shared" si="1"/>
        <v>765914.29956373479</v>
      </c>
      <c r="C24" s="15">
        <f t="shared" si="2"/>
        <v>18730.745437547001</v>
      </c>
      <c r="D24" s="15">
        <f t="shared" si="3"/>
        <v>84639.234805216009</v>
      </c>
      <c r="E24" s="15">
        <f t="shared" si="4"/>
        <v>39004.306898761999</v>
      </c>
      <c r="F24" s="15">
        <f t="shared" si="5"/>
        <v>908288.58670525975</v>
      </c>
      <c r="G24" s="5"/>
      <c r="I24" s="16">
        <v>2006</v>
      </c>
      <c r="J24" s="15">
        <f t="shared" ref="J24:M24" si="26">S24+AG24</f>
        <v>758150.78895002487</v>
      </c>
      <c r="K24" s="15">
        <f t="shared" si="26"/>
        <v>11383.937336144001</v>
      </c>
      <c r="L24" s="15">
        <f t="shared" si="26"/>
        <v>83193.835156200978</v>
      </c>
      <c r="M24" s="15">
        <f t="shared" si="26"/>
        <v>41333.275295342013</v>
      </c>
      <c r="N24" s="15">
        <f t="shared" si="7"/>
        <v>894061.8367377118</v>
      </c>
      <c r="O24" s="5"/>
      <c r="R24" s="30">
        <v>2006</v>
      </c>
      <c r="S24" s="5">
        <v>212400</v>
      </c>
      <c r="T24" s="5">
        <v>0</v>
      </c>
      <c r="U24" s="5">
        <v>0</v>
      </c>
      <c r="V24" s="5">
        <v>4002</v>
      </c>
      <c r="Y24" s="30">
        <v>2006</v>
      </c>
      <c r="Z24" s="5">
        <v>553514.29956373479</v>
      </c>
      <c r="AA24" s="5">
        <v>18730.745437547001</v>
      </c>
      <c r="AB24" s="5">
        <v>84639.234805216009</v>
      </c>
      <c r="AC24" s="5">
        <v>35002.306898761999</v>
      </c>
      <c r="AD24" s="17"/>
      <c r="AE24" s="17"/>
      <c r="AF24" s="30">
        <v>2006</v>
      </c>
      <c r="AG24" s="5">
        <v>545750.78895002487</v>
      </c>
      <c r="AH24" s="5">
        <v>11383.937336144001</v>
      </c>
      <c r="AI24" s="5">
        <v>83193.835156200978</v>
      </c>
      <c r="AJ24" s="5">
        <v>37331.275295342013</v>
      </c>
      <c r="AK24" s="17"/>
      <c r="AL24" s="17"/>
      <c r="AM24" s="17"/>
      <c r="AN24" s="17"/>
      <c r="AO24" s="17"/>
      <c r="AP24" s="17"/>
      <c r="AQ24" s="17"/>
      <c r="AR24" s="17"/>
      <c r="AS24" s="17"/>
    </row>
    <row r="25" spans="1:80" x14ac:dyDescent="0.25">
      <c r="A25" s="16">
        <v>2007</v>
      </c>
      <c r="B25" s="15">
        <f t="shared" si="1"/>
        <v>885481.29887715215</v>
      </c>
      <c r="C25" s="15">
        <f t="shared" si="2"/>
        <v>61452.672267656999</v>
      </c>
      <c r="D25" s="15">
        <f t="shared" si="3"/>
        <v>147312.18268825815</v>
      </c>
      <c r="E25" s="15">
        <f t="shared" si="4"/>
        <v>47626.075747769995</v>
      </c>
      <c r="F25" s="15">
        <f t="shared" si="5"/>
        <v>1141872.2295808373</v>
      </c>
      <c r="G25" s="5"/>
      <c r="I25" s="16">
        <v>2007</v>
      </c>
      <c r="J25" s="15">
        <f t="shared" ref="J25:M25" si="27">S25+AG25</f>
        <v>873249.48688591376</v>
      </c>
      <c r="K25" s="15">
        <f t="shared" si="27"/>
        <v>56323.687448247001</v>
      </c>
      <c r="L25" s="15">
        <f t="shared" si="27"/>
        <v>147548.90568443519</v>
      </c>
      <c r="M25" s="15">
        <f t="shared" si="27"/>
        <v>47943.539055539979</v>
      </c>
      <c r="N25" s="15">
        <f t="shared" si="7"/>
        <v>1125065.619074136</v>
      </c>
      <c r="O25" s="5"/>
      <c r="R25" s="30">
        <v>2007</v>
      </c>
      <c r="S25" s="5">
        <v>208576</v>
      </c>
      <c r="T25" s="5">
        <v>0</v>
      </c>
      <c r="U25" s="5">
        <v>0</v>
      </c>
      <c r="V25" s="5">
        <v>3654</v>
      </c>
      <c r="Y25" s="30">
        <v>2007</v>
      </c>
      <c r="Z25" s="5">
        <v>676905.29887715215</v>
      </c>
      <c r="AA25" s="5">
        <v>61452.672267656999</v>
      </c>
      <c r="AB25" s="5">
        <v>147312.18268825815</v>
      </c>
      <c r="AC25" s="5">
        <v>43972.075747769995</v>
      </c>
      <c r="AF25" s="30">
        <v>2007</v>
      </c>
      <c r="AG25" s="5">
        <v>664673.48688591376</v>
      </c>
      <c r="AH25" s="5">
        <v>56323.687448247001</v>
      </c>
      <c r="AI25" s="5">
        <v>147548.90568443519</v>
      </c>
      <c r="AJ25" s="5">
        <v>44289.539055539979</v>
      </c>
      <c r="AK25" s="17"/>
    </row>
    <row r="26" spans="1:80" x14ac:dyDescent="0.25">
      <c r="A26" s="16">
        <v>2008</v>
      </c>
      <c r="B26" s="15">
        <f t="shared" si="1"/>
        <v>904635.70751129801</v>
      </c>
      <c r="C26" s="15">
        <f t="shared" si="2"/>
        <v>53772.447868774696</v>
      </c>
      <c r="D26" s="15">
        <f t="shared" si="3"/>
        <v>171200.84416300297</v>
      </c>
      <c r="E26" s="15">
        <f t="shared" si="4"/>
        <v>9633.3024290280009</v>
      </c>
      <c r="F26" s="15">
        <f t="shared" si="5"/>
        <v>1139242.3019721038</v>
      </c>
      <c r="G26" s="5"/>
      <c r="I26" s="16">
        <v>2008</v>
      </c>
      <c r="J26" s="15">
        <f t="shared" ref="J26:M26" si="28">S26+AG26</f>
        <v>909717.26299628883</v>
      </c>
      <c r="K26" s="15">
        <f t="shared" si="28"/>
        <v>53675.322073234704</v>
      </c>
      <c r="L26" s="15">
        <f t="shared" si="28"/>
        <v>173457.62124570302</v>
      </c>
      <c r="M26" s="15">
        <f t="shared" si="28"/>
        <v>9633.3024290280009</v>
      </c>
      <c r="N26" s="15">
        <f t="shared" si="7"/>
        <v>1146483.5087442547</v>
      </c>
      <c r="O26" s="5"/>
      <c r="R26" s="30">
        <v>2008</v>
      </c>
      <c r="S26" s="5">
        <v>188639</v>
      </c>
      <c r="T26" s="5">
        <v>0</v>
      </c>
      <c r="U26" s="5">
        <v>0</v>
      </c>
      <c r="V26" s="5">
        <v>2974</v>
      </c>
      <c r="Y26" s="30">
        <v>2008</v>
      </c>
      <c r="Z26" s="5">
        <v>715996.70751129801</v>
      </c>
      <c r="AA26" s="5">
        <v>53772.447868774696</v>
      </c>
      <c r="AB26" s="5">
        <v>171200.84416300297</v>
      </c>
      <c r="AC26" s="5">
        <v>6659.302429028</v>
      </c>
      <c r="AF26" s="30">
        <v>2008</v>
      </c>
      <c r="AG26" s="5">
        <v>721078.26299628883</v>
      </c>
      <c r="AH26" s="5">
        <v>53675.322073234704</v>
      </c>
      <c r="AI26" s="5">
        <v>173457.62124570302</v>
      </c>
      <c r="AJ26" s="5">
        <v>6659.302429028</v>
      </c>
      <c r="AK26" s="17"/>
    </row>
    <row r="27" spans="1:80" x14ac:dyDescent="0.25">
      <c r="A27" s="16">
        <v>2009</v>
      </c>
      <c r="B27" s="15">
        <f t="shared" si="1"/>
        <v>648575.84281125292</v>
      </c>
      <c r="C27" s="15">
        <f t="shared" si="2"/>
        <v>22361.752265769399</v>
      </c>
      <c r="D27" s="15">
        <f t="shared" si="3"/>
        <v>93414.530979484</v>
      </c>
      <c r="E27" s="15">
        <f t="shared" si="4"/>
        <v>18124.342733819998</v>
      </c>
      <c r="F27" s="15">
        <f t="shared" si="5"/>
        <v>782476.46879032627</v>
      </c>
      <c r="G27" s="5"/>
      <c r="I27" s="16">
        <v>2009</v>
      </c>
      <c r="J27" s="15">
        <f t="shared" ref="J27:M27" si="29">S27+AG27</f>
        <v>672036.30301926518</v>
      </c>
      <c r="K27" s="15">
        <f t="shared" si="29"/>
        <v>21918.5009797694</v>
      </c>
      <c r="L27" s="15">
        <f t="shared" si="29"/>
        <v>83814.602868829999</v>
      </c>
      <c r="M27" s="15">
        <f t="shared" si="29"/>
        <v>25468.015923119987</v>
      </c>
      <c r="N27" s="15">
        <f t="shared" si="7"/>
        <v>803237.42279098451</v>
      </c>
      <c r="O27" s="5"/>
      <c r="R27" s="30">
        <v>2009</v>
      </c>
      <c r="S27" s="5">
        <v>143170</v>
      </c>
      <c r="T27" s="5">
        <v>0</v>
      </c>
      <c r="U27" s="5">
        <v>75</v>
      </c>
      <c r="V27" s="5">
        <v>3812</v>
      </c>
      <c r="Y27" s="30">
        <v>2009</v>
      </c>
      <c r="Z27" s="5">
        <v>505405.84281125292</v>
      </c>
      <c r="AA27" s="5">
        <v>22361.752265769399</v>
      </c>
      <c r="AB27" s="5">
        <v>93339.530979484</v>
      </c>
      <c r="AC27" s="5">
        <v>14312.34273382</v>
      </c>
      <c r="AF27" s="30">
        <v>2009</v>
      </c>
      <c r="AG27" s="5">
        <v>528866.30301926518</v>
      </c>
      <c r="AH27" s="5">
        <v>21918.5009797694</v>
      </c>
      <c r="AI27" s="5">
        <v>83739.602868829999</v>
      </c>
      <c r="AJ27" s="5">
        <v>21656.015923119987</v>
      </c>
      <c r="AK27" s="17"/>
    </row>
    <row r="28" spans="1:80" x14ac:dyDescent="0.25">
      <c r="A28" s="16">
        <v>2010</v>
      </c>
      <c r="B28" s="15">
        <f t="shared" si="1"/>
        <v>378395.39441691863</v>
      </c>
      <c r="C28" s="15">
        <f t="shared" si="2"/>
        <v>17472.375386290001</v>
      </c>
      <c r="D28" s="15">
        <f t="shared" si="3"/>
        <v>52765.732449437593</v>
      </c>
      <c r="E28" s="15">
        <f t="shared" si="4"/>
        <v>5690.8425224299999</v>
      </c>
      <c r="F28" s="15">
        <f>SUM(B28:E28)</f>
        <v>454324.34477507626</v>
      </c>
      <c r="G28" s="5"/>
      <c r="I28" s="16">
        <v>2010</v>
      </c>
      <c r="J28" s="15">
        <f t="shared" ref="J28:M28" si="30">S28+AG28</f>
        <v>378281.25209109049</v>
      </c>
      <c r="K28" s="15">
        <f t="shared" si="30"/>
        <v>17359.948133960002</v>
      </c>
      <c r="L28" s="15">
        <f t="shared" si="30"/>
        <v>52450.569873921639</v>
      </c>
      <c r="M28" s="15">
        <f t="shared" si="30"/>
        <v>5690.842522429999</v>
      </c>
      <c r="N28" s="15">
        <f>SUM(J28:M28)</f>
        <v>453782.61262140214</v>
      </c>
      <c r="O28" s="5"/>
      <c r="R28" s="30">
        <v>2010</v>
      </c>
      <c r="S28" s="5">
        <v>109263</v>
      </c>
      <c r="T28" s="5">
        <v>0</v>
      </c>
      <c r="U28" s="5">
        <v>115</v>
      </c>
      <c r="V28" s="5">
        <v>3356</v>
      </c>
      <c r="Y28" s="30">
        <v>2010</v>
      </c>
      <c r="Z28" s="5">
        <v>269132.39441691863</v>
      </c>
      <c r="AA28" s="5">
        <v>17472.375386290001</v>
      </c>
      <c r="AB28" s="5">
        <v>52650.732449437593</v>
      </c>
      <c r="AC28" s="5">
        <v>2334.8425224299999</v>
      </c>
      <c r="AF28" s="30">
        <v>2010</v>
      </c>
      <c r="AG28" s="5">
        <v>269018.25209109049</v>
      </c>
      <c r="AH28" s="5">
        <v>17359.948133960002</v>
      </c>
      <c r="AI28" s="5">
        <v>52335.569873921639</v>
      </c>
      <c r="AJ28" s="5">
        <v>2334.8425224299995</v>
      </c>
      <c r="AK28" s="17"/>
    </row>
    <row r="29" spans="1:80" x14ac:dyDescent="0.25">
      <c r="A29" s="16">
        <v>2011</v>
      </c>
      <c r="B29" s="15">
        <f t="shared" si="1"/>
        <v>441270.22564241703</v>
      </c>
      <c r="C29" s="15">
        <f t="shared" si="2"/>
        <v>3051.4473709690001</v>
      </c>
      <c r="D29" s="15">
        <f t="shared" si="3"/>
        <v>70416.722021704802</v>
      </c>
      <c r="E29" s="15">
        <f t="shared" si="4"/>
        <v>14410.035806099999</v>
      </c>
      <c r="F29" s="15">
        <f>SUM(B29:E29)</f>
        <v>529148.43084119086</v>
      </c>
      <c r="G29" s="5"/>
      <c r="I29" s="16">
        <v>2011</v>
      </c>
      <c r="J29" s="15">
        <f t="shared" ref="J29:M29" si="31">S29+AG29</f>
        <v>421682.16297870973</v>
      </c>
      <c r="K29" s="15">
        <f t="shared" si="31"/>
        <v>3031.8493299049996</v>
      </c>
      <c r="L29" s="15">
        <f t="shared" si="31"/>
        <v>76548.645976964792</v>
      </c>
      <c r="M29" s="15">
        <f t="shared" si="31"/>
        <v>14410.035806099999</v>
      </c>
      <c r="N29" s="15">
        <f>SUM(J29:M29)</f>
        <v>515672.69409167953</v>
      </c>
      <c r="O29" s="5"/>
      <c r="R29" s="30">
        <v>2011</v>
      </c>
      <c r="S29" s="5">
        <v>89849</v>
      </c>
      <c r="T29" s="5">
        <v>0</v>
      </c>
      <c r="U29" s="5">
        <v>614</v>
      </c>
      <c r="V29" s="5">
        <v>3705</v>
      </c>
      <c r="Y29" s="30">
        <v>2011</v>
      </c>
      <c r="Z29" s="5">
        <v>351421.22564241703</v>
      </c>
      <c r="AA29" s="5">
        <v>3051.4473709690001</v>
      </c>
      <c r="AB29" s="5">
        <v>69802.722021704802</v>
      </c>
      <c r="AC29" s="5">
        <v>10705.035806099999</v>
      </c>
      <c r="AF29" s="30">
        <v>2011</v>
      </c>
      <c r="AG29" s="5">
        <v>331833.16297870973</v>
      </c>
      <c r="AH29" s="5">
        <v>3031.8493299049996</v>
      </c>
      <c r="AI29" s="5">
        <v>75934.645976964792</v>
      </c>
      <c r="AJ29" s="5">
        <v>10705.035806099999</v>
      </c>
      <c r="AK29" s="17"/>
      <c r="CA29">
        <v>1999</v>
      </c>
      <c r="CB29" s="19">
        <v>0</v>
      </c>
    </row>
    <row r="30" spans="1:80" x14ac:dyDescent="0.25">
      <c r="A30" s="16">
        <v>2012</v>
      </c>
      <c r="B30" s="15">
        <f t="shared" si="1"/>
        <v>640075.59454564808</v>
      </c>
      <c r="C30" s="15">
        <f t="shared" si="2"/>
        <v>17194.045634856</v>
      </c>
      <c r="D30" s="15">
        <f t="shared" si="3"/>
        <v>51007.63067666391</v>
      </c>
      <c r="E30" s="15">
        <f t="shared" si="4"/>
        <v>13439.907720302001</v>
      </c>
      <c r="F30" s="15">
        <f t="shared" ref="F30:F32" si="32">SUM(B30:E30)</f>
        <v>721717.17857747001</v>
      </c>
      <c r="G30" s="5">
        <f t="shared" ref="G30:G35" si="33">SUM(B42:E42)</f>
        <v>1217748.0765850532</v>
      </c>
      <c r="I30" s="16">
        <v>2012</v>
      </c>
      <c r="J30" s="15">
        <f t="shared" ref="J30:M30" si="34">S30+AG30</f>
        <v>636884.92458551691</v>
      </c>
      <c r="K30" s="15">
        <f t="shared" si="34"/>
        <v>16939.023021056004</v>
      </c>
      <c r="L30" s="15">
        <f t="shared" si="34"/>
        <v>48979.886889038891</v>
      </c>
      <c r="M30" s="15">
        <f t="shared" si="34"/>
        <v>13439.907720302001</v>
      </c>
      <c r="N30" s="15">
        <f t="shared" ref="N30:N35" si="35">SUM(J30:M30)</f>
        <v>716243.74221591372</v>
      </c>
      <c r="O30" s="5">
        <f t="shared" ref="O30:O35" si="36">SUM(J42:M42)</f>
        <v>1187465.156392345</v>
      </c>
      <c r="R30" s="30">
        <v>2012</v>
      </c>
      <c r="S30" s="5">
        <v>101528</v>
      </c>
      <c r="T30" s="5">
        <v>12</v>
      </c>
      <c r="U30" s="5">
        <v>132</v>
      </c>
      <c r="V30" s="5">
        <v>4880</v>
      </c>
      <c r="Y30" s="30">
        <v>2012</v>
      </c>
      <c r="Z30" s="5">
        <v>538547.59454564808</v>
      </c>
      <c r="AA30" s="5">
        <v>17182.045634856</v>
      </c>
      <c r="AB30" s="5">
        <v>50875.63067666391</v>
      </c>
      <c r="AC30" s="5">
        <v>8559.9077203020006</v>
      </c>
      <c r="AF30" s="30">
        <v>2012</v>
      </c>
      <c r="AG30" s="5">
        <v>535356.92458551691</v>
      </c>
      <c r="AH30" s="5">
        <v>16927.023021056004</v>
      </c>
      <c r="AI30" s="5">
        <v>48847.886889038891</v>
      </c>
      <c r="AJ30" s="5">
        <v>8559.9077203020006</v>
      </c>
      <c r="AK30" s="17"/>
      <c r="CA30">
        <v>1999</v>
      </c>
      <c r="CB30" s="19">
        <v>500000</v>
      </c>
    </row>
    <row r="31" spans="1:80" x14ac:dyDescent="0.25">
      <c r="A31" s="16">
        <v>2013</v>
      </c>
      <c r="B31" s="15">
        <f t="shared" si="1"/>
        <v>714731.75663244457</v>
      </c>
      <c r="C31" s="15">
        <f t="shared" si="2"/>
        <v>120107.642115411</v>
      </c>
      <c r="D31" s="15">
        <f t="shared" si="3"/>
        <v>37657.317552716995</v>
      </c>
      <c r="E31" s="15">
        <f t="shared" si="4"/>
        <v>18464.44903005</v>
      </c>
      <c r="F31" s="15">
        <f t="shared" si="32"/>
        <v>890961.16533062246</v>
      </c>
      <c r="G31" s="5">
        <f t="shared" si="33"/>
        <v>1217748.0765850532</v>
      </c>
      <c r="I31" s="16">
        <v>2013</v>
      </c>
      <c r="J31" s="15">
        <f t="shared" ref="J31:M31" si="37">S31+AG31</f>
        <v>716329.87163842458</v>
      </c>
      <c r="K31" s="15">
        <f t="shared" si="37"/>
        <v>119825.03618618095</v>
      </c>
      <c r="L31" s="15">
        <f t="shared" si="37"/>
        <v>38774.294673705714</v>
      </c>
      <c r="M31" s="15">
        <f t="shared" si="37"/>
        <v>18464.44903005</v>
      </c>
      <c r="N31" s="15">
        <f t="shared" si="35"/>
        <v>893393.65152836114</v>
      </c>
      <c r="O31" s="5">
        <f t="shared" si="36"/>
        <v>1187465.156392345</v>
      </c>
      <c r="R31" s="30">
        <v>2013</v>
      </c>
      <c r="S31" s="5">
        <v>101626</v>
      </c>
      <c r="T31" s="5">
        <v>0</v>
      </c>
      <c r="U31" s="5">
        <v>23</v>
      </c>
      <c r="V31" s="5">
        <v>3825</v>
      </c>
      <c r="Y31" s="30">
        <v>2013</v>
      </c>
      <c r="Z31" s="5">
        <v>613105.75663244457</v>
      </c>
      <c r="AA31" s="5">
        <v>120107.642115411</v>
      </c>
      <c r="AB31" s="5">
        <v>37634.317552716995</v>
      </c>
      <c r="AC31" s="5">
        <v>14639.44903005</v>
      </c>
      <c r="AD31" s="17"/>
      <c r="AE31" s="17"/>
      <c r="AF31" s="30">
        <v>2013</v>
      </c>
      <c r="AG31" s="5">
        <v>614703.87163842458</v>
      </c>
      <c r="AH31" s="5">
        <v>119825.03618618095</v>
      </c>
      <c r="AI31" s="5">
        <v>38751.294673705714</v>
      </c>
      <c r="AJ31" s="5">
        <v>14639.44903005</v>
      </c>
      <c r="AK31" s="17"/>
      <c r="AL31" s="17"/>
      <c r="AM31" s="17"/>
      <c r="AN31" s="17"/>
      <c r="AO31" s="17"/>
      <c r="AP31" s="17"/>
      <c r="AQ31" s="17"/>
      <c r="AR31" s="17"/>
      <c r="AS31" s="17"/>
      <c r="CA31">
        <v>2007</v>
      </c>
      <c r="CB31" s="19">
        <v>0</v>
      </c>
    </row>
    <row r="32" spans="1:80" x14ac:dyDescent="0.25">
      <c r="A32" s="16">
        <v>2014</v>
      </c>
      <c r="B32" s="15">
        <f t="shared" si="1"/>
        <v>612053.69475160819</v>
      </c>
      <c r="C32" s="15">
        <f t="shared" si="2"/>
        <v>85264.405475240972</v>
      </c>
      <c r="D32" s="15">
        <f t="shared" si="3"/>
        <v>83297.807396109696</v>
      </c>
      <c r="E32" s="15">
        <f t="shared" si="4"/>
        <v>11503.394589200003</v>
      </c>
      <c r="F32" s="15">
        <f t="shared" si="32"/>
        <v>792119.30221215892</v>
      </c>
      <c r="G32" s="5">
        <f t="shared" si="33"/>
        <v>1217748.0765850532</v>
      </c>
      <c r="I32" s="16">
        <v>2014</v>
      </c>
      <c r="J32" s="15">
        <f t="shared" ref="J32:M32" si="38">S32+AG32</f>
        <v>609076.53666540771</v>
      </c>
      <c r="K32" s="15">
        <f t="shared" si="38"/>
        <v>85264.405475240987</v>
      </c>
      <c r="L32" s="15">
        <f t="shared" si="38"/>
        <v>83028.773642923406</v>
      </c>
      <c r="M32" s="15">
        <f t="shared" si="38"/>
        <v>11503.394589200005</v>
      </c>
      <c r="N32" s="15">
        <f t="shared" si="35"/>
        <v>788873.11037277221</v>
      </c>
      <c r="O32" s="5">
        <f t="shared" si="36"/>
        <v>1187465.156392345</v>
      </c>
      <c r="R32" s="30">
        <v>2014</v>
      </c>
      <c r="S32" s="5">
        <v>109606</v>
      </c>
      <c r="T32" s="5">
        <v>0</v>
      </c>
      <c r="U32" s="5">
        <v>111</v>
      </c>
      <c r="V32" s="5">
        <v>39</v>
      </c>
      <c r="Y32" s="30">
        <v>2014</v>
      </c>
      <c r="Z32" s="5">
        <v>502447.69475160819</v>
      </c>
      <c r="AA32" s="5">
        <v>85264.405475240972</v>
      </c>
      <c r="AB32" s="5">
        <v>83186.807396109696</v>
      </c>
      <c r="AC32" s="5">
        <v>11464.394589200003</v>
      </c>
      <c r="AD32" s="17"/>
      <c r="AE32" s="17"/>
      <c r="AF32" s="30">
        <v>2014</v>
      </c>
      <c r="AG32" s="5">
        <v>499470.53666540771</v>
      </c>
      <c r="AH32" s="5">
        <v>85264.405475240987</v>
      </c>
      <c r="AI32" s="5">
        <v>82917.773642923406</v>
      </c>
      <c r="AJ32" s="5">
        <v>11464.394589200005</v>
      </c>
      <c r="AK32" s="17"/>
      <c r="AL32" s="17"/>
      <c r="AM32" s="17"/>
      <c r="AN32" s="17"/>
      <c r="AO32" s="17"/>
      <c r="AP32" s="17"/>
      <c r="AQ32" s="17"/>
      <c r="AR32" s="17"/>
      <c r="AS32" s="17"/>
      <c r="CA32">
        <v>2007</v>
      </c>
      <c r="CB32" s="19">
        <v>500000</v>
      </c>
    </row>
    <row r="33" spans="1:59" s="17" customFormat="1" x14ac:dyDescent="0.25">
      <c r="A33" s="16">
        <v>2015</v>
      </c>
      <c r="B33" s="15">
        <f t="shared" si="1"/>
        <v>640616.49876443413</v>
      </c>
      <c r="C33" s="15">
        <f t="shared" si="2"/>
        <v>124800.93909716999</v>
      </c>
      <c r="D33" s="15">
        <f t="shared" si="3"/>
        <v>80052.498495819978</v>
      </c>
      <c r="E33" s="15">
        <f t="shared" si="4"/>
        <v>5904.72237563</v>
      </c>
      <c r="F33" s="15">
        <f t="shared" ref="F33" si="39">SUM(B33:E33)</f>
        <v>851374.65873305418</v>
      </c>
      <c r="G33" s="5">
        <f t="shared" si="33"/>
        <v>1459423.6973826981</v>
      </c>
      <c r="I33" s="16">
        <v>2015</v>
      </c>
      <c r="J33" s="15">
        <f t="shared" ref="J33:M33" si="40">S33+AG33</f>
        <v>653260.66549771279</v>
      </c>
      <c r="K33" s="15">
        <f t="shared" si="40"/>
        <v>124374.27126517001</v>
      </c>
      <c r="L33" s="15">
        <f t="shared" si="40"/>
        <v>81308.191287629961</v>
      </c>
      <c r="M33" s="15">
        <f t="shared" si="40"/>
        <v>5904.7223756300009</v>
      </c>
      <c r="N33" s="15">
        <f t="shared" si="35"/>
        <v>864847.85042614292</v>
      </c>
      <c r="O33" s="5">
        <f t="shared" si="36"/>
        <v>1455128.2247062866</v>
      </c>
      <c r="R33" s="30">
        <v>2015</v>
      </c>
      <c r="S33" s="5">
        <v>91777</v>
      </c>
      <c r="T33" s="5">
        <v>0</v>
      </c>
      <c r="U33" s="5">
        <v>469</v>
      </c>
      <c r="V33" s="5">
        <v>39</v>
      </c>
      <c r="Y33" s="30">
        <v>2015</v>
      </c>
      <c r="Z33" s="5">
        <v>548839.49876443413</v>
      </c>
      <c r="AA33" s="5">
        <v>124800.93909716999</v>
      </c>
      <c r="AB33" s="5">
        <v>79583.498495819978</v>
      </c>
      <c r="AC33" s="5">
        <v>5865.72237563</v>
      </c>
      <c r="AF33" s="30">
        <v>2015</v>
      </c>
      <c r="AG33" s="5">
        <v>561483.66549771279</v>
      </c>
      <c r="AH33" s="5">
        <v>124374.27126517001</v>
      </c>
      <c r="AI33" s="5">
        <v>80839.191287629961</v>
      </c>
      <c r="AJ33" s="5">
        <v>5865.7223756300009</v>
      </c>
    </row>
    <row r="34" spans="1:59" s="17" customFormat="1" x14ac:dyDescent="0.25">
      <c r="A34" s="16">
        <v>2016</v>
      </c>
      <c r="B34" s="15">
        <f t="shared" si="1"/>
        <v>661249.52624758496</v>
      </c>
      <c r="C34" s="15">
        <f t="shared" si="2"/>
        <v>30790.311858038</v>
      </c>
      <c r="D34" s="15">
        <f t="shared" si="3"/>
        <v>57320.082770390007</v>
      </c>
      <c r="E34" s="15">
        <f t="shared" si="4"/>
        <v>143517.65901065001</v>
      </c>
      <c r="F34" s="15">
        <f t="shared" ref="F34:F35" si="41">SUM(B34:E34)</f>
        <v>892877.57988666289</v>
      </c>
      <c r="G34" s="5">
        <f t="shared" si="33"/>
        <v>1459423.6973826981</v>
      </c>
      <c r="I34" s="16">
        <v>2016</v>
      </c>
      <c r="J34" s="15">
        <f t="shared" ref="J34:M34" si="42">S34+AG34</f>
        <v>664213.84892894491</v>
      </c>
      <c r="K34" s="15">
        <f t="shared" si="42"/>
        <v>28076.817435976009</v>
      </c>
      <c r="L34" s="15">
        <f t="shared" si="42"/>
        <v>56678.210965804006</v>
      </c>
      <c r="M34" s="15">
        <f t="shared" si="42"/>
        <v>143517.65901065007</v>
      </c>
      <c r="N34" s="15">
        <f t="shared" si="35"/>
        <v>892486.53634137497</v>
      </c>
      <c r="O34" s="5">
        <f t="shared" si="36"/>
        <v>1455128.2247062866</v>
      </c>
      <c r="R34" s="30">
        <v>2016</v>
      </c>
      <c r="S34" s="5">
        <v>82155</v>
      </c>
      <c r="T34" s="5">
        <v>0</v>
      </c>
      <c r="U34" s="5">
        <v>1261</v>
      </c>
      <c r="V34" s="5">
        <v>54</v>
      </c>
      <c r="Y34" s="30">
        <v>2016</v>
      </c>
      <c r="Z34" s="5">
        <v>579094.52624758496</v>
      </c>
      <c r="AA34" s="5">
        <v>30790.311858038</v>
      </c>
      <c r="AB34" s="5">
        <v>56059.082770390007</v>
      </c>
      <c r="AC34" s="5">
        <v>143463.65901065001</v>
      </c>
      <c r="AD34"/>
      <c r="AE34"/>
      <c r="AF34" s="30">
        <v>2016</v>
      </c>
      <c r="AG34" s="5">
        <v>582058.84892894491</v>
      </c>
      <c r="AH34" s="5">
        <v>28076.817435976009</v>
      </c>
      <c r="AI34" s="5">
        <v>55417.210965804006</v>
      </c>
      <c r="AJ34" s="5">
        <v>143463.65901065007</v>
      </c>
      <c r="AL34"/>
      <c r="AM34"/>
      <c r="AN34"/>
      <c r="AO34"/>
      <c r="AP34"/>
      <c r="AQ34"/>
      <c r="AR34"/>
      <c r="AS34"/>
    </row>
    <row r="35" spans="1:59" s="17" customFormat="1" x14ac:dyDescent="0.25">
      <c r="A35" s="16">
        <v>2017</v>
      </c>
      <c r="B35" s="15">
        <f t="shared" si="1"/>
        <v>541733.01031967392</v>
      </c>
      <c r="C35" s="15">
        <f t="shared" si="2"/>
        <v>22763.734213805998</v>
      </c>
      <c r="D35" s="15">
        <f t="shared" si="3"/>
        <v>58646.539279858007</v>
      </c>
      <c r="E35" s="15">
        <f t="shared" si="4"/>
        <v>11302.361522000001</v>
      </c>
      <c r="F35" s="15">
        <f t="shared" si="41"/>
        <v>634445.64533533796</v>
      </c>
      <c r="G35" s="5">
        <f t="shared" si="33"/>
        <v>1459423.6973826981</v>
      </c>
      <c r="H35" s="25"/>
      <c r="I35" s="16">
        <v>2017</v>
      </c>
      <c r="J35" s="15">
        <f t="shared" ref="J35:M35" si="43">S35+AG35</f>
        <v>470117.36109656288</v>
      </c>
      <c r="K35" s="15">
        <f t="shared" si="43"/>
        <v>18916.614492524004</v>
      </c>
      <c r="L35" s="15">
        <f t="shared" si="43"/>
        <v>57505.307462857723</v>
      </c>
      <c r="M35" s="15">
        <f t="shared" si="43"/>
        <v>11302.361522000003</v>
      </c>
      <c r="N35" s="15">
        <f t="shared" si="35"/>
        <v>557841.64457394462</v>
      </c>
      <c r="O35" s="5">
        <f t="shared" si="36"/>
        <v>1455128.2247062866</v>
      </c>
      <c r="R35" s="30">
        <v>2017</v>
      </c>
      <c r="S35" s="5">
        <v>78029</v>
      </c>
      <c r="T35" s="5">
        <v>0</v>
      </c>
      <c r="U35" s="5">
        <v>0</v>
      </c>
      <c r="V35" s="5">
        <v>158</v>
      </c>
      <c r="Y35" s="30">
        <v>2017</v>
      </c>
      <c r="Z35" s="5">
        <v>463704.01031967398</v>
      </c>
      <c r="AA35" s="5">
        <v>22763.734213805998</v>
      </c>
      <c r="AB35" s="5">
        <v>58646.539279858007</v>
      </c>
      <c r="AC35" s="5">
        <v>11144.361522000001</v>
      </c>
      <c r="AD35"/>
      <c r="AE35"/>
      <c r="AF35" s="30">
        <v>2017</v>
      </c>
      <c r="AG35" s="5">
        <v>392088.36109656288</v>
      </c>
      <c r="AH35" s="5">
        <v>18916.614492524004</v>
      </c>
      <c r="AI35" s="5">
        <v>57505.307462857723</v>
      </c>
      <c r="AJ35" s="5">
        <v>11144.361522000003</v>
      </c>
      <c r="AL35"/>
      <c r="AM35"/>
      <c r="AN35"/>
      <c r="AO35"/>
      <c r="AP35"/>
      <c r="AQ35"/>
      <c r="AR35"/>
      <c r="AS35"/>
    </row>
    <row r="36" spans="1:59" x14ac:dyDescent="0.25">
      <c r="A36" s="18" t="s">
        <v>71</v>
      </c>
      <c r="B36" s="5">
        <f>AVERAGE(B17:B25)</f>
        <v>812898.27658187575</v>
      </c>
      <c r="C36" s="5">
        <f t="shared" ref="C36:E36" si="44">AVERAGE(C17:C25)</f>
        <v>131349.96975204081</v>
      </c>
      <c r="D36" s="5">
        <f t="shared" si="44"/>
        <v>122735.39935063987</v>
      </c>
      <c r="E36" s="5">
        <f t="shared" si="44"/>
        <v>86756.786033056211</v>
      </c>
      <c r="F36" s="59"/>
      <c r="G36" s="5"/>
      <c r="H36" s="25"/>
      <c r="I36" s="18" t="s">
        <v>71</v>
      </c>
      <c r="J36" s="5">
        <f>AVERAGE(J17:J25)</f>
        <v>828787.26384259411</v>
      </c>
      <c r="K36" s="5">
        <f t="shared" ref="K36:M36" si="45">AVERAGE(K17:K25)</f>
        <v>130862.1010763684</v>
      </c>
      <c r="L36" s="5">
        <f t="shared" si="45"/>
        <v>125412.90946752348</v>
      </c>
      <c r="M36" s="5">
        <f t="shared" si="45"/>
        <v>82494.256023194335</v>
      </c>
      <c r="N36" s="59"/>
      <c r="O36" s="5"/>
      <c r="R36" s="18" t="s">
        <v>63</v>
      </c>
      <c r="S36" s="5">
        <f>AVERAGE(S4:S26)</f>
        <v>276683.4347826087</v>
      </c>
      <c r="T36" s="5">
        <f t="shared" ref="T36:V36" si="46">AVERAGE(T4:T26)</f>
        <v>0</v>
      </c>
      <c r="U36" s="5">
        <f t="shared" si="46"/>
        <v>0</v>
      </c>
      <c r="V36" s="5">
        <f t="shared" si="46"/>
        <v>5292.565217391304</v>
      </c>
      <c r="AF36" s="18" t="s">
        <v>63</v>
      </c>
      <c r="AG36" s="5">
        <f>AVERAGE(AG4:AG26)</f>
        <v>711488.10101274471</v>
      </c>
      <c r="AH36" s="5">
        <f t="shared" ref="AH36:AJ36" si="47">AVERAGE(AH4:AH26)</f>
        <v>134533.86774088469</v>
      </c>
      <c r="AI36" s="5">
        <f t="shared" si="47"/>
        <v>115161.49536060434</v>
      </c>
      <c r="AJ36" s="5">
        <f t="shared" si="47"/>
        <v>75651.288331546602</v>
      </c>
    </row>
    <row r="37" spans="1:59" x14ac:dyDescent="0.25">
      <c r="A37" s="18" t="s">
        <v>92</v>
      </c>
      <c r="B37" s="5">
        <f>AVERAGE(B30:B32)</f>
        <v>655620.34864323365</v>
      </c>
      <c r="C37" s="5">
        <f>AVERAGE(C30:C35)</f>
        <v>66820.179732420336</v>
      </c>
      <c r="D37" s="5">
        <f t="shared" ref="D37" si="48">AVERAGE(D30:D32)</f>
        <v>57320.918541830208</v>
      </c>
      <c r="E37" s="5">
        <f t="shared" ref="E37" si="49">AVERAGE(E30:E32)</f>
        <v>14469.250446517335</v>
      </c>
      <c r="F37" s="59"/>
      <c r="G37" s="5"/>
      <c r="H37" s="25"/>
      <c r="I37" s="18" t="s">
        <v>92</v>
      </c>
      <c r="J37" s="5">
        <f>AVERAGE(J30:J32)</f>
        <v>654097.1109631164</v>
      </c>
      <c r="K37" s="5">
        <f>AVERAGE(K30:K35)</f>
        <v>65566.027979357998</v>
      </c>
      <c r="L37" s="5">
        <f t="shared" ref="L37:M37" si="50">AVERAGE(L30:L32)</f>
        <v>56927.651735222666</v>
      </c>
      <c r="M37" s="5">
        <f t="shared" si="50"/>
        <v>14469.250446517335</v>
      </c>
      <c r="N37" s="59"/>
      <c r="O37" s="5"/>
      <c r="R37" s="18" t="s">
        <v>64</v>
      </c>
      <c r="S37" s="5">
        <f>AVERAGE(S24:S26)</f>
        <v>203205</v>
      </c>
      <c r="T37" s="5">
        <f t="shared" ref="T37:V37" si="51">AVERAGE(T24:T26)</f>
        <v>0</v>
      </c>
      <c r="U37" s="5">
        <f t="shared" si="51"/>
        <v>0</v>
      </c>
      <c r="V37" s="5">
        <f t="shared" si="51"/>
        <v>3543.3333333333335</v>
      </c>
      <c r="W37" s="17"/>
      <c r="X37" s="17"/>
      <c r="Y37" s="17"/>
      <c r="Z37" s="17"/>
      <c r="AA37" s="17"/>
      <c r="AB37" s="17"/>
      <c r="AC37" s="17"/>
      <c r="AD37" s="17"/>
      <c r="AE37" s="17"/>
      <c r="AF37" s="18" t="s">
        <v>64</v>
      </c>
      <c r="AG37" s="5">
        <f>AVERAGE(AG24:AG26)</f>
        <v>643834.17961074261</v>
      </c>
      <c r="AH37" s="5">
        <f t="shared" ref="AH37:AJ37" si="52">AVERAGE(AH24:AH26)</f>
        <v>40460.982285875238</v>
      </c>
      <c r="AI37" s="5">
        <f t="shared" si="52"/>
        <v>134733.45402877973</v>
      </c>
      <c r="AJ37" s="5">
        <f t="shared" si="52"/>
        <v>29426.70559330333</v>
      </c>
    </row>
    <row r="38" spans="1:59" x14ac:dyDescent="0.25">
      <c r="A38" s="18" t="s">
        <v>85</v>
      </c>
      <c r="B38" s="73">
        <f>B37/B36</f>
        <v>0.80652200592677603</v>
      </c>
      <c r="C38" s="73">
        <f t="shared" ref="C38:D38" si="53">C37/C36</f>
        <v>0.50871865336978606</v>
      </c>
      <c r="D38" s="73">
        <f t="shared" si="53"/>
        <v>0.46702841107862797</v>
      </c>
      <c r="E38" s="73">
        <f t="shared" ref="E38" si="54">E37/E36</f>
        <v>0.16677946600055282</v>
      </c>
      <c r="F38" s="59"/>
      <c r="G38" s="5"/>
      <c r="H38" s="25"/>
      <c r="I38" s="18" t="s">
        <v>85</v>
      </c>
      <c r="J38" s="73">
        <f>J37/J36</f>
        <v>0.78922196261855759</v>
      </c>
      <c r="K38" s="73">
        <f t="shared" ref="K38:M38" si="55">K37/K36</f>
        <v>0.50103144791397647</v>
      </c>
      <c r="L38" s="73">
        <f t="shared" si="55"/>
        <v>0.45392178506124575</v>
      </c>
      <c r="M38" s="73">
        <f t="shared" si="55"/>
        <v>0.17539706573569336</v>
      </c>
      <c r="N38" s="59"/>
      <c r="O38" s="5"/>
      <c r="P38" s="17"/>
      <c r="Q38" s="17"/>
      <c r="R38" s="18"/>
      <c r="S38" s="5"/>
      <c r="T38" s="5"/>
      <c r="U38" s="5"/>
      <c r="V38" s="5"/>
      <c r="W38" s="17"/>
      <c r="X38" s="17"/>
      <c r="Y38" s="17"/>
      <c r="Z38" s="17"/>
      <c r="AA38" s="17"/>
      <c r="AB38" s="17"/>
      <c r="AC38" s="17"/>
      <c r="AD38" s="17"/>
      <c r="AE38" s="17"/>
      <c r="AF38" s="18"/>
      <c r="AG38" s="5"/>
      <c r="AH38" s="5"/>
      <c r="AI38" s="5"/>
      <c r="AJ38" s="5"/>
      <c r="AK38" s="17"/>
      <c r="AL38" s="17"/>
      <c r="AM38" s="17"/>
      <c r="AN38" s="17"/>
      <c r="AO38" s="17"/>
      <c r="AP38" s="17"/>
      <c r="AQ38" s="17"/>
      <c r="AR38" s="17"/>
      <c r="AS38" s="17"/>
      <c r="AT38" s="17"/>
      <c r="AU38" s="17"/>
      <c r="AV38" s="17"/>
      <c r="AW38" s="17"/>
      <c r="AX38" s="17"/>
      <c r="AY38" s="17"/>
      <c r="AZ38" s="17"/>
      <c r="BA38" s="17"/>
      <c r="BB38" s="17"/>
      <c r="BC38" s="17"/>
      <c r="BD38" s="17"/>
      <c r="BE38" s="17"/>
      <c r="BF38" s="17"/>
      <c r="BG38" s="17"/>
    </row>
    <row r="39" spans="1:59" x14ac:dyDescent="0.25">
      <c r="A39" s="18" t="s">
        <v>335</v>
      </c>
      <c r="B39" s="73">
        <f>B42/B36</f>
        <v>1.0623901945179768</v>
      </c>
      <c r="C39" s="73">
        <f t="shared" ref="C39:E39" si="56">C42/C36</f>
        <v>0.74150859313230055</v>
      </c>
      <c r="D39" s="73">
        <f t="shared" si="56"/>
        <v>1.2002420122283177</v>
      </c>
      <c r="E39" s="73">
        <f t="shared" si="56"/>
        <v>1.2612685351800519</v>
      </c>
      <c r="F39" s="5"/>
      <c r="G39" s="17"/>
      <c r="H39" s="18"/>
      <c r="I39" s="18" t="s">
        <v>335</v>
      </c>
      <c r="J39" s="73">
        <f>J42/J36</f>
        <v>1.0412176613264543</v>
      </c>
      <c r="K39" s="73">
        <f t="shared" ref="K39:M39" si="57">K42/K36</f>
        <v>0.7441055696768526</v>
      </c>
      <c r="L39" s="73">
        <f t="shared" si="57"/>
        <v>1.1765049252975346</v>
      </c>
      <c r="M39" s="73">
        <f t="shared" si="57"/>
        <v>0.96483197350920269</v>
      </c>
      <c r="N39" s="59"/>
      <c r="O39" s="5"/>
      <c r="P39" s="17"/>
      <c r="Q39" s="17"/>
      <c r="R39" s="18"/>
      <c r="S39" s="5"/>
      <c r="T39" s="5"/>
      <c r="U39" s="5"/>
      <c r="V39" s="5"/>
      <c r="W39" s="17"/>
      <c r="X39" s="17"/>
      <c r="Y39" s="17"/>
      <c r="Z39" s="17"/>
      <c r="AA39" s="17"/>
      <c r="AB39" s="17"/>
      <c r="AC39" s="17"/>
      <c r="AD39" s="17"/>
      <c r="AE39" s="17"/>
      <c r="AF39" s="18"/>
      <c r="AG39" s="5"/>
      <c r="AH39" s="5"/>
      <c r="AI39" s="5"/>
      <c r="AJ39" s="5"/>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x14ac:dyDescent="0.25">
      <c r="I40" s="25"/>
      <c r="J40" s="50"/>
      <c r="K40" s="50"/>
      <c r="L40" s="50"/>
      <c r="M40" s="50"/>
      <c r="P40" s="44"/>
      <c r="Q40" s="17"/>
      <c r="AH40" s="17"/>
    </row>
    <row r="41" spans="1:59" x14ac:dyDescent="0.25">
      <c r="A41" s="29" t="s">
        <v>20</v>
      </c>
      <c r="B41" s="29" t="s">
        <v>328</v>
      </c>
      <c r="C41" s="48" t="s">
        <v>328</v>
      </c>
      <c r="D41" s="48" t="s">
        <v>328</v>
      </c>
      <c r="E41" s="48" t="s">
        <v>328</v>
      </c>
      <c r="I41" s="28" t="s">
        <v>20</v>
      </c>
      <c r="J41" s="28" t="s">
        <v>329</v>
      </c>
      <c r="K41" s="28" t="s">
        <v>329</v>
      </c>
      <c r="L41" s="28" t="s">
        <v>329</v>
      </c>
      <c r="M41" s="28" t="s">
        <v>329</v>
      </c>
      <c r="N41" s="43"/>
      <c r="O41" s="43"/>
      <c r="P41" s="44"/>
      <c r="AH41" s="17"/>
    </row>
    <row r="42" spans="1:59" s="17" customFormat="1" x14ac:dyDescent="0.25">
      <c r="A42" s="32">
        <v>2012</v>
      </c>
      <c r="B42" s="5">
        <f>VLOOKUP(VLOOKUP(3,$B$122:$F$130,5,FALSE),$A$17:$E$25,2,FALSE)</f>
        <v>863615.15818114707</v>
      </c>
      <c r="C42" s="5">
        <f t="shared" ref="C42:C47" si="58">VLOOKUP(VLOOKUP(3,$C$122:$F$130,4,FALSE),$A$17:$E$25,3,FALSE)</f>
        <v>97397.131278806017</v>
      </c>
      <c r="D42" s="5">
        <f>VLOOKUP(VLOOKUP(3,$D$122:$F$130,3,FALSE),$A$17:$E$25,4,FALSE)</f>
        <v>147312.18268825815</v>
      </c>
      <c r="E42" s="5">
        <f>VLOOKUP(VLOOKUP(3,$E$122:$F$130,2,FALSE),$A$17:$E$25,5,FALSE)</f>
        <v>109423.604436842</v>
      </c>
      <c r="F42"/>
      <c r="G42"/>
      <c r="H42"/>
      <c r="I42" s="54">
        <v>2012</v>
      </c>
      <c r="J42" s="7">
        <f>VLOOKUP(VLOOKUP(3,$J$122:$N$130,5,FALSE),$I$17:$M$25,2,FALSE)</f>
        <v>862947.93659533688</v>
      </c>
      <c r="K42" s="7">
        <f t="shared" ref="K42:K47" si="59">VLOOKUP(VLOOKUP(3,$K$122:$N$130,4,FALSE),$I$17:$M$25,3,FALSE)</f>
        <v>97375.21827054098</v>
      </c>
      <c r="L42" s="7">
        <f>VLOOKUP(VLOOKUP(3,$L$122:$N$130,3,FALSE),$I$17:$M$25,4,FALSE)</f>
        <v>147548.90568443519</v>
      </c>
      <c r="M42" s="7">
        <f>VLOOKUP(VLOOKUP(3,$M$122:$N$130,2,FALSE),$I$17:$M$25,5,FALSE)</f>
        <v>79593.095842032024</v>
      </c>
      <c r="N42"/>
      <c r="O42"/>
      <c r="P42" s="44"/>
      <c r="Q42"/>
      <c r="R42"/>
      <c r="S42"/>
      <c r="T42"/>
      <c r="U42"/>
      <c r="V42"/>
      <c r="W42"/>
      <c r="X42"/>
      <c r="Y42"/>
      <c r="Z42"/>
      <c r="AA42"/>
      <c r="AB42"/>
      <c r="AC42"/>
      <c r="AD42"/>
      <c r="AE42"/>
      <c r="AF42"/>
      <c r="AG42"/>
      <c r="AI42"/>
      <c r="AJ42"/>
      <c r="AK42"/>
    </row>
    <row r="43" spans="1:59" s="17" customFormat="1" x14ac:dyDescent="0.25">
      <c r="A43" s="32">
        <v>2013</v>
      </c>
      <c r="B43" s="5">
        <f>VLOOKUP(VLOOKUP(3,$B$122:$F$130,5,FALSE),$A$17:$E$25,2,FALSE)</f>
        <v>863615.15818114707</v>
      </c>
      <c r="C43" s="5">
        <f t="shared" si="58"/>
        <v>97397.131278806017</v>
      </c>
      <c r="D43" s="5">
        <f>VLOOKUP(VLOOKUP(3,$D$122:$F$130,3,FALSE),$A$17:$E$25,4,FALSE)</f>
        <v>147312.18268825815</v>
      </c>
      <c r="E43" s="5">
        <f>VLOOKUP(VLOOKUP(3,$E$122:$F$130,2,FALSE),$A$17:$E$25,5,FALSE)</f>
        <v>109423.604436842</v>
      </c>
      <c r="F43"/>
      <c r="G43"/>
      <c r="H43"/>
      <c r="I43" s="54">
        <v>2013</v>
      </c>
      <c r="J43" s="7">
        <f>VLOOKUP(VLOOKUP(3,$J$122:$N$130,5,FALSE),$I$17:$M$25,2,FALSE)</f>
        <v>862947.93659533688</v>
      </c>
      <c r="K43" s="7">
        <f t="shared" si="59"/>
        <v>97375.21827054098</v>
      </c>
      <c r="L43" s="7">
        <f>VLOOKUP(VLOOKUP(3,$L$122:$N$130,3,FALSE),$I$17:$M$25,4,FALSE)</f>
        <v>147548.90568443519</v>
      </c>
      <c r="M43" s="7">
        <f>VLOOKUP(VLOOKUP(3,$M$122:$N$130,2,FALSE),$I$17:$M$25,5,FALSE)</f>
        <v>79593.095842032024</v>
      </c>
      <c r="N43"/>
      <c r="O43"/>
      <c r="P43" s="44"/>
      <c r="Q43"/>
      <c r="R43"/>
      <c r="S43"/>
      <c r="T43"/>
      <c r="U43"/>
      <c r="V43"/>
      <c r="W43"/>
      <c r="X43"/>
      <c r="Y43"/>
      <c r="Z43"/>
      <c r="AA43"/>
      <c r="AB43"/>
      <c r="AC43"/>
      <c r="AD43"/>
      <c r="AE43"/>
      <c r="AF43"/>
      <c r="AG43"/>
      <c r="AI43"/>
      <c r="AJ43"/>
      <c r="AK43"/>
    </row>
    <row r="44" spans="1:59" s="17" customFormat="1" x14ac:dyDescent="0.25">
      <c r="A44" s="32">
        <v>2014</v>
      </c>
      <c r="B44" s="5">
        <f>VLOOKUP(VLOOKUP(3,$B$122:$F$130,5,FALSE),$A$17:$E$25,2,FALSE)</f>
        <v>863615.15818114707</v>
      </c>
      <c r="C44" s="5">
        <f t="shared" si="58"/>
        <v>97397.131278806017</v>
      </c>
      <c r="D44" s="5">
        <f>VLOOKUP(VLOOKUP(3,$D$122:$F$130,3,FALSE),$A$17:$E$25,4,FALSE)</f>
        <v>147312.18268825815</v>
      </c>
      <c r="E44" s="5">
        <f>VLOOKUP(VLOOKUP(3,$E$122:$F$130,2,FALSE),$A$17:$E$25,5,FALSE)</f>
        <v>109423.604436842</v>
      </c>
      <c r="F44"/>
      <c r="G44"/>
      <c r="H44"/>
      <c r="I44" s="54">
        <v>2014</v>
      </c>
      <c r="J44" s="7">
        <f>VLOOKUP(VLOOKUP(3,$J$122:$N$130,5,FALSE),$I$17:$M$25,2,FALSE)</f>
        <v>862947.93659533688</v>
      </c>
      <c r="K44" s="7">
        <f t="shared" si="59"/>
        <v>97375.21827054098</v>
      </c>
      <c r="L44" s="7">
        <f>VLOOKUP(VLOOKUP(3,$L$122:$N$130,3,FALSE),$I$17:$M$25,4,FALSE)</f>
        <v>147548.90568443519</v>
      </c>
      <c r="M44" s="7">
        <f>VLOOKUP(VLOOKUP(3,$M$122:$N$130,2,FALSE),$I$17:$M$25,5,FALSE)</f>
        <v>79593.095842032024</v>
      </c>
      <c r="O44"/>
      <c r="P44" s="44"/>
      <c r="Q44"/>
      <c r="R44"/>
      <c r="S44"/>
      <c r="T44"/>
      <c r="V44"/>
      <c r="W44"/>
      <c r="X44"/>
      <c r="Y44"/>
      <c r="Z44"/>
      <c r="AA44"/>
      <c r="AB44"/>
      <c r="AC44"/>
      <c r="AD44"/>
      <c r="AE44"/>
      <c r="AF44"/>
      <c r="AG44"/>
      <c r="AI44"/>
      <c r="AJ44"/>
      <c r="AK44"/>
    </row>
    <row r="45" spans="1:59" x14ac:dyDescent="0.25">
      <c r="A45" s="32">
        <v>2015</v>
      </c>
      <c r="B45" s="5">
        <f>B$57</f>
        <v>932871.76042299496</v>
      </c>
      <c r="C45" s="5">
        <f t="shared" si="58"/>
        <v>97397.131278806017</v>
      </c>
      <c r="D45" s="5">
        <f t="shared" ref="D45:E47" si="60">D$57</f>
        <v>173769.80548197706</v>
      </c>
      <c r="E45" s="5">
        <f t="shared" si="60"/>
        <v>255385.00019892</v>
      </c>
      <c r="I45" s="54">
        <v>2015</v>
      </c>
      <c r="J45" s="7">
        <f>J$57</f>
        <v>950897.22645911609</v>
      </c>
      <c r="K45" s="7">
        <f t="shared" si="59"/>
        <v>97375.21827054098</v>
      </c>
      <c r="L45" s="7">
        <f t="shared" ref="L45:M47" si="61">L$57</f>
        <v>174728.82719742949</v>
      </c>
      <c r="M45" s="7">
        <f t="shared" si="61"/>
        <v>232126.95277919993</v>
      </c>
      <c r="N45" s="17"/>
      <c r="P45" s="17"/>
      <c r="Q45" s="17"/>
      <c r="R45" s="17"/>
      <c r="S45" s="17"/>
      <c r="T45" s="17"/>
      <c r="U45" s="17"/>
      <c r="V45" s="17"/>
      <c r="W45" s="17"/>
      <c r="X45" s="17"/>
      <c r="Y45" s="17"/>
      <c r="Z45" s="17"/>
      <c r="AA45" s="17"/>
      <c r="AB45" s="17"/>
      <c r="AC45" s="17"/>
      <c r="AH45" s="17"/>
    </row>
    <row r="46" spans="1:59" x14ac:dyDescent="0.25">
      <c r="A46" s="32">
        <v>2016</v>
      </c>
      <c r="B46" s="5">
        <f>B$57</f>
        <v>932871.76042299496</v>
      </c>
      <c r="C46" s="5">
        <f t="shared" si="58"/>
        <v>97397.131278806017</v>
      </c>
      <c r="D46" s="5">
        <f t="shared" si="60"/>
        <v>173769.80548197706</v>
      </c>
      <c r="E46" s="5">
        <f t="shared" si="60"/>
        <v>255385.00019892</v>
      </c>
      <c r="F46" s="17"/>
      <c r="G46" s="17"/>
      <c r="H46" s="17"/>
      <c r="I46" s="54">
        <v>2016</v>
      </c>
      <c r="J46" s="7">
        <f>J$57</f>
        <v>950897.22645911609</v>
      </c>
      <c r="K46" s="7">
        <f t="shared" si="59"/>
        <v>97375.21827054098</v>
      </c>
      <c r="L46" s="7">
        <f t="shared" si="61"/>
        <v>174728.82719742949</v>
      </c>
      <c r="M46" s="7">
        <f t="shared" si="61"/>
        <v>232126.95277919993</v>
      </c>
      <c r="N46" s="17"/>
      <c r="O46" s="17"/>
      <c r="P46" s="17"/>
      <c r="Q46" s="17"/>
      <c r="R46" s="17"/>
      <c r="S46" s="17"/>
      <c r="T46" s="17"/>
      <c r="U46" s="17"/>
      <c r="V46" s="17"/>
      <c r="W46" s="17"/>
      <c r="X46" s="17"/>
      <c r="Y46" s="17"/>
      <c r="Z46" s="17"/>
      <c r="AA46" s="17"/>
      <c r="AB46" s="17"/>
      <c r="AC46" s="17"/>
      <c r="AH46" s="17"/>
    </row>
    <row r="47" spans="1:59" x14ac:dyDescent="0.25">
      <c r="A47" s="32">
        <v>2017</v>
      </c>
      <c r="B47" s="5">
        <f>B$57</f>
        <v>932871.76042299496</v>
      </c>
      <c r="C47" s="5">
        <f t="shared" si="58"/>
        <v>97397.131278806017</v>
      </c>
      <c r="D47" s="5">
        <f t="shared" si="60"/>
        <v>173769.80548197706</v>
      </c>
      <c r="E47" s="5">
        <f t="shared" si="60"/>
        <v>255385.00019892</v>
      </c>
      <c r="F47" s="17"/>
      <c r="G47" s="17"/>
      <c r="H47" s="17"/>
      <c r="I47" s="54">
        <v>2017</v>
      </c>
      <c r="J47" s="7">
        <f>J$57</f>
        <v>950897.22645911609</v>
      </c>
      <c r="K47" s="7">
        <f t="shared" si="59"/>
        <v>97375.21827054098</v>
      </c>
      <c r="L47" s="7">
        <f t="shared" si="61"/>
        <v>174728.82719742949</v>
      </c>
      <c r="M47" s="7">
        <f t="shared" si="61"/>
        <v>232126.95277919993</v>
      </c>
      <c r="N47" s="17"/>
      <c r="O47" s="17"/>
      <c r="Q47" s="17"/>
      <c r="R47" s="17"/>
      <c r="S47" s="17"/>
      <c r="T47" s="17"/>
      <c r="U47" s="17"/>
      <c r="V47" s="17"/>
      <c r="W47" s="17"/>
      <c r="X47" s="17"/>
      <c r="Y47" s="17"/>
      <c r="Z47" s="17"/>
      <c r="AA47" s="17"/>
      <c r="AB47" s="17"/>
      <c r="AC47" s="17"/>
      <c r="AH47" s="17"/>
    </row>
    <row r="48" spans="1:59" x14ac:dyDescent="0.25">
      <c r="A48" s="32"/>
      <c r="B48" s="5"/>
      <c r="C48" s="5"/>
      <c r="D48" s="5"/>
      <c r="E48" s="5"/>
      <c r="F48" s="17"/>
      <c r="G48" s="17"/>
      <c r="H48" s="17"/>
      <c r="I48" s="54"/>
      <c r="J48" s="7"/>
      <c r="K48" s="7"/>
      <c r="L48" s="7"/>
      <c r="M48" s="7"/>
      <c r="N48" s="17"/>
      <c r="O48" s="17"/>
      <c r="P48" s="17"/>
      <c r="AH48" s="17"/>
    </row>
    <row r="49" spans="1:34" x14ac:dyDescent="0.25">
      <c r="A49" s="365" t="s">
        <v>332</v>
      </c>
      <c r="B49" s="365"/>
      <c r="C49" s="365"/>
      <c r="D49" s="365"/>
      <c r="E49" s="365"/>
      <c r="F49" s="17"/>
      <c r="G49" s="17"/>
      <c r="H49" s="17"/>
      <c r="I49" s="365" t="s">
        <v>333</v>
      </c>
      <c r="J49" s="365"/>
      <c r="K49" s="365"/>
      <c r="L49" s="365"/>
      <c r="M49" s="365"/>
      <c r="N49" s="17"/>
      <c r="O49" s="17"/>
      <c r="P49" s="17"/>
      <c r="Q49" s="17"/>
      <c r="AH49" s="17"/>
    </row>
    <row r="50" spans="1:34" x14ac:dyDescent="0.25">
      <c r="A50" s="74" t="s">
        <v>56</v>
      </c>
      <c r="B50" s="57" t="s">
        <v>19</v>
      </c>
      <c r="C50" s="57"/>
      <c r="D50" s="57" t="s">
        <v>15</v>
      </c>
      <c r="E50" s="57" t="s">
        <v>23</v>
      </c>
      <c r="F50" s="17"/>
      <c r="G50" s="17"/>
      <c r="H50" s="17"/>
      <c r="I50" s="74" t="s">
        <v>56</v>
      </c>
      <c r="J50" s="57" t="s">
        <v>19</v>
      </c>
      <c r="K50" s="57"/>
      <c r="L50" s="57" t="s">
        <v>15</v>
      </c>
      <c r="M50" s="57" t="s">
        <v>23</v>
      </c>
      <c r="N50" s="17"/>
      <c r="O50" s="17"/>
      <c r="P50" s="17"/>
      <c r="Q50" s="17"/>
      <c r="AH50" s="17"/>
    </row>
    <row r="51" spans="1:34" x14ac:dyDescent="0.25">
      <c r="A51" s="49" t="s">
        <v>79</v>
      </c>
      <c r="B51" s="49" t="s">
        <v>73</v>
      </c>
      <c r="C51" s="49"/>
      <c r="D51" s="49" t="s">
        <v>73</v>
      </c>
      <c r="E51" s="49" t="s">
        <v>78</v>
      </c>
      <c r="F51" s="17"/>
      <c r="G51" s="17"/>
      <c r="H51" s="17"/>
      <c r="I51" s="49" t="s">
        <v>79</v>
      </c>
      <c r="J51" s="49" t="s">
        <v>73</v>
      </c>
      <c r="K51" s="49"/>
      <c r="L51" s="49" t="s">
        <v>73</v>
      </c>
      <c r="M51" s="49" t="s">
        <v>78</v>
      </c>
      <c r="N51" s="17"/>
      <c r="O51" s="17"/>
      <c r="P51" s="17"/>
      <c r="Q51" s="17"/>
      <c r="AH51" s="17"/>
    </row>
    <row r="52" spans="1:34" x14ac:dyDescent="0.25">
      <c r="A52" s="49" t="s">
        <v>80</v>
      </c>
      <c r="B52" s="49">
        <f>VLOOKUP(B51,'ORCS Categories'!$A$5:$C$9,2,FALSE)</f>
        <v>1.25</v>
      </c>
      <c r="C52" s="49"/>
      <c r="D52" s="49">
        <f>VLOOKUP(D51,'ORCS Categories'!$A$5:$C$9,2,FALSE)</f>
        <v>1.25</v>
      </c>
      <c r="E52" s="49">
        <f>VLOOKUP(E51,'ORCS Categories'!$A$5:$C$9,2,FALSE)</f>
        <v>1.5</v>
      </c>
      <c r="F52" s="17"/>
      <c r="G52" s="17"/>
      <c r="H52" s="17"/>
      <c r="I52" s="49" t="s">
        <v>80</v>
      </c>
      <c r="J52" s="49">
        <f>VLOOKUP(J51,'ORCS Categories'!$A$5:$C$9,2,FALSE)</f>
        <v>1.25</v>
      </c>
      <c r="K52" s="49"/>
      <c r="L52" s="49">
        <f>VLOOKUP(L51,'ORCS Categories'!$A$5:$C$9,2,FALSE)</f>
        <v>1.25</v>
      </c>
      <c r="M52" s="49">
        <f>VLOOKUP(M51,'ORCS Categories'!$A$5:$C$9,2,FALSE)</f>
        <v>1.5</v>
      </c>
      <c r="N52" s="17"/>
      <c r="O52" s="17"/>
      <c r="P52" s="17"/>
      <c r="Q52" s="17"/>
      <c r="AH52" s="17"/>
    </row>
    <row r="53" spans="1:34" x14ac:dyDescent="0.25">
      <c r="A53" s="49" t="s">
        <v>81</v>
      </c>
      <c r="B53" s="49" t="s">
        <v>54</v>
      </c>
      <c r="C53" s="49"/>
      <c r="D53" s="49" t="s">
        <v>54</v>
      </c>
      <c r="E53" s="49" t="s">
        <v>54</v>
      </c>
      <c r="F53" s="17"/>
      <c r="G53" s="17"/>
      <c r="H53" s="17"/>
      <c r="I53" s="49" t="s">
        <v>81</v>
      </c>
      <c r="J53" s="49" t="s">
        <v>54</v>
      </c>
      <c r="K53" s="49"/>
      <c r="L53" s="49" t="s">
        <v>54</v>
      </c>
      <c r="M53" s="49" t="s">
        <v>54</v>
      </c>
      <c r="N53" s="17"/>
      <c r="O53" s="17"/>
      <c r="P53" s="17"/>
      <c r="Q53" s="17"/>
      <c r="AH53" s="17"/>
    </row>
    <row r="54" spans="1:34" x14ac:dyDescent="0.25">
      <c r="A54" s="49" t="s">
        <v>82</v>
      </c>
      <c r="B54" s="49">
        <f>VLOOKUP(MAX(B17:B25),B17:$I$25,8,FALSE)</f>
        <v>2002</v>
      </c>
      <c r="C54" s="49"/>
      <c r="D54" s="49">
        <f>VLOOKUP(MAX(D17:D25),D17:$I$25,6,FALSE)</f>
        <v>2003</v>
      </c>
      <c r="E54" s="49">
        <f>VLOOKUP(MAX(E17:E25),E17:$I$25,5,FALSE)</f>
        <v>1999</v>
      </c>
      <c r="F54" s="17"/>
      <c r="G54" s="17"/>
      <c r="H54" s="17"/>
      <c r="I54" s="49" t="s">
        <v>82</v>
      </c>
      <c r="J54" s="49">
        <f>VLOOKUP(J55,J17:$R$25,9,FALSE)</f>
        <v>2002</v>
      </c>
      <c r="K54" s="49"/>
      <c r="L54" s="49">
        <f>VLOOKUP(L55,L17:$R$25,7,FALSE)</f>
        <v>2003</v>
      </c>
      <c r="M54" s="49">
        <f>VLOOKUP(M55,M17:$R$25,6,FALSE)</f>
        <v>1999</v>
      </c>
      <c r="N54" s="17"/>
      <c r="O54" s="17"/>
      <c r="P54" s="17"/>
      <c r="Q54" s="17"/>
      <c r="AH54" s="17"/>
    </row>
    <row r="55" spans="1:34" x14ac:dyDescent="0.25">
      <c r="A55" s="49" t="s">
        <v>83</v>
      </c>
      <c r="B55" s="24">
        <f>MAX(B17:B25)</f>
        <v>1066139.154769137</v>
      </c>
      <c r="C55" s="24"/>
      <c r="D55" s="24">
        <f>MAX(D17:D25)</f>
        <v>198594.06340797379</v>
      </c>
      <c r="E55" s="24">
        <f>MAX(E17:E25)</f>
        <v>212820.83349909997</v>
      </c>
      <c r="F55" s="17"/>
      <c r="G55" s="17"/>
      <c r="H55" s="17"/>
      <c r="I55" s="49" t="s">
        <v>83</v>
      </c>
      <c r="J55" s="24">
        <f>MAX(J17:J25)</f>
        <v>1086739.6873818471</v>
      </c>
      <c r="K55" s="24"/>
      <c r="L55" s="24">
        <f>MAX(L17:L25)</f>
        <v>199690.08822563372</v>
      </c>
      <c r="M55" s="24">
        <f>MAX(M17:M25)</f>
        <v>193439.12731599994</v>
      </c>
      <c r="N55" s="17"/>
      <c r="O55" s="17"/>
      <c r="P55" s="17"/>
      <c r="Q55" s="17"/>
      <c r="AH55" s="17"/>
    </row>
    <row r="56" spans="1:34" x14ac:dyDescent="0.25">
      <c r="A56" s="49" t="s">
        <v>59</v>
      </c>
      <c r="B56" s="49">
        <f>VLOOKUP(B51,'ORCS Categories'!$A$5:$C$9,3,FALSE)</f>
        <v>0.7</v>
      </c>
      <c r="C56" s="49"/>
      <c r="D56" s="49">
        <f>VLOOKUP(D51,'ORCS Categories'!$A$5:$C$9,3,FALSE)</f>
        <v>0.7</v>
      </c>
      <c r="E56" s="49">
        <f>VLOOKUP(E51,'ORCS Categories'!$A$5:$C$9,3,FALSE)</f>
        <v>0.8</v>
      </c>
      <c r="F56" s="17"/>
      <c r="G56" s="17"/>
      <c r="H56" s="17"/>
      <c r="I56" s="49" t="s">
        <v>59</v>
      </c>
      <c r="J56" s="49">
        <f>VLOOKUP(J51,'ORCS Categories'!$A$5:$C$9,3,FALSE)</f>
        <v>0.7</v>
      </c>
      <c r="K56" s="49"/>
      <c r="L56" s="49">
        <f>VLOOKUP(L51,'ORCS Categories'!$A$5:$C$9,3,FALSE)</f>
        <v>0.7</v>
      </c>
      <c r="M56" s="49">
        <f>VLOOKUP(M51,'ORCS Categories'!$A$5:$C$9,3,FALSE)</f>
        <v>0.8</v>
      </c>
      <c r="N56" s="17"/>
      <c r="O56" s="17"/>
      <c r="P56" s="17"/>
      <c r="Q56" s="17"/>
      <c r="AH56" s="17"/>
    </row>
    <row r="57" spans="1:34" x14ac:dyDescent="0.25">
      <c r="A57" s="49" t="s">
        <v>41</v>
      </c>
      <c r="B57" s="24">
        <f>B55*B52*B56</f>
        <v>932871.76042299496</v>
      </c>
      <c r="C57" s="24"/>
      <c r="D57" s="24">
        <f t="shared" ref="D57:E57" si="62">D55*D52*D56</f>
        <v>173769.80548197706</v>
      </c>
      <c r="E57" s="24">
        <f t="shared" si="62"/>
        <v>255385.00019892</v>
      </c>
      <c r="F57" s="17"/>
      <c r="G57" s="17"/>
      <c r="H57" s="17"/>
      <c r="I57" s="49" t="s">
        <v>41</v>
      </c>
      <c r="J57" s="24">
        <f>J55*J52*J56</f>
        <v>950897.22645911609</v>
      </c>
      <c r="K57" s="24"/>
      <c r="L57" s="24">
        <f t="shared" ref="L57" si="63">L55*L52*L56</f>
        <v>174728.82719742949</v>
      </c>
      <c r="M57" s="24">
        <f t="shared" ref="M57" si="64">M55*M52*M56</f>
        <v>232126.95277919993</v>
      </c>
      <c r="N57" s="17"/>
      <c r="O57" s="17"/>
      <c r="P57" s="17"/>
      <c r="Q57" s="17"/>
      <c r="AH57" s="17"/>
    </row>
    <row r="58" spans="1:34" x14ac:dyDescent="0.25">
      <c r="A58" s="32"/>
      <c r="B58" s="5"/>
      <c r="C58" s="5"/>
      <c r="D58" s="5"/>
      <c r="E58" s="5"/>
      <c r="F58" s="17"/>
      <c r="G58" s="17"/>
      <c r="H58" s="17"/>
      <c r="I58" s="54"/>
      <c r="J58" s="7"/>
      <c r="K58" s="7"/>
      <c r="L58" s="7"/>
      <c r="M58" s="7"/>
      <c r="N58" s="17"/>
      <c r="O58" s="17"/>
      <c r="P58" s="17"/>
      <c r="Q58" s="17"/>
      <c r="AH58" s="17"/>
    </row>
    <row r="59" spans="1:34" x14ac:dyDescent="0.25">
      <c r="A59" s="32"/>
      <c r="B59" s="5"/>
      <c r="C59" s="5"/>
      <c r="D59" s="5"/>
      <c r="E59" s="5"/>
      <c r="F59" s="17"/>
      <c r="G59" s="17"/>
      <c r="H59" s="25"/>
      <c r="I59" s="7"/>
      <c r="J59" s="7"/>
      <c r="K59" s="7"/>
      <c r="L59" s="7"/>
      <c r="M59" s="25"/>
      <c r="N59" s="17"/>
      <c r="O59" s="17"/>
      <c r="Q59" s="17"/>
      <c r="AH59" s="17"/>
    </row>
    <row r="60" spans="1:34" x14ac:dyDescent="0.25">
      <c r="H60" s="28"/>
      <c r="I60" s="56"/>
      <c r="J60" s="56"/>
      <c r="K60" s="56"/>
      <c r="L60" s="56"/>
      <c r="M60" s="25"/>
      <c r="AH60" s="17"/>
    </row>
    <row r="61" spans="1:34" x14ac:dyDescent="0.25">
      <c r="AH61" s="17"/>
    </row>
    <row r="80" spans="17:41" x14ac:dyDescent="0.25">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row>
    <row r="81" spans="16:42" x14ac:dyDescent="0.25">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row>
    <row r="82" spans="16:42" x14ac:dyDescent="0.25">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row>
    <row r="83" spans="16:42" x14ac:dyDescent="0.25">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row>
    <row r="84" spans="16:42" x14ac:dyDescent="0.25">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6:42" x14ac:dyDescent="0.25">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row>
    <row r="86" spans="16:42" x14ac:dyDescent="0.25">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row>
    <row r="87" spans="16:42" x14ac:dyDescent="0.25">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row>
    <row r="88" spans="16:42" x14ac:dyDescent="0.25">
      <c r="P88" s="17"/>
    </row>
    <row r="89" spans="16:42" x14ac:dyDescent="0.25">
      <c r="Q89" s="17"/>
      <c r="R89" s="17"/>
      <c r="S89" s="17"/>
      <c r="T89" s="17"/>
      <c r="U89" s="17"/>
      <c r="V89" s="17"/>
      <c r="W89" s="17"/>
      <c r="X89" s="17"/>
      <c r="Y89" s="17"/>
      <c r="Z89" s="17"/>
      <c r="AA89" s="17"/>
      <c r="AB89" s="17"/>
      <c r="AC89" s="17"/>
      <c r="AD89" s="17"/>
      <c r="AE89" s="17"/>
      <c r="AF89" s="17"/>
      <c r="AG89" s="17"/>
      <c r="AH89" s="17"/>
      <c r="AI89" s="17"/>
      <c r="AJ89" s="17"/>
      <c r="AK89" s="17"/>
      <c r="AL89" s="17"/>
      <c r="AM89" s="17"/>
    </row>
    <row r="90" spans="16:42" x14ac:dyDescent="0.25">
      <c r="P90" s="17"/>
      <c r="Q90" s="17"/>
      <c r="R90" s="17"/>
      <c r="S90" s="17"/>
      <c r="T90" s="17"/>
      <c r="U90" s="17"/>
      <c r="V90" s="17"/>
      <c r="W90" s="17"/>
      <c r="X90" s="17"/>
      <c r="Y90" s="17"/>
      <c r="Z90" s="17"/>
      <c r="AA90" s="17"/>
      <c r="AB90" s="17"/>
      <c r="AC90" s="17"/>
      <c r="AD90" s="17"/>
      <c r="AE90" s="17"/>
      <c r="AF90" s="17"/>
      <c r="AG90" s="17"/>
      <c r="AH90" s="17"/>
      <c r="AI90" s="17"/>
      <c r="AJ90" s="17"/>
      <c r="AK90" s="17"/>
      <c r="AL90" s="17"/>
      <c r="AM90" s="17"/>
    </row>
    <row r="91" spans="16:42" x14ac:dyDescent="0.25">
      <c r="P91" s="17"/>
      <c r="Q91" s="17"/>
      <c r="R91" s="17"/>
      <c r="S91" s="17"/>
      <c r="T91" s="17"/>
      <c r="U91" s="17"/>
      <c r="V91" s="17"/>
      <c r="W91" s="17"/>
      <c r="X91" s="17"/>
      <c r="Y91" s="17"/>
      <c r="Z91" s="17"/>
      <c r="AA91" s="17"/>
      <c r="AB91" s="17"/>
      <c r="AC91" s="17"/>
      <c r="AD91" s="17"/>
      <c r="AE91" s="17"/>
      <c r="AF91" s="17"/>
      <c r="AG91" s="17"/>
      <c r="AH91" s="17"/>
      <c r="AI91" s="17"/>
      <c r="AJ91" s="17"/>
      <c r="AK91" s="17"/>
      <c r="AL91" s="17"/>
      <c r="AM91" s="17"/>
    </row>
    <row r="92" spans="16:42" x14ac:dyDescent="0.25">
      <c r="P92" s="17"/>
      <c r="Q92" s="17"/>
      <c r="R92" s="17"/>
      <c r="S92" s="17"/>
      <c r="T92" s="17"/>
      <c r="U92" s="17"/>
      <c r="V92" s="17"/>
      <c r="W92" s="17"/>
      <c r="X92" s="17"/>
      <c r="Y92" s="17"/>
      <c r="Z92" s="17"/>
      <c r="AA92" s="17"/>
      <c r="AB92" s="17"/>
      <c r="AC92" s="17"/>
      <c r="AD92" s="17"/>
      <c r="AE92" s="17"/>
      <c r="AF92" s="17"/>
      <c r="AG92" s="17"/>
      <c r="AH92" s="17"/>
      <c r="AI92" s="17"/>
      <c r="AJ92" s="17"/>
      <c r="AK92" s="17"/>
      <c r="AL92" s="17"/>
      <c r="AM92" s="17"/>
    </row>
    <row r="93" spans="16:42" x14ac:dyDescent="0.25">
      <c r="P93" s="17"/>
      <c r="Q93" s="17"/>
      <c r="R93" s="17"/>
      <c r="S93" s="17"/>
      <c r="T93" s="17"/>
      <c r="U93" s="17"/>
      <c r="V93" s="17"/>
      <c r="W93" s="17"/>
      <c r="X93" s="17"/>
      <c r="Y93" s="17"/>
      <c r="Z93" s="17"/>
      <c r="AA93" s="17"/>
      <c r="AB93" s="17"/>
      <c r="AC93" s="17"/>
      <c r="AD93" s="17"/>
      <c r="AE93" s="17"/>
      <c r="AF93" s="17"/>
      <c r="AG93" s="17"/>
      <c r="AH93" s="17"/>
      <c r="AI93" s="17"/>
      <c r="AJ93" s="17"/>
      <c r="AK93" s="17"/>
      <c r="AL93" s="17"/>
      <c r="AM93" s="17"/>
    </row>
    <row r="94" spans="16:42" x14ac:dyDescent="0.25">
      <c r="P94" s="17"/>
    </row>
    <row r="95" spans="16:42" x14ac:dyDescent="0.25">
      <c r="Q95" s="366" t="s">
        <v>19</v>
      </c>
      <c r="R95" s="366"/>
      <c r="S95" s="366"/>
      <c r="T95" s="366"/>
      <c r="U95" s="366"/>
      <c r="V95" s="366"/>
      <c r="W95" s="366"/>
      <c r="X95" s="366"/>
      <c r="Y95" s="366"/>
      <c r="Z95" s="366"/>
      <c r="AG95" s="366" t="s">
        <v>23</v>
      </c>
      <c r="AH95" s="366"/>
      <c r="AI95" s="366"/>
      <c r="AJ95" s="366"/>
      <c r="AK95" s="366"/>
      <c r="AL95" s="366"/>
      <c r="AM95" s="366"/>
      <c r="AN95" s="366"/>
      <c r="AO95" s="366"/>
      <c r="AP95" s="366"/>
    </row>
    <row r="96" spans="16:42" x14ac:dyDescent="0.25">
      <c r="Q96" s="88" t="s">
        <v>20</v>
      </c>
      <c r="R96" s="88" t="s">
        <v>94</v>
      </c>
      <c r="S96" s="88" t="s">
        <v>95</v>
      </c>
      <c r="T96" s="88" t="s">
        <v>101</v>
      </c>
      <c r="U96" s="93" t="s">
        <v>50</v>
      </c>
      <c r="V96" s="88" t="s">
        <v>45</v>
      </c>
      <c r="W96" s="88" t="s">
        <v>98</v>
      </c>
      <c r="X96" s="88" t="s">
        <v>97</v>
      </c>
      <c r="Y96" s="88" t="s">
        <v>99</v>
      </c>
      <c r="Z96" s="88" t="s">
        <v>103</v>
      </c>
      <c r="AG96" s="88" t="s">
        <v>20</v>
      </c>
      <c r="AH96" s="88" t="s">
        <v>94</v>
      </c>
      <c r="AI96" s="88" t="s">
        <v>95</v>
      </c>
      <c r="AJ96" s="88" t="s">
        <v>101</v>
      </c>
      <c r="AK96" s="93" t="s">
        <v>50</v>
      </c>
      <c r="AL96" s="88" t="s">
        <v>45</v>
      </c>
      <c r="AM96" s="88" t="s">
        <v>98</v>
      </c>
      <c r="AN96" s="88" t="s">
        <v>97</v>
      </c>
      <c r="AO96" s="88" t="s">
        <v>99</v>
      </c>
      <c r="AP96" s="88" t="s">
        <v>103</v>
      </c>
    </row>
    <row r="97" spans="17:43" x14ac:dyDescent="0.25">
      <c r="Q97" s="39">
        <v>1986</v>
      </c>
      <c r="R97" s="26">
        <v>77</v>
      </c>
      <c r="S97" s="26">
        <v>99</v>
      </c>
      <c r="T97" s="26">
        <v>271851.57230477664</v>
      </c>
      <c r="U97" s="35">
        <v>453706.58939290012</v>
      </c>
      <c r="V97" s="5">
        <v>196755.64476560007</v>
      </c>
      <c r="W97" s="5">
        <f t="shared" ref="W97:W128" si="65">T97+V97</f>
        <v>468607.21707037673</v>
      </c>
      <c r="X97" s="5">
        <f t="shared" ref="X97:X128" si="66">U97-W97</f>
        <v>-14900.627677476616</v>
      </c>
      <c r="Y97" s="92">
        <f t="shared" ref="Y97:Y128" si="67">X97/W97</f>
        <v>-3.1797691402688739E-2</v>
      </c>
      <c r="Z97" s="92">
        <f t="shared" ref="Z97:Z128" si="68">X97/$W$129</f>
        <v>-2.5167995322270088E-2</v>
      </c>
      <c r="AG97" s="39">
        <v>1986</v>
      </c>
      <c r="AH97" s="26">
        <v>0</v>
      </c>
      <c r="AI97" s="26">
        <v>1</v>
      </c>
      <c r="AJ97" s="26">
        <v>86.279134038343727</v>
      </c>
      <c r="AK97" s="35">
        <v>14760.929453409997</v>
      </c>
      <c r="AL97" s="5">
        <v>14513.194853199999</v>
      </c>
      <c r="AM97" s="5">
        <f t="shared" ref="AM97:AM128" si="69">AJ97+AL97</f>
        <v>14599.473987238343</v>
      </c>
      <c r="AN97" s="5">
        <f t="shared" ref="AN97:AN128" si="70">AK97-AM97</f>
        <v>161.45546617165382</v>
      </c>
      <c r="AO97" s="92">
        <f t="shared" ref="AO97:AO128" si="71">AN97/AM97</f>
        <v>1.1058992009765891E-2</v>
      </c>
      <c r="AP97" s="92">
        <f t="shared" ref="AP97:AP128" si="72">AN97/$AM$129</f>
        <v>3.4406970911260745E-3</v>
      </c>
    </row>
    <row r="98" spans="17:43" x14ac:dyDescent="0.25">
      <c r="Q98" s="39">
        <v>1987</v>
      </c>
      <c r="R98" s="26">
        <v>603</v>
      </c>
      <c r="S98" s="26">
        <v>75</v>
      </c>
      <c r="T98" s="26">
        <v>279204.56037410052</v>
      </c>
      <c r="U98" s="35">
        <v>574740.81109314587</v>
      </c>
      <c r="V98" s="5">
        <v>250533.96271599998</v>
      </c>
      <c r="W98" s="5">
        <f t="shared" si="65"/>
        <v>529738.5230901005</v>
      </c>
      <c r="X98" s="5">
        <f t="shared" si="66"/>
        <v>45002.288003045367</v>
      </c>
      <c r="Y98" s="92">
        <f t="shared" si="67"/>
        <v>8.4951888604467535E-2</v>
      </c>
      <c r="Z98" s="92">
        <f t="shared" si="68"/>
        <v>7.6011386799774261E-2</v>
      </c>
      <c r="AA98" s="17"/>
      <c r="AG98" s="39">
        <v>1987</v>
      </c>
      <c r="AH98" s="26"/>
      <c r="AI98" s="26"/>
      <c r="AJ98" s="26"/>
      <c r="AK98" s="35">
        <v>12118.053479800001</v>
      </c>
      <c r="AL98" s="5">
        <v>12118.053479800001</v>
      </c>
      <c r="AM98" s="5">
        <f t="shared" si="69"/>
        <v>12118.053479800001</v>
      </c>
      <c r="AN98" s="5">
        <f t="shared" si="70"/>
        <v>0</v>
      </c>
      <c r="AO98" s="92">
        <f t="shared" si="71"/>
        <v>0</v>
      </c>
      <c r="AP98" s="92">
        <f t="shared" si="72"/>
        <v>0</v>
      </c>
      <c r="AQ98" s="17"/>
    </row>
    <row r="99" spans="17:43" x14ac:dyDescent="0.25">
      <c r="Q99" s="39">
        <v>1988</v>
      </c>
      <c r="R99" s="26">
        <v>219</v>
      </c>
      <c r="S99" s="26">
        <v>117</v>
      </c>
      <c r="T99" s="26">
        <v>43402.339802025104</v>
      </c>
      <c r="U99" s="35">
        <v>469496.26080615108</v>
      </c>
      <c r="V99" s="5">
        <v>271653.38256419997</v>
      </c>
      <c r="W99" s="5"/>
      <c r="X99" s="5"/>
      <c r="Y99" s="92" t="e">
        <f t="shared" si="67"/>
        <v>#DIV/0!</v>
      </c>
      <c r="Z99" s="92">
        <f t="shared" si="68"/>
        <v>0</v>
      </c>
      <c r="AA99" s="17" t="s">
        <v>108</v>
      </c>
      <c r="AG99" s="39">
        <v>1988</v>
      </c>
      <c r="AH99" s="26">
        <v>48</v>
      </c>
      <c r="AI99" s="26">
        <v>2</v>
      </c>
      <c r="AJ99" s="26">
        <v>0</v>
      </c>
      <c r="AK99" s="35">
        <v>360842.33988430002</v>
      </c>
      <c r="AL99" s="5">
        <v>5364.5435685999983</v>
      </c>
      <c r="AM99" s="5"/>
      <c r="AN99" s="5"/>
      <c r="AO99" s="92" t="e">
        <f t="shared" si="71"/>
        <v>#DIV/0!</v>
      </c>
      <c r="AP99" s="92">
        <f t="shared" si="72"/>
        <v>0</v>
      </c>
      <c r="AQ99" s="17" t="s">
        <v>106</v>
      </c>
    </row>
    <row r="100" spans="17:43" x14ac:dyDescent="0.25">
      <c r="Q100" s="39">
        <v>1989</v>
      </c>
      <c r="R100" s="26">
        <v>683</v>
      </c>
      <c r="S100" s="26">
        <v>191</v>
      </c>
      <c r="T100" s="26">
        <v>210518.09427247607</v>
      </c>
      <c r="U100" s="35">
        <v>525465.04906831845</v>
      </c>
      <c r="V100" s="5">
        <v>244966.12636700002</v>
      </c>
      <c r="W100" s="5">
        <f t="shared" si="65"/>
        <v>455484.22063947609</v>
      </c>
      <c r="X100" s="5">
        <f t="shared" si="66"/>
        <v>69980.82842884236</v>
      </c>
      <c r="Y100" s="92">
        <f t="shared" si="67"/>
        <v>0.15364051103810561</v>
      </c>
      <c r="Z100" s="92">
        <f t="shared" si="68"/>
        <v>0.11820154161747085</v>
      </c>
      <c r="AA100" s="17"/>
      <c r="AG100" s="39">
        <v>1989</v>
      </c>
      <c r="AH100" s="26">
        <v>0</v>
      </c>
      <c r="AI100" s="26">
        <v>3</v>
      </c>
      <c r="AJ100" s="26">
        <v>2957.7547061693294</v>
      </c>
      <c r="AK100" s="35">
        <v>15130.572430999997</v>
      </c>
      <c r="AL100" s="5">
        <v>6441.7684481999977</v>
      </c>
      <c r="AM100" s="5">
        <f t="shared" si="69"/>
        <v>9399.5231543693262</v>
      </c>
      <c r="AN100" s="5">
        <f t="shared" si="70"/>
        <v>5731.0492766306706</v>
      </c>
      <c r="AO100" s="92">
        <f t="shared" si="71"/>
        <v>0.60971702314139398</v>
      </c>
      <c r="AP100" s="92">
        <f t="shared" si="72"/>
        <v>0.12213153907244613</v>
      </c>
      <c r="AQ100" s="17"/>
    </row>
    <row r="101" spans="17:43" x14ac:dyDescent="0.25">
      <c r="Q101" s="39">
        <v>1990</v>
      </c>
      <c r="R101" s="26">
        <v>794</v>
      </c>
      <c r="S101" s="26">
        <v>256</v>
      </c>
      <c r="T101" s="26">
        <v>1153248.7608415752</v>
      </c>
      <c r="U101" s="35">
        <v>1501068.1665226792</v>
      </c>
      <c r="V101" s="5">
        <v>271120.05455</v>
      </c>
      <c r="W101" s="5">
        <f t="shared" si="65"/>
        <v>1424368.8153915752</v>
      </c>
      <c r="X101" s="5">
        <f t="shared" si="66"/>
        <v>76699.351131103933</v>
      </c>
      <c r="Y101" s="92">
        <f t="shared" si="67"/>
        <v>5.3847957286272383E-2</v>
      </c>
      <c r="Z101" s="92">
        <f t="shared" si="68"/>
        <v>0.12954950303245735</v>
      </c>
      <c r="AG101" s="39">
        <v>1990</v>
      </c>
      <c r="AH101" s="26">
        <v>9</v>
      </c>
      <c r="AI101" s="26">
        <v>4</v>
      </c>
      <c r="AJ101" s="26">
        <v>12507.656939136785</v>
      </c>
      <c r="AK101" s="35">
        <v>51775.557473000008</v>
      </c>
      <c r="AL101" s="5">
        <v>4696.3711960000028</v>
      </c>
      <c r="AM101" s="5">
        <f t="shared" si="69"/>
        <v>17204.028135136788</v>
      </c>
      <c r="AN101" s="5">
        <f t="shared" si="70"/>
        <v>34571.52933786322</v>
      </c>
      <c r="AO101" s="92">
        <f t="shared" si="71"/>
        <v>2.0095020227998681</v>
      </c>
      <c r="AP101" s="92">
        <f t="shared" si="72"/>
        <v>0.73673665716651593</v>
      </c>
    </row>
    <row r="102" spans="17:43" x14ac:dyDescent="0.25">
      <c r="Q102" s="39">
        <v>1991</v>
      </c>
      <c r="R102" s="26">
        <v>785</v>
      </c>
      <c r="S102" s="26">
        <v>439</v>
      </c>
      <c r="T102" s="26">
        <v>696906.38627779623</v>
      </c>
      <c r="U102" s="35">
        <v>1039260.1356100017</v>
      </c>
      <c r="V102" s="5">
        <v>309270.74573399994</v>
      </c>
      <c r="W102" s="5">
        <f t="shared" si="65"/>
        <v>1006177.1320117961</v>
      </c>
      <c r="X102" s="5">
        <f t="shared" si="66"/>
        <v>33083.003598205629</v>
      </c>
      <c r="Y102" s="92">
        <f t="shared" si="67"/>
        <v>3.2879900114662686E-2</v>
      </c>
      <c r="Z102" s="92">
        <f t="shared" si="68"/>
        <v>5.5879047368244027E-2</v>
      </c>
      <c r="AG102" s="39">
        <v>1991</v>
      </c>
      <c r="AH102" s="26"/>
      <c r="AI102" s="26"/>
      <c r="AJ102" s="26"/>
      <c r="AK102" s="35">
        <v>1029.6363839999999</v>
      </c>
      <c r="AL102" s="5">
        <v>1029.6363839999999</v>
      </c>
      <c r="AM102" s="5">
        <f t="shared" si="69"/>
        <v>1029.6363839999999</v>
      </c>
      <c r="AN102" s="5">
        <f t="shared" si="70"/>
        <v>0</v>
      </c>
      <c r="AO102" s="92">
        <f t="shared" si="71"/>
        <v>0</v>
      </c>
      <c r="AP102" s="92">
        <f t="shared" si="72"/>
        <v>0</v>
      </c>
    </row>
    <row r="103" spans="17:43" x14ac:dyDescent="0.25">
      <c r="Q103" s="39">
        <v>1992</v>
      </c>
      <c r="R103" s="26">
        <v>2162</v>
      </c>
      <c r="S103" s="26">
        <v>349</v>
      </c>
      <c r="T103" s="26">
        <v>856495.8105148488</v>
      </c>
      <c r="U103" s="35">
        <v>1317071.5874956707</v>
      </c>
      <c r="V103" s="5">
        <v>211115.84699200001</v>
      </c>
      <c r="W103" s="5"/>
      <c r="X103" s="5"/>
      <c r="Y103" s="92" t="e">
        <f t="shared" si="67"/>
        <v>#DIV/0!</v>
      </c>
      <c r="Z103" s="92">
        <f t="shared" si="68"/>
        <v>0</v>
      </c>
      <c r="AA103" s="17" t="s">
        <v>108</v>
      </c>
      <c r="AG103" s="39">
        <v>1992</v>
      </c>
      <c r="AH103" s="26">
        <v>4</v>
      </c>
      <c r="AI103" s="26">
        <v>0</v>
      </c>
      <c r="AJ103" s="26">
        <v>0</v>
      </c>
      <c r="AK103" s="35">
        <v>33845.632783000001</v>
      </c>
      <c r="AL103" s="5">
        <v>7350.1584459999995</v>
      </c>
      <c r="AM103" s="5"/>
      <c r="AN103" s="5"/>
      <c r="AO103" s="92" t="e">
        <f t="shared" si="71"/>
        <v>#DIV/0!</v>
      </c>
      <c r="AP103" s="92">
        <f t="shared" si="72"/>
        <v>0</v>
      </c>
      <c r="AQ103" s="17" t="s">
        <v>106</v>
      </c>
    </row>
    <row r="104" spans="17:43" x14ac:dyDescent="0.25">
      <c r="Q104" s="39">
        <v>1993</v>
      </c>
      <c r="R104" s="26">
        <v>1838</v>
      </c>
      <c r="S104" s="26">
        <v>224</v>
      </c>
      <c r="T104" s="26">
        <v>609258.16406561132</v>
      </c>
      <c r="U104" s="35">
        <v>924264.53183650959</v>
      </c>
      <c r="V104" s="5">
        <v>215778.11302600004</v>
      </c>
      <c r="W104" s="5">
        <f t="shared" si="65"/>
        <v>825036.27709161141</v>
      </c>
      <c r="X104" s="5">
        <f t="shared" si="66"/>
        <v>99228.254744898179</v>
      </c>
      <c r="Y104" s="92">
        <f t="shared" si="67"/>
        <v>0.12027138381683543</v>
      </c>
      <c r="Z104" s="92">
        <f t="shared" si="68"/>
        <v>0.1676020839733878</v>
      </c>
      <c r="AG104" s="39">
        <v>1993</v>
      </c>
      <c r="AH104" s="26">
        <v>0</v>
      </c>
      <c r="AI104" s="26">
        <v>20</v>
      </c>
      <c r="AJ104" s="26">
        <v>44237.681027835628</v>
      </c>
      <c r="AK104" s="35">
        <v>63227.476810999986</v>
      </c>
      <c r="AL104" s="5">
        <v>3063.5121599999993</v>
      </c>
      <c r="AM104" s="5">
        <f t="shared" si="69"/>
        <v>47301.193187835626</v>
      </c>
      <c r="AN104" s="5">
        <f t="shared" si="70"/>
        <v>15926.28362316436</v>
      </c>
      <c r="AO104" s="92">
        <f t="shared" si="71"/>
        <v>0.33669940544459875</v>
      </c>
      <c r="AP104" s="92">
        <f t="shared" si="72"/>
        <v>0.33939710456387795</v>
      </c>
    </row>
    <row r="105" spans="17:43" x14ac:dyDescent="0.25">
      <c r="Q105" s="39">
        <v>1994</v>
      </c>
      <c r="R105" s="26">
        <v>2368</v>
      </c>
      <c r="S105" s="26">
        <v>329</v>
      </c>
      <c r="T105" s="26">
        <v>782924.37847225589</v>
      </c>
      <c r="U105" s="35">
        <v>994961.00257091795</v>
      </c>
      <c r="V105" s="5">
        <v>232112.54557599986</v>
      </c>
      <c r="W105" s="5">
        <f t="shared" si="65"/>
        <v>1015036.9240482558</v>
      </c>
      <c r="X105" s="5">
        <f t="shared" si="66"/>
        <v>-20075.921477337833</v>
      </c>
      <c r="Y105" s="92">
        <f t="shared" si="67"/>
        <v>-1.9778513472464974E-2</v>
      </c>
      <c r="Z105" s="92">
        <f t="shared" si="68"/>
        <v>-3.3909356623657787E-2</v>
      </c>
      <c r="AG105" s="39">
        <v>1994</v>
      </c>
      <c r="AH105" s="26">
        <v>23</v>
      </c>
      <c r="AI105" s="26">
        <v>26</v>
      </c>
      <c r="AJ105" s="26">
        <v>87069.149924851488</v>
      </c>
      <c r="AK105" s="35">
        <v>80485.993522649995</v>
      </c>
      <c r="AL105" s="5">
        <v>2643.8224580000001</v>
      </c>
      <c r="AM105" s="5">
        <f t="shared" si="69"/>
        <v>89712.972382851483</v>
      </c>
      <c r="AN105" s="5">
        <f t="shared" si="70"/>
        <v>-9226.9788602014887</v>
      </c>
      <c r="AO105" s="92">
        <f t="shared" si="71"/>
        <v>-0.10284999610563805</v>
      </c>
      <c r="AP105" s="92">
        <f t="shared" si="72"/>
        <v>-0.19663155467542046</v>
      </c>
    </row>
    <row r="106" spans="17:43" x14ac:dyDescent="0.25">
      <c r="Q106" s="39">
        <v>1995</v>
      </c>
      <c r="R106" s="26">
        <v>852</v>
      </c>
      <c r="S106" s="26">
        <v>207</v>
      </c>
      <c r="T106" s="26">
        <v>240764.09665513493</v>
      </c>
      <c r="U106" s="35">
        <v>488729.00871931185</v>
      </c>
      <c r="V106" s="5">
        <v>220987.7151019999</v>
      </c>
      <c r="W106" s="5">
        <f t="shared" si="65"/>
        <v>461751.81175713486</v>
      </c>
      <c r="X106" s="5">
        <f t="shared" si="66"/>
        <v>26977.196962176997</v>
      </c>
      <c r="Y106" s="92">
        <f t="shared" si="67"/>
        <v>5.8423586600600173E-2</v>
      </c>
      <c r="Z106" s="92">
        <f t="shared" si="68"/>
        <v>4.5565997731647906E-2</v>
      </c>
      <c r="AG106" s="39">
        <v>1995</v>
      </c>
      <c r="AH106" s="26">
        <v>13</v>
      </c>
      <c r="AI106" s="26">
        <v>2</v>
      </c>
      <c r="AJ106" s="26">
        <v>22284.396529935457</v>
      </c>
      <c r="AK106" s="35">
        <v>26114.187765650004</v>
      </c>
      <c r="AL106" s="5">
        <v>2365.7783059999997</v>
      </c>
      <c r="AM106" s="5">
        <f t="shared" si="69"/>
        <v>24650.174835935457</v>
      </c>
      <c r="AN106" s="5">
        <f t="shared" si="70"/>
        <v>1464.0129297145468</v>
      </c>
      <c r="AO106" s="92">
        <f t="shared" si="71"/>
        <v>5.9391584013444118E-2</v>
      </c>
      <c r="AP106" s="92">
        <f t="shared" si="72"/>
        <v>3.1198850977794713E-2</v>
      </c>
    </row>
    <row r="107" spans="17:43" x14ac:dyDescent="0.25">
      <c r="Q107" s="39">
        <v>1996</v>
      </c>
      <c r="R107" s="26">
        <v>991</v>
      </c>
      <c r="S107" s="26">
        <v>111</v>
      </c>
      <c r="T107" s="26">
        <v>371671.04289926542</v>
      </c>
      <c r="U107" s="35">
        <v>654519.13724647823</v>
      </c>
      <c r="V107" s="5">
        <v>195252.58155399995</v>
      </c>
      <c r="W107" s="5">
        <f t="shared" si="65"/>
        <v>566923.62445326534</v>
      </c>
      <c r="X107" s="5">
        <f t="shared" si="66"/>
        <v>87595.512793212896</v>
      </c>
      <c r="Y107" s="92">
        <f t="shared" si="67"/>
        <v>0.15451025325975612</v>
      </c>
      <c r="Z107" s="92">
        <f t="shared" si="68"/>
        <v>0.14795373080584051</v>
      </c>
      <c r="AG107" s="95">
        <v>1996</v>
      </c>
      <c r="AH107" s="96">
        <v>23</v>
      </c>
      <c r="AI107" s="96">
        <v>2</v>
      </c>
      <c r="AJ107" s="96">
        <v>106750.70453332581</v>
      </c>
      <c r="AK107" s="97">
        <v>196768.93775748994</v>
      </c>
      <c r="AL107" s="97">
        <v>3693.9616220000007</v>
      </c>
      <c r="AM107" s="97">
        <f t="shared" si="69"/>
        <v>110444.66615532582</v>
      </c>
      <c r="AN107" s="97">
        <f t="shared" si="70"/>
        <v>86324.271602164124</v>
      </c>
      <c r="AO107" s="98">
        <f t="shared" si="71"/>
        <v>0.78160652394711805</v>
      </c>
      <c r="AP107" s="98">
        <f t="shared" si="72"/>
        <v>1.8396135927622705</v>
      </c>
    </row>
    <row r="108" spans="17:43" x14ac:dyDescent="0.25">
      <c r="Q108" s="39">
        <v>1997</v>
      </c>
      <c r="R108" s="26">
        <v>470</v>
      </c>
      <c r="S108" s="26">
        <v>115</v>
      </c>
      <c r="T108" s="26">
        <v>208996.94813205837</v>
      </c>
      <c r="U108" s="35">
        <v>407276.374243445</v>
      </c>
      <c r="V108" s="5">
        <v>188712.52542399996</v>
      </c>
      <c r="W108" s="5">
        <f t="shared" si="65"/>
        <v>397709.47355605836</v>
      </c>
      <c r="X108" s="5">
        <f t="shared" si="66"/>
        <v>9566.900687386631</v>
      </c>
      <c r="Y108" s="92">
        <f t="shared" si="67"/>
        <v>2.4054998242424686E-2</v>
      </c>
      <c r="Z108" s="92">
        <f t="shared" si="68"/>
        <v>1.6159031482460656E-2</v>
      </c>
      <c r="AG108" s="39">
        <v>1997</v>
      </c>
      <c r="AH108" s="26">
        <v>0</v>
      </c>
      <c r="AI108" s="26">
        <v>0</v>
      </c>
      <c r="AJ108" s="26">
        <v>0</v>
      </c>
      <c r="AK108" s="35">
        <v>6356.7215939999969</v>
      </c>
      <c r="AL108" s="5">
        <v>6356.7215939999969</v>
      </c>
      <c r="AM108" s="5">
        <f t="shared" si="69"/>
        <v>6356.7215939999969</v>
      </c>
      <c r="AN108" s="5">
        <f t="shared" si="70"/>
        <v>0</v>
      </c>
      <c r="AO108" s="92">
        <f t="shared" si="71"/>
        <v>0</v>
      </c>
      <c r="AP108" s="92">
        <f t="shared" si="72"/>
        <v>0</v>
      </c>
    </row>
    <row r="109" spans="17:43" x14ac:dyDescent="0.25">
      <c r="Q109" s="39">
        <v>1998</v>
      </c>
      <c r="R109" s="26">
        <v>422</v>
      </c>
      <c r="S109" s="26">
        <v>245</v>
      </c>
      <c r="T109" s="26">
        <v>504709.51165044535</v>
      </c>
      <c r="U109" s="35">
        <v>812414.03110795992</v>
      </c>
      <c r="V109" s="5">
        <v>174274.798438</v>
      </c>
      <c r="W109" s="5">
        <f t="shared" si="65"/>
        <v>678984.31008844532</v>
      </c>
      <c r="X109" s="5">
        <f t="shared" si="66"/>
        <v>133429.7210195146</v>
      </c>
      <c r="Y109" s="92">
        <f t="shared" si="67"/>
        <v>0.1965137029486497</v>
      </c>
      <c r="Z109" s="92">
        <f t="shared" si="68"/>
        <v>0.22537027749153465</v>
      </c>
      <c r="AG109" s="95">
        <v>1998</v>
      </c>
      <c r="AH109" s="96">
        <v>56</v>
      </c>
      <c r="AI109" s="96">
        <v>3</v>
      </c>
      <c r="AJ109" s="96">
        <v>109582.14182075414</v>
      </c>
      <c r="AK109" s="97">
        <v>157792.98564849503</v>
      </c>
      <c r="AL109" s="97">
        <v>1877.4373600000004</v>
      </c>
      <c r="AM109" s="97">
        <f t="shared" si="69"/>
        <v>111459.57918075414</v>
      </c>
      <c r="AN109" s="97">
        <f t="shared" si="70"/>
        <v>46333.40646774089</v>
      </c>
      <c r="AO109" s="98">
        <f t="shared" si="71"/>
        <v>0.4156969442043375</v>
      </c>
      <c r="AP109" s="98">
        <f t="shared" si="72"/>
        <v>0.98738816737260027</v>
      </c>
    </row>
    <row r="110" spans="17:43" x14ac:dyDescent="0.25">
      <c r="Q110" s="39">
        <v>1999</v>
      </c>
      <c r="R110" s="26">
        <v>713</v>
      </c>
      <c r="S110" s="26">
        <v>131</v>
      </c>
      <c r="T110" s="26">
        <v>254329.83989562292</v>
      </c>
      <c r="U110" s="35">
        <v>420269.69920340035</v>
      </c>
      <c r="V110" s="5">
        <v>157357.29328000001</v>
      </c>
      <c r="W110" s="5">
        <f t="shared" si="65"/>
        <v>411687.1331756229</v>
      </c>
      <c r="X110" s="5">
        <f t="shared" si="66"/>
        <v>8582.5660277774441</v>
      </c>
      <c r="Y110" s="92">
        <f t="shared" si="67"/>
        <v>2.084730208003897E-2</v>
      </c>
      <c r="Z110" s="92">
        <f t="shared" si="68"/>
        <v>1.4496435070764547E-2</v>
      </c>
      <c r="AG110" s="39">
        <v>1999</v>
      </c>
      <c r="AH110" s="26">
        <v>66</v>
      </c>
      <c r="AI110" s="26">
        <v>5</v>
      </c>
      <c r="AJ110" s="26">
        <v>188812.81845261544</v>
      </c>
      <c r="AK110" s="35">
        <v>190344.12731599994</v>
      </c>
      <c r="AL110" s="5">
        <v>3344.0916019999995</v>
      </c>
      <c r="AM110" s="5">
        <f t="shared" si="69"/>
        <v>192156.91005461544</v>
      </c>
      <c r="AN110" s="5">
        <f t="shared" si="70"/>
        <v>-1812.7827386154968</v>
      </c>
      <c r="AO110" s="92">
        <f t="shared" si="71"/>
        <v>-9.4338670313769205E-3</v>
      </c>
      <c r="AP110" s="92">
        <f t="shared" si="72"/>
        <v>-3.8631310809673587E-2</v>
      </c>
    </row>
    <row r="111" spans="17:43" x14ac:dyDescent="0.25">
      <c r="Q111" s="39">
        <v>2000</v>
      </c>
      <c r="R111" s="26">
        <v>218</v>
      </c>
      <c r="S111" s="26">
        <v>116</v>
      </c>
      <c r="T111" s="26">
        <v>211609.80487372275</v>
      </c>
      <c r="U111" s="35">
        <v>467714.67655487108</v>
      </c>
      <c r="V111" s="5">
        <v>142237.66146800003</v>
      </c>
      <c r="W111" s="5">
        <f t="shared" si="65"/>
        <v>353847.46634172276</v>
      </c>
      <c r="X111" s="5">
        <f t="shared" si="66"/>
        <v>113867.21021314833</v>
      </c>
      <c r="Y111" s="92">
        <f t="shared" si="67"/>
        <v>0.32179744393925608</v>
      </c>
      <c r="Z111" s="92">
        <f t="shared" si="68"/>
        <v>0.19232810026763783</v>
      </c>
      <c r="AG111" s="39">
        <v>2000</v>
      </c>
      <c r="AH111" s="26">
        <v>23</v>
      </c>
      <c r="AI111" s="26">
        <v>8</v>
      </c>
      <c r="AJ111" s="26">
        <v>71775.694646465941</v>
      </c>
      <c r="AK111" s="35">
        <v>66551.000106699983</v>
      </c>
      <c r="AL111" s="5">
        <v>1445.357806</v>
      </c>
      <c r="AM111" s="5">
        <f t="shared" si="69"/>
        <v>73221.052452465941</v>
      </c>
      <c r="AN111" s="5">
        <f t="shared" si="70"/>
        <v>-6670.0523457659583</v>
      </c>
      <c r="AO111" s="92">
        <f t="shared" si="71"/>
        <v>-9.1094734674785793E-2</v>
      </c>
      <c r="AP111" s="92">
        <f t="shared" si="72"/>
        <v>-0.14214216618306585</v>
      </c>
    </row>
    <row r="112" spans="17:43" x14ac:dyDescent="0.25">
      <c r="Q112" s="39">
        <v>2001</v>
      </c>
      <c r="R112" s="26">
        <v>795</v>
      </c>
      <c r="S112" s="26">
        <v>174</v>
      </c>
      <c r="T112" s="26">
        <v>344178.87223481142</v>
      </c>
      <c r="U112" s="35">
        <v>616635.93659533688</v>
      </c>
      <c r="V112" s="5">
        <v>136641.81347200001</v>
      </c>
      <c r="W112" s="5">
        <f t="shared" si="65"/>
        <v>480820.68570681143</v>
      </c>
      <c r="X112" s="5">
        <f t="shared" si="66"/>
        <v>135815.25088852545</v>
      </c>
      <c r="Y112" s="92">
        <f t="shared" si="67"/>
        <v>0.28246549062022075</v>
      </c>
      <c r="Z112" s="92">
        <f t="shared" si="68"/>
        <v>0.22939957114841555</v>
      </c>
      <c r="AG112" s="39">
        <v>2001</v>
      </c>
      <c r="AH112" s="26">
        <v>26</v>
      </c>
      <c r="AI112" s="26">
        <v>2</v>
      </c>
      <c r="AJ112" s="26">
        <v>64528.96994015167</v>
      </c>
      <c r="AK112" s="35">
        <v>75578.095842032024</v>
      </c>
      <c r="AL112" s="5">
        <v>8830.459162000001</v>
      </c>
      <c r="AM112" s="5">
        <f t="shared" si="69"/>
        <v>73359.429102151669</v>
      </c>
      <c r="AN112" s="5">
        <f t="shared" si="70"/>
        <v>2218.6667398803547</v>
      </c>
      <c r="AO112" s="92">
        <f t="shared" si="71"/>
        <v>3.024378416019162E-2</v>
      </c>
      <c r="AP112" s="92">
        <f t="shared" si="72"/>
        <v>4.7280902772090481E-2</v>
      </c>
    </row>
    <row r="113" spans="2:42" x14ac:dyDescent="0.25">
      <c r="Q113" s="39">
        <v>2002</v>
      </c>
      <c r="R113" s="26">
        <v>1330</v>
      </c>
      <c r="S113" s="26">
        <v>167</v>
      </c>
      <c r="T113" s="26">
        <v>536813.26596026029</v>
      </c>
      <c r="U113" s="35">
        <v>838922.68738184706</v>
      </c>
      <c r="V113" s="5">
        <v>109527.92308400004</v>
      </c>
      <c r="W113" s="5">
        <f t="shared" si="65"/>
        <v>646341.1890442603</v>
      </c>
      <c r="X113" s="5">
        <f t="shared" si="66"/>
        <v>192581.49833758676</v>
      </c>
      <c r="Y113" s="92">
        <f t="shared" si="67"/>
        <v>0.29795640692859993</v>
      </c>
      <c r="Z113" s="92">
        <f t="shared" si="68"/>
        <v>0.32528094481835662</v>
      </c>
      <c r="AG113" s="39">
        <v>2002</v>
      </c>
      <c r="AH113" s="26">
        <v>20</v>
      </c>
      <c r="AI113" s="26">
        <v>2</v>
      </c>
      <c r="AJ113" s="26">
        <v>12757.439384496216</v>
      </c>
      <c r="AK113" s="35">
        <v>18942.278613873998</v>
      </c>
      <c r="AL113" s="5">
        <v>5523.2505180000007</v>
      </c>
      <c r="AM113" s="5">
        <f t="shared" si="69"/>
        <v>18280.689902496219</v>
      </c>
      <c r="AN113" s="5">
        <f t="shared" si="70"/>
        <v>661.58871137777896</v>
      </c>
      <c r="AO113" s="92">
        <f t="shared" si="71"/>
        <v>3.6190576772895174E-2</v>
      </c>
      <c r="AP113" s="92">
        <f t="shared" si="72"/>
        <v>1.4098787787954242E-2</v>
      </c>
    </row>
    <row r="114" spans="2:42" x14ac:dyDescent="0.25">
      <c r="Q114" s="39">
        <v>2003</v>
      </c>
      <c r="R114" s="26">
        <v>1019</v>
      </c>
      <c r="S114" s="26">
        <v>199</v>
      </c>
      <c r="T114" s="26">
        <v>414801.2341588618</v>
      </c>
      <c r="U114" s="35">
        <v>675284.48984417983</v>
      </c>
      <c r="V114" s="5">
        <v>116963.09090600004</v>
      </c>
      <c r="W114" s="5">
        <f t="shared" si="65"/>
        <v>531764.3250648618</v>
      </c>
      <c r="X114" s="5">
        <f t="shared" si="66"/>
        <v>143520.16477931803</v>
      </c>
      <c r="Y114" s="92">
        <f t="shared" si="67"/>
        <v>0.26989430846420959</v>
      </c>
      <c r="Z114" s="92">
        <f t="shared" si="68"/>
        <v>0.24241360256771488</v>
      </c>
      <c r="AG114" s="95">
        <v>2003</v>
      </c>
      <c r="AH114" s="96">
        <v>14</v>
      </c>
      <c r="AI114" s="96">
        <v>4</v>
      </c>
      <c r="AJ114" s="96">
        <v>37129.273882454909</v>
      </c>
      <c r="AK114" s="97">
        <v>71592.042119259975</v>
      </c>
      <c r="AL114" s="97">
        <v>4059.2197499999993</v>
      </c>
      <c r="AM114" s="97">
        <f t="shared" si="69"/>
        <v>41188.493632454905</v>
      </c>
      <c r="AN114" s="97">
        <f t="shared" si="70"/>
        <v>30403.54848680507</v>
      </c>
      <c r="AO114" s="98">
        <f t="shared" si="71"/>
        <v>0.73815635886349273</v>
      </c>
      <c r="AP114" s="98">
        <f t="shared" si="72"/>
        <v>0.64791489144903713</v>
      </c>
    </row>
    <row r="115" spans="2:42" x14ac:dyDescent="0.25">
      <c r="Q115" s="39">
        <v>2004</v>
      </c>
      <c r="R115" s="26">
        <v>1043</v>
      </c>
      <c r="S115" s="26">
        <v>136</v>
      </c>
      <c r="T115" s="26">
        <v>427982.51092355739</v>
      </c>
      <c r="U115" s="35">
        <v>639985.46615152515</v>
      </c>
      <c r="V115" s="5">
        <v>167986.728088</v>
      </c>
      <c r="W115" s="5">
        <f t="shared" si="65"/>
        <v>595969.23901155742</v>
      </c>
      <c r="X115" s="5">
        <f t="shared" si="66"/>
        <v>44016.227139967727</v>
      </c>
      <c r="Y115" s="92">
        <f t="shared" si="67"/>
        <v>7.385654201376346E-2</v>
      </c>
      <c r="Z115" s="92">
        <f t="shared" si="68"/>
        <v>7.4345874733666842E-2</v>
      </c>
      <c r="AG115" s="95">
        <v>2004</v>
      </c>
      <c r="AH115" s="96">
        <v>15</v>
      </c>
      <c r="AI115" s="96">
        <v>5</v>
      </c>
      <c r="AJ115" s="96">
        <v>40300.66676794969</v>
      </c>
      <c r="AK115" s="97">
        <v>70820.717652510022</v>
      </c>
      <c r="AL115" s="97">
        <v>3677.9121340000002</v>
      </c>
      <c r="AM115" s="97">
        <f t="shared" si="69"/>
        <v>43978.578901949688</v>
      </c>
      <c r="AN115" s="97">
        <f t="shared" si="70"/>
        <v>26842.138750560334</v>
      </c>
      <c r="AO115" s="98">
        <f t="shared" si="71"/>
        <v>0.61034575060747021</v>
      </c>
      <c r="AP115" s="98">
        <f t="shared" si="72"/>
        <v>0.57201946089868583</v>
      </c>
    </row>
    <row r="116" spans="2:42" x14ac:dyDescent="0.25">
      <c r="Q116" s="39">
        <v>2005</v>
      </c>
      <c r="R116" s="26">
        <v>341</v>
      </c>
      <c r="S116" s="26">
        <v>215</v>
      </c>
      <c r="T116" s="26">
        <v>457182.3287862704</v>
      </c>
      <c r="U116" s="35">
        <v>610938.14301624813</v>
      </c>
      <c r="V116" s="5">
        <v>163781.51972600003</v>
      </c>
      <c r="W116" s="5">
        <f t="shared" si="65"/>
        <v>620963.84851227049</v>
      </c>
      <c r="X116" s="5">
        <f t="shared" si="66"/>
        <v>-10025.705496022361</v>
      </c>
      <c r="Y116" s="92">
        <f t="shared" si="67"/>
        <v>-1.614539319807802E-2</v>
      </c>
      <c r="Z116" s="92">
        <f t="shared" si="68"/>
        <v>-1.6933978520096763E-2</v>
      </c>
      <c r="AG116" s="95">
        <v>2005</v>
      </c>
      <c r="AH116" s="96">
        <v>60</v>
      </c>
      <c r="AI116" s="96">
        <v>6</v>
      </c>
      <c r="AJ116" s="96">
        <v>89537.937578498575</v>
      </c>
      <c r="AK116" s="97">
        <v>137622.22820749108</v>
      </c>
      <c r="AL116" s="97">
        <v>3566.4475580000008</v>
      </c>
      <c r="AM116" s="97">
        <f t="shared" si="69"/>
        <v>93104.385136498575</v>
      </c>
      <c r="AN116" s="97">
        <f t="shared" si="70"/>
        <v>44517.843070992501</v>
      </c>
      <c r="AO116" s="98">
        <f t="shared" si="71"/>
        <v>0.4781497993432397</v>
      </c>
      <c r="AP116" s="98">
        <f t="shared" si="72"/>
        <v>0.94869759934125364</v>
      </c>
    </row>
    <row r="117" spans="2:42" x14ac:dyDescent="0.25">
      <c r="Q117" s="39">
        <v>2006</v>
      </c>
      <c r="R117" s="26">
        <v>598</v>
      </c>
      <c r="S117" s="26">
        <v>422</v>
      </c>
      <c r="T117" s="26">
        <v>377370.83027110668</v>
      </c>
      <c r="U117" s="35">
        <v>545750.78895002487</v>
      </c>
      <c r="V117" s="5">
        <v>160200.058842</v>
      </c>
      <c r="W117" s="5">
        <f t="shared" si="65"/>
        <v>537570.88911310665</v>
      </c>
      <c r="X117" s="5">
        <f t="shared" si="66"/>
        <v>8179.8998369182227</v>
      </c>
      <c r="Y117" s="92">
        <f t="shared" si="67"/>
        <v>1.5216411458614429E-2</v>
      </c>
      <c r="Z117" s="92">
        <f t="shared" si="68"/>
        <v>1.3816309305103015E-2</v>
      </c>
      <c r="AG117" s="39">
        <v>2006</v>
      </c>
      <c r="AH117" s="26">
        <v>35</v>
      </c>
      <c r="AI117" s="26">
        <v>6</v>
      </c>
      <c r="AJ117" s="26">
        <v>31268.178052988223</v>
      </c>
      <c r="AK117" s="35">
        <v>37331.275295342013</v>
      </c>
      <c r="AL117" s="5">
        <v>6053.4127260000005</v>
      </c>
      <c r="AM117" s="5">
        <f t="shared" si="69"/>
        <v>37321.590778988226</v>
      </c>
      <c r="AN117" s="5">
        <f t="shared" si="70"/>
        <v>9.6845163537873304</v>
      </c>
      <c r="AO117" s="92">
        <f t="shared" si="71"/>
        <v>2.594883056067278E-4</v>
      </c>
      <c r="AP117" s="92">
        <f t="shared" si="72"/>
        <v>2.0638190850728289E-4</v>
      </c>
    </row>
    <row r="118" spans="2:42" x14ac:dyDescent="0.25">
      <c r="Q118" s="39">
        <v>2007</v>
      </c>
      <c r="R118" s="26">
        <v>810</v>
      </c>
      <c r="S118" s="26">
        <v>178</v>
      </c>
      <c r="T118" s="26">
        <v>393727.08679766121</v>
      </c>
      <c r="U118" s="35">
        <v>664673.48688591376</v>
      </c>
      <c r="V118" s="5">
        <v>262037.68676900002</v>
      </c>
      <c r="W118" s="5">
        <f t="shared" si="65"/>
        <v>655764.77356666117</v>
      </c>
      <c r="X118" s="5">
        <f t="shared" si="66"/>
        <v>8908.7133192525944</v>
      </c>
      <c r="Y118" s="92">
        <f t="shared" si="67"/>
        <v>1.3585227017911762E-2</v>
      </c>
      <c r="Z118" s="92">
        <f t="shared" si="68"/>
        <v>1.5047316126508618E-2</v>
      </c>
      <c r="AG118" s="39">
        <v>2007</v>
      </c>
      <c r="AH118" s="26">
        <v>39</v>
      </c>
      <c r="AI118" s="26">
        <v>0</v>
      </c>
      <c r="AJ118" s="26">
        <v>33885.690086191615</v>
      </c>
      <c r="AK118" s="35">
        <v>44289.539055539979</v>
      </c>
      <c r="AL118" s="5">
        <v>7075.5226056000001</v>
      </c>
      <c r="AM118" s="5">
        <f t="shared" si="69"/>
        <v>40961.212691791618</v>
      </c>
      <c r="AN118" s="5">
        <f t="shared" si="70"/>
        <v>3328.3263637483615</v>
      </c>
      <c r="AO118" s="92">
        <f t="shared" si="71"/>
        <v>8.1255562153201052E-2</v>
      </c>
      <c r="AP118" s="92">
        <f t="shared" si="72"/>
        <v>7.092830679323113E-2</v>
      </c>
    </row>
    <row r="119" spans="2:42" x14ac:dyDescent="0.25">
      <c r="Q119" s="39">
        <v>2008</v>
      </c>
      <c r="R119" s="26">
        <v>777</v>
      </c>
      <c r="S119" s="26">
        <v>324</v>
      </c>
      <c r="T119" s="26">
        <v>560649.05449867062</v>
      </c>
      <c r="U119" s="35">
        <v>721078.26299628883</v>
      </c>
      <c r="V119" s="5">
        <v>119114.09707999999</v>
      </c>
      <c r="W119" s="5">
        <f t="shared" si="65"/>
        <v>679763.1515786706</v>
      </c>
      <c r="X119" s="5">
        <f t="shared" si="66"/>
        <v>41315.111417618231</v>
      </c>
      <c r="Y119" s="92">
        <f t="shared" si="67"/>
        <v>6.0778686402269237E-2</v>
      </c>
      <c r="Z119" s="92">
        <f t="shared" si="68"/>
        <v>6.9783538882019353E-2</v>
      </c>
      <c r="AG119" s="39">
        <v>2008</v>
      </c>
      <c r="AH119" s="26">
        <v>6</v>
      </c>
      <c r="AI119" s="26">
        <v>0</v>
      </c>
      <c r="AJ119" s="26">
        <v>3419.037869058594</v>
      </c>
      <c r="AK119" s="35">
        <v>6659.302429028</v>
      </c>
      <c r="AL119" s="5">
        <v>1253.293054</v>
      </c>
      <c r="AM119" s="5">
        <f t="shared" si="69"/>
        <v>4672.3309230585937</v>
      </c>
      <c r="AN119" s="5">
        <f t="shared" si="70"/>
        <v>1986.9715059694063</v>
      </c>
      <c r="AO119" s="92">
        <f t="shared" si="71"/>
        <v>0.42526343674918859</v>
      </c>
      <c r="AP119" s="92">
        <f t="shared" si="72"/>
        <v>4.2343360945555922E-2</v>
      </c>
    </row>
    <row r="120" spans="2:42" x14ac:dyDescent="0.25">
      <c r="B120" s="366" t="s">
        <v>65</v>
      </c>
      <c r="C120" s="366"/>
      <c r="D120" s="366"/>
      <c r="E120" s="366"/>
      <c r="F120" s="366"/>
      <c r="J120" s="366" t="s">
        <v>65</v>
      </c>
      <c r="K120" s="366"/>
      <c r="L120" s="366"/>
      <c r="M120" s="366"/>
      <c r="N120" s="366"/>
      <c r="Q120" s="108">
        <v>2009</v>
      </c>
      <c r="R120" s="109">
        <v>436</v>
      </c>
      <c r="S120" s="109">
        <v>172</v>
      </c>
      <c r="T120" s="109">
        <v>363279.50760860625</v>
      </c>
      <c r="U120" s="35">
        <v>528866.30301926518</v>
      </c>
      <c r="V120" s="7">
        <v>138014.17476739999</v>
      </c>
      <c r="W120" s="7">
        <f t="shared" si="65"/>
        <v>501293.68237600627</v>
      </c>
      <c r="X120" s="7">
        <f t="shared" si="66"/>
        <v>27572.62064325891</v>
      </c>
      <c r="Y120" s="102">
        <f t="shared" si="67"/>
        <v>5.5002928647677356E-2</v>
      </c>
      <c r="Z120" s="92">
        <f t="shared" si="68"/>
        <v>4.6571701702286021E-2</v>
      </c>
      <c r="AG120" s="108">
        <v>2009</v>
      </c>
      <c r="AH120" s="109">
        <v>14</v>
      </c>
      <c r="AI120" s="109">
        <v>1</v>
      </c>
      <c r="AJ120" s="109">
        <v>11975.248017155578</v>
      </c>
      <c r="AK120" s="35">
        <v>21656.015923119987</v>
      </c>
      <c r="AL120" s="7">
        <v>1857.959719</v>
      </c>
      <c r="AM120" s="7">
        <f t="shared" si="69"/>
        <v>13833.207736155578</v>
      </c>
      <c r="AN120" s="7">
        <f t="shared" si="70"/>
        <v>7822.8081869644084</v>
      </c>
      <c r="AO120" s="102">
        <f t="shared" si="71"/>
        <v>0.56550934072348891</v>
      </c>
      <c r="AP120" s="92">
        <f t="shared" si="72"/>
        <v>0.16670797224486422</v>
      </c>
    </row>
    <row r="121" spans="2:42" x14ac:dyDescent="0.25">
      <c r="B121" s="333" t="s">
        <v>19</v>
      </c>
      <c r="C121" s="333" t="s">
        <v>36</v>
      </c>
      <c r="D121" s="333" t="s">
        <v>15</v>
      </c>
      <c r="E121" s="333" t="s">
        <v>23</v>
      </c>
      <c r="F121" s="333" t="s">
        <v>20</v>
      </c>
      <c r="J121" s="60" t="s">
        <v>19</v>
      </c>
      <c r="K121" s="60" t="s">
        <v>36</v>
      </c>
      <c r="L121" s="60" t="s">
        <v>15</v>
      </c>
      <c r="M121" s="60" t="s">
        <v>23</v>
      </c>
      <c r="N121" s="60" t="s">
        <v>20</v>
      </c>
      <c r="Q121" s="39">
        <v>2010</v>
      </c>
      <c r="R121" s="26">
        <v>404</v>
      </c>
      <c r="S121" s="26">
        <v>72</v>
      </c>
      <c r="T121" s="26">
        <v>140744.22894930467</v>
      </c>
      <c r="U121" s="35">
        <v>269018.25209109049</v>
      </c>
      <c r="V121" s="5">
        <v>124675.9258934</v>
      </c>
      <c r="W121" s="5">
        <f t="shared" si="65"/>
        <v>265420.15484270465</v>
      </c>
      <c r="X121" s="5">
        <f t="shared" si="66"/>
        <v>3598.097248385835</v>
      </c>
      <c r="Y121" s="92">
        <f t="shared" si="67"/>
        <v>1.3556232195396643E-2</v>
      </c>
      <c r="Z121" s="92">
        <f t="shared" si="68"/>
        <v>6.0773879246262168E-3</v>
      </c>
      <c r="AG121" s="39">
        <v>2010</v>
      </c>
      <c r="AH121" s="26">
        <v>1</v>
      </c>
      <c r="AI121" s="26">
        <v>0</v>
      </c>
      <c r="AJ121" s="26">
        <v>588.6887252093768</v>
      </c>
      <c r="AK121" s="35">
        <v>2334.8425224299995</v>
      </c>
      <c r="AL121" s="5">
        <v>1780.5628268</v>
      </c>
      <c r="AM121" s="5">
        <f t="shared" si="69"/>
        <v>2369.2515520093766</v>
      </c>
      <c r="AN121" s="5">
        <f t="shared" si="70"/>
        <v>-34.409029579377147</v>
      </c>
      <c r="AO121" s="92">
        <f t="shared" si="71"/>
        <v>-1.4523164309080917E-2</v>
      </c>
      <c r="AP121" s="92">
        <f t="shared" si="72"/>
        <v>-7.3327370568157025E-4</v>
      </c>
    </row>
    <row r="122" spans="2:42" x14ac:dyDescent="0.25">
      <c r="B122" s="5">
        <f t="shared" ref="B122:E130" si="73">_xlfn.RANK.AVG(B17,B$17:B$25,0)</f>
        <v>8</v>
      </c>
      <c r="C122" s="5">
        <f t="shared" si="73"/>
        <v>6</v>
      </c>
      <c r="D122" s="5">
        <f t="shared" si="73"/>
        <v>4</v>
      </c>
      <c r="E122" s="5">
        <f t="shared" si="73"/>
        <v>1</v>
      </c>
      <c r="F122" s="141">
        <v>1999</v>
      </c>
      <c r="J122" s="5">
        <f t="shared" ref="J122:M130" si="74">_xlfn.RANK.AVG(J17,J$17:J$25,0)</f>
        <v>9</v>
      </c>
      <c r="K122" s="5">
        <f t="shared" si="74"/>
        <v>6</v>
      </c>
      <c r="L122" s="5">
        <f t="shared" si="74"/>
        <v>4</v>
      </c>
      <c r="M122" s="5">
        <f t="shared" si="74"/>
        <v>1</v>
      </c>
      <c r="N122" s="58">
        <v>1999</v>
      </c>
      <c r="Q122" s="39">
        <v>2011</v>
      </c>
      <c r="R122" s="26">
        <v>473</v>
      </c>
      <c r="S122" s="26">
        <v>120</v>
      </c>
      <c r="T122" s="26">
        <v>242195.46292413058</v>
      </c>
      <c r="U122" s="35">
        <v>331833.16297870973</v>
      </c>
      <c r="V122" s="5">
        <v>108572.71399599999</v>
      </c>
      <c r="W122" s="5">
        <f t="shared" si="65"/>
        <v>350768.17692013056</v>
      </c>
      <c r="X122" s="5">
        <f t="shared" si="66"/>
        <v>-18935.013941420824</v>
      </c>
      <c r="Y122" s="92">
        <f t="shared" si="67"/>
        <v>-5.3981561576300865E-2</v>
      </c>
      <c r="Z122" s="92">
        <f t="shared" si="68"/>
        <v>-3.1982299848022366E-2</v>
      </c>
      <c r="AG122" s="39">
        <v>2011</v>
      </c>
      <c r="AH122" s="26">
        <v>14</v>
      </c>
      <c r="AI122" s="26">
        <v>0</v>
      </c>
      <c r="AJ122" s="26">
        <v>8835.824002869078</v>
      </c>
      <c r="AK122" s="35">
        <v>10705.035806099999</v>
      </c>
      <c r="AL122" s="5">
        <v>506.6016477999998</v>
      </c>
      <c r="AM122" s="5">
        <f t="shared" si="69"/>
        <v>9342.4256506690781</v>
      </c>
      <c r="AN122" s="5">
        <f t="shared" si="70"/>
        <v>1362.6101554309207</v>
      </c>
      <c r="AO122" s="92">
        <f t="shared" si="71"/>
        <v>0.14585185971839493</v>
      </c>
      <c r="AP122" s="92">
        <f t="shared" si="72"/>
        <v>2.903790691821824E-2</v>
      </c>
    </row>
    <row r="123" spans="2:42" x14ac:dyDescent="0.25">
      <c r="B123" s="5">
        <f t="shared" si="73"/>
        <v>9</v>
      </c>
      <c r="C123" s="5">
        <f t="shared" si="73"/>
        <v>7</v>
      </c>
      <c r="D123" s="5">
        <f t="shared" si="73"/>
        <v>2</v>
      </c>
      <c r="E123" s="5">
        <f t="shared" si="73"/>
        <v>2</v>
      </c>
      <c r="F123" s="141">
        <v>2000</v>
      </c>
      <c r="J123" s="5">
        <f t="shared" si="74"/>
        <v>8</v>
      </c>
      <c r="K123" s="5">
        <f t="shared" si="74"/>
        <v>7</v>
      </c>
      <c r="L123" s="5">
        <f t="shared" si="74"/>
        <v>2</v>
      </c>
      <c r="M123" s="5">
        <f t="shared" si="74"/>
        <v>6</v>
      </c>
      <c r="N123" s="58">
        <v>2000</v>
      </c>
      <c r="Q123" s="39">
        <v>2012</v>
      </c>
      <c r="R123" s="26">
        <v>755</v>
      </c>
      <c r="S123" s="26">
        <v>258</v>
      </c>
      <c r="T123" s="26">
        <v>419910.08935340017</v>
      </c>
      <c r="U123" s="35">
        <v>535356.92458551691</v>
      </c>
      <c r="V123" s="5">
        <v>129664.81884959999</v>
      </c>
      <c r="W123" s="5">
        <f t="shared" si="65"/>
        <v>549574.9082030002</v>
      </c>
      <c r="X123" s="5">
        <f t="shared" si="66"/>
        <v>-14217.983617483289</v>
      </c>
      <c r="Y123" s="92">
        <f t="shared" si="67"/>
        <v>-2.5870874752949049E-2</v>
      </c>
      <c r="Z123" s="92">
        <f t="shared" si="68"/>
        <v>-2.4014971242978616E-2</v>
      </c>
      <c r="AG123" s="39">
        <v>2012</v>
      </c>
      <c r="AH123" s="26">
        <v>5</v>
      </c>
      <c r="AI123" s="26">
        <v>6</v>
      </c>
      <c r="AJ123" s="26">
        <v>6660.8083060258705</v>
      </c>
      <c r="AK123" s="35">
        <v>8559.9077203020006</v>
      </c>
      <c r="AL123" s="5">
        <v>3117.8202764000002</v>
      </c>
      <c r="AM123" s="5">
        <f t="shared" si="69"/>
        <v>9778.6285824258703</v>
      </c>
      <c r="AN123" s="5">
        <f t="shared" si="70"/>
        <v>-1218.7208621238697</v>
      </c>
      <c r="AO123" s="92">
        <f t="shared" si="71"/>
        <v>-0.1246310616924496</v>
      </c>
      <c r="AP123" s="92">
        <f t="shared" si="72"/>
        <v>-2.5971553795187979E-2</v>
      </c>
    </row>
    <row r="124" spans="2:42" x14ac:dyDescent="0.25">
      <c r="B124" s="5">
        <f t="shared" si="73"/>
        <v>3</v>
      </c>
      <c r="C124" s="5">
        <f t="shared" si="73"/>
        <v>8</v>
      </c>
      <c r="D124" s="5">
        <f t="shared" si="73"/>
        <v>5</v>
      </c>
      <c r="E124" s="5">
        <f t="shared" si="73"/>
        <v>3</v>
      </c>
      <c r="F124" s="141">
        <v>2001</v>
      </c>
      <c r="J124" s="5">
        <f t="shared" si="74"/>
        <v>3</v>
      </c>
      <c r="K124" s="5">
        <f t="shared" si="74"/>
        <v>8</v>
      </c>
      <c r="L124" s="5">
        <f t="shared" si="74"/>
        <v>5</v>
      </c>
      <c r="M124" s="5">
        <f t="shared" si="74"/>
        <v>3</v>
      </c>
      <c r="N124" s="58">
        <v>2001</v>
      </c>
      <c r="Q124" s="39">
        <v>2013</v>
      </c>
      <c r="R124" s="26">
        <v>733</v>
      </c>
      <c r="S124" s="26">
        <v>73</v>
      </c>
      <c r="T124" s="26">
        <v>505822.87600576773</v>
      </c>
      <c r="U124" s="35">
        <v>614703.87163842458</v>
      </c>
      <c r="V124" s="5">
        <v>108213.72795499998</v>
      </c>
      <c r="W124" s="5">
        <f t="shared" si="65"/>
        <v>614036.60396076774</v>
      </c>
      <c r="X124" s="5">
        <f t="shared" si="66"/>
        <v>667.26767765684053</v>
      </c>
      <c r="Y124" s="92">
        <f t="shared" si="67"/>
        <v>1.0866903916683668E-3</v>
      </c>
      <c r="Z124" s="92">
        <f t="shared" si="68"/>
        <v>1.1270525076842518E-3</v>
      </c>
      <c r="AG124" s="39">
        <v>2013</v>
      </c>
      <c r="AH124" s="26">
        <v>7</v>
      </c>
      <c r="AI124" s="26">
        <v>1</v>
      </c>
      <c r="AJ124" s="26">
        <v>10549.495254868179</v>
      </c>
      <c r="AK124" s="35">
        <v>14639.44903005</v>
      </c>
      <c r="AL124" s="5">
        <v>4854.5644735999986</v>
      </c>
      <c r="AM124" s="5">
        <f t="shared" si="69"/>
        <v>15404.059728468179</v>
      </c>
      <c r="AN124" s="5">
        <f t="shared" si="70"/>
        <v>-764.6106984181788</v>
      </c>
      <c r="AO124" s="92">
        <f t="shared" si="71"/>
        <v>-4.9636960119357684E-2</v>
      </c>
      <c r="AP124" s="92">
        <f t="shared" si="72"/>
        <v>-1.6294238084787638E-2</v>
      </c>
    </row>
    <row r="125" spans="2:42" x14ac:dyDescent="0.25">
      <c r="B125" s="5">
        <f t="shared" si="73"/>
        <v>1</v>
      </c>
      <c r="C125" s="5">
        <f t="shared" si="73"/>
        <v>1</v>
      </c>
      <c r="D125" s="5">
        <f t="shared" si="73"/>
        <v>7</v>
      </c>
      <c r="E125" s="5">
        <f t="shared" si="73"/>
        <v>9</v>
      </c>
      <c r="F125" s="141">
        <v>2002</v>
      </c>
      <c r="J125" s="5">
        <f t="shared" si="74"/>
        <v>1</v>
      </c>
      <c r="K125" s="5">
        <f t="shared" si="74"/>
        <v>1</v>
      </c>
      <c r="L125" s="5">
        <f t="shared" si="74"/>
        <v>8</v>
      </c>
      <c r="M125" s="5">
        <f t="shared" si="74"/>
        <v>9</v>
      </c>
      <c r="N125" s="58">
        <v>2002</v>
      </c>
      <c r="Q125" s="39">
        <v>2014</v>
      </c>
      <c r="R125" s="26">
        <v>776</v>
      </c>
      <c r="S125" s="26">
        <v>32</v>
      </c>
      <c r="T125" s="26">
        <v>375585.3896742466</v>
      </c>
      <c r="U125" s="35">
        <v>499470.53666540771</v>
      </c>
      <c r="V125" s="5">
        <v>143070.73571640006</v>
      </c>
      <c r="W125" s="5">
        <f t="shared" si="65"/>
        <v>518656.12539064663</v>
      </c>
      <c r="X125" s="5">
        <f t="shared" si="66"/>
        <v>-19185.588725238922</v>
      </c>
      <c r="Y125" s="92">
        <f t="shared" si="67"/>
        <v>-3.699096142128569E-2</v>
      </c>
      <c r="Z125" s="92">
        <f t="shared" si="68"/>
        <v>-3.240553470252084E-2</v>
      </c>
      <c r="AG125" s="39">
        <v>2014</v>
      </c>
      <c r="AH125" s="26">
        <v>4</v>
      </c>
      <c r="AI125" s="26">
        <v>1</v>
      </c>
      <c r="AJ125" s="26">
        <v>7580.0994472724478</v>
      </c>
      <c r="AK125" s="35">
        <v>11464.394589200005</v>
      </c>
      <c r="AL125" s="5">
        <v>4719.418084400002</v>
      </c>
      <c r="AM125" s="5">
        <f t="shared" si="69"/>
        <v>12299.517531672449</v>
      </c>
      <c r="AN125" s="5">
        <f t="shared" si="70"/>
        <v>-835.12294247244427</v>
      </c>
      <c r="AO125" s="92">
        <f t="shared" si="71"/>
        <v>-6.7898837521221611E-2</v>
      </c>
      <c r="AP125" s="92">
        <f t="shared" si="72"/>
        <v>-1.779688942734638E-2</v>
      </c>
    </row>
    <row r="126" spans="2:42" x14ac:dyDescent="0.25">
      <c r="B126" s="5">
        <f t="shared" si="73"/>
        <v>4</v>
      </c>
      <c r="C126" s="5">
        <f t="shared" si="73"/>
        <v>2</v>
      </c>
      <c r="D126" s="5">
        <f t="shared" si="73"/>
        <v>1</v>
      </c>
      <c r="E126" s="5">
        <f t="shared" si="73"/>
        <v>5</v>
      </c>
      <c r="F126" s="141">
        <v>2003</v>
      </c>
      <c r="J126" s="5">
        <f t="shared" si="74"/>
        <v>4</v>
      </c>
      <c r="K126" s="5">
        <f t="shared" si="74"/>
        <v>2</v>
      </c>
      <c r="L126" s="5">
        <f t="shared" si="74"/>
        <v>1</v>
      </c>
      <c r="M126" s="5">
        <f t="shared" si="74"/>
        <v>4</v>
      </c>
      <c r="N126" s="58">
        <v>2003</v>
      </c>
      <c r="Q126" s="39">
        <v>2015</v>
      </c>
      <c r="R126" s="26">
        <v>685</v>
      </c>
      <c r="S126" s="26">
        <v>24</v>
      </c>
      <c r="T126" s="26">
        <v>448975.21233294945</v>
      </c>
      <c r="U126" s="35">
        <v>561483.66549771279</v>
      </c>
      <c r="V126" s="5">
        <v>124610.51100220003</v>
      </c>
      <c r="W126" s="5">
        <f t="shared" si="65"/>
        <v>573585.72333514947</v>
      </c>
      <c r="X126" s="5">
        <f t="shared" si="66"/>
        <v>-12102.057837436674</v>
      </c>
      <c r="Y126" s="92">
        <f t="shared" si="67"/>
        <v>-2.1098952336310803E-2</v>
      </c>
      <c r="Z126" s="92">
        <f t="shared" si="68"/>
        <v>-2.0441054003573957E-2</v>
      </c>
      <c r="AG126" s="39">
        <v>2015</v>
      </c>
      <c r="AH126" s="26">
        <v>6</v>
      </c>
      <c r="AI126" s="26">
        <v>0</v>
      </c>
      <c r="AJ126" s="26">
        <v>7018.2348516027741</v>
      </c>
      <c r="AK126" s="35">
        <v>5865.7223756300009</v>
      </c>
      <c r="AL126" s="5">
        <v>2128.8367164000001</v>
      </c>
      <c r="AM126" s="5">
        <f t="shared" si="69"/>
        <v>9147.0715680027752</v>
      </c>
      <c r="AN126" s="5">
        <f t="shared" si="70"/>
        <v>-3281.3491923727743</v>
      </c>
      <c r="AO126" s="92">
        <f t="shared" si="71"/>
        <v>-0.35873220931726491</v>
      </c>
      <c r="AP126" s="92">
        <f t="shared" si="72"/>
        <v>-6.9927199672277604E-2</v>
      </c>
    </row>
    <row r="127" spans="2:42" x14ac:dyDescent="0.25">
      <c r="B127" s="5">
        <f t="shared" si="73"/>
        <v>5</v>
      </c>
      <c r="C127" s="5">
        <f t="shared" si="73"/>
        <v>4</v>
      </c>
      <c r="D127" s="5">
        <f t="shared" si="73"/>
        <v>6</v>
      </c>
      <c r="E127" s="5">
        <f t="shared" si="73"/>
        <v>7</v>
      </c>
      <c r="F127" s="141">
        <v>2004</v>
      </c>
      <c r="J127" s="5">
        <f t="shared" si="74"/>
        <v>5</v>
      </c>
      <c r="K127" s="5">
        <f t="shared" si="74"/>
        <v>4</v>
      </c>
      <c r="L127" s="5">
        <f t="shared" si="74"/>
        <v>6</v>
      </c>
      <c r="M127" s="5">
        <f t="shared" si="74"/>
        <v>5</v>
      </c>
      <c r="N127" s="58">
        <v>2004</v>
      </c>
      <c r="Q127" s="39">
        <v>2016</v>
      </c>
      <c r="R127" s="26">
        <v>733</v>
      </c>
      <c r="S127" s="26">
        <v>77</v>
      </c>
      <c r="T127" s="26">
        <v>482357.42029449029</v>
      </c>
      <c r="U127" s="35">
        <v>582058.84892894491</v>
      </c>
      <c r="V127" s="5">
        <v>125747.14103340005</v>
      </c>
      <c r="W127" s="5">
        <f t="shared" si="65"/>
        <v>608104.56132789038</v>
      </c>
      <c r="X127" s="5">
        <f t="shared" si="66"/>
        <v>-26045.71239894547</v>
      </c>
      <c r="Y127" s="92">
        <f t="shared" si="67"/>
        <v>-4.2830976866989168E-2</v>
      </c>
      <c r="Z127" s="92">
        <f t="shared" si="68"/>
        <v>-4.3992668094963237E-2</v>
      </c>
      <c r="AG127" s="95">
        <v>2016</v>
      </c>
      <c r="AH127" s="96">
        <v>7</v>
      </c>
      <c r="AI127" s="96">
        <v>1</v>
      </c>
      <c r="AJ127" s="96">
        <v>253103.21463375923</v>
      </c>
      <c r="AK127" s="97">
        <v>143463.65901065007</v>
      </c>
      <c r="AL127" s="97">
        <v>2499.3594291999998</v>
      </c>
      <c r="AM127" s="97">
        <f t="shared" si="69"/>
        <v>255602.57406295923</v>
      </c>
      <c r="AN127" s="97">
        <f t="shared" si="70"/>
        <v>-112138.91505230917</v>
      </c>
      <c r="AO127" s="98">
        <f t="shared" si="71"/>
        <v>-0.43872373141550391</v>
      </c>
      <c r="AP127" s="98">
        <f t="shared" si="72"/>
        <v>-2.3897366126477668</v>
      </c>
    </row>
    <row r="128" spans="2:42" x14ac:dyDescent="0.25">
      <c r="B128" s="5">
        <f t="shared" si="73"/>
        <v>6</v>
      </c>
      <c r="C128" s="5">
        <f t="shared" si="73"/>
        <v>3</v>
      </c>
      <c r="D128" s="5">
        <f t="shared" si="73"/>
        <v>8</v>
      </c>
      <c r="E128" s="5">
        <f t="shared" si="73"/>
        <v>4</v>
      </c>
      <c r="F128" s="141">
        <v>2005</v>
      </c>
      <c r="J128" s="5">
        <f t="shared" si="74"/>
        <v>6</v>
      </c>
      <c r="K128" s="5">
        <f t="shared" si="74"/>
        <v>3</v>
      </c>
      <c r="L128" s="5">
        <f t="shared" si="74"/>
        <v>7</v>
      </c>
      <c r="M128" s="5">
        <f t="shared" si="74"/>
        <v>2</v>
      </c>
      <c r="N128" s="58">
        <v>2005</v>
      </c>
      <c r="Q128" s="108">
        <v>2017</v>
      </c>
      <c r="R128" s="109">
        <v>248</v>
      </c>
      <c r="S128" s="109">
        <v>91</v>
      </c>
      <c r="T128" s="109">
        <v>323733.77688492503</v>
      </c>
      <c r="U128" s="35">
        <v>392088.36109656288</v>
      </c>
      <c r="V128" s="7">
        <v>111915.18521700002</v>
      </c>
      <c r="W128" s="7">
        <f t="shared" si="65"/>
        <v>435648.96210192505</v>
      </c>
      <c r="X128" s="7">
        <f t="shared" si="66"/>
        <v>-43560.601005362172</v>
      </c>
      <c r="Y128" s="102">
        <f t="shared" si="67"/>
        <v>-9.999014067470835E-2</v>
      </c>
      <c r="Z128" s="92">
        <f t="shared" si="68"/>
        <v>-7.3576296654631279E-2</v>
      </c>
      <c r="AG128" s="108">
        <v>2017</v>
      </c>
      <c r="AH128" s="109">
        <v>0</v>
      </c>
      <c r="AI128" s="109">
        <v>2</v>
      </c>
      <c r="AJ128" s="109">
        <v>16275.539727619316</v>
      </c>
      <c r="AK128" s="35">
        <v>11144.361522000003</v>
      </c>
      <c r="AL128" s="7">
        <v>1183.6122618000002</v>
      </c>
      <c r="AM128" s="7">
        <f t="shared" si="69"/>
        <v>17459.151989419315</v>
      </c>
      <c r="AN128" s="7">
        <f t="shared" si="70"/>
        <v>-6314.7904674193123</v>
      </c>
      <c r="AO128" s="102">
        <f t="shared" si="71"/>
        <v>-0.3616894148837374</v>
      </c>
      <c r="AP128" s="92">
        <f t="shared" si="72"/>
        <v>-0.13457135709001394</v>
      </c>
    </row>
    <row r="129" spans="2:43" x14ac:dyDescent="0.25">
      <c r="B129" s="5">
        <f t="shared" si="73"/>
        <v>7</v>
      </c>
      <c r="C129" s="5">
        <f t="shared" si="73"/>
        <v>9</v>
      </c>
      <c r="D129" s="5">
        <f t="shared" si="73"/>
        <v>9</v>
      </c>
      <c r="E129" s="5">
        <f t="shared" si="73"/>
        <v>8</v>
      </c>
      <c r="F129" s="141">
        <v>2006</v>
      </c>
      <c r="J129" s="5">
        <f t="shared" si="74"/>
        <v>7</v>
      </c>
      <c r="K129" s="5">
        <f t="shared" si="74"/>
        <v>9</v>
      </c>
      <c r="L129" s="5">
        <f t="shared" si="74"/>
        <v>9</v>
      </c>
      <c r="M129" s="5">
        <f t="shared" si="74"/>
        <v>8</v>
      </c>
      <c r="N129" s="58">
        <v>2006</v>
      </c>
      <c r="Q129" s="108" t="s">
        <v>104</v>
      </c>
      <c r="R129" s="109"/>
      <c r="S129" s="109"/>
      <c r="T129" s="109"/>
      <c r="U129" s="7"/>
      <c r="V129" s="7"/>
      <c r="W129" s="7">
        <f>AVERAGE(W97:W128)</f>
        <v>592046.66429239535</v>
      </c>
      <c r="X129" s="7"/>
      <c r="Y129" s="102"/>
      <c r="Z129" s="17"/>
      <c r="AG129" s="108" t="s">
        <v>104</v>
      </c>
      <c r="AH129" s="109"/>
      <c r="AI129" s="109"/>
      <c r="AJ129" s="109"/>
      <c r="AK129" s="7"/>
      <c r="AL129" s="7"/>
      <c r="AM129" s="7">
        <f>AVERAGE(AM97:AM128)</f>
        <v>46925.219481849977</v>
      </c>
      <c r="AN129" s="7"/>
      <c r="AO129" s="102"/>
      <c r="AP129" s="17"/>
    </row>
    <row r="130" spans="2:43" x14ac:dyDescent="0.25">
      <c r="B130" s="5">
        <f t="shared" si="73"/>
        <v>2</v>
      </c>
      <c r="C130" s="5">
        <f t="shared" si="73"/>
        <v>5</v>
      </c>
      <c r="D130" s="5">
        <f t="shared" si="73"/>
        <v>3</v>
      </c>
      <c r="E130" s="5">
        <f t="shared" si="73"/>
        <v>6</v>
      </c>
      <c r="F130" s="141">
        <v>2007</v>
      </c>
      <c r="J130" s="5">
        <f t="shared" si="74"/>
        <v>2</v>
      </c>
      <c r="K130" s="5">
        <f t="shared" si="74"/>
        <v>5</v>
      </c>
      <c r="L130" s="5">
        <f t="shared" si="74"/>
        <v>3</v>
      </c>
      <c r="M130" s="5">
        <f t="shared" si="74"/>
        <v>7</v>
      </c>
      <c r="N130" s="58">
        <v>2007</v>
      </c>
    </row>
    <row r="131" spans="2:43" x14ac:dyDescent="0.25">
      <c r="J131" s="5"/>
      <c r="K131" s="5"/>
      <c r="L131" s="5"/>
      <c r="M131" s="5"/>
      <c r="N131" s="58"/>
      <c r="Q131" s="366" t="s">
        <v>15</v>
      </c>
      <c r="R131" s="366"/>
      <c r="S131" s="366"/>
      <c r="T131" s="366"/>
      <c r="U131" s="366"/>
      <c r="V131" s="366"/>
      <c r="W131" s="366"/>
      <c r="X131" s="366"/>
      <c r="Y131" s="366"/>
      <c r="Z131" s="366"/>
      <c r="AA131" s="17"/>
      <c r="AG131" s="366" t="s">
        <v>36</v>
      </c>
      <c r="AH131" s="366"/>
      <c r="AI131" s="366"/>
      <c r="AJ131" s="366"/>
      <c r="AK131" s="366"/>
      <c r="AL131" s="366"/>
      <c r="AM131" s="366"/>
      <c r="AN131" s="366"/>
      <c r="AO131" s="366"/>
      <c r="AP131" s="366"/>
    </row>
    <row r="132" spans="2:43" x14ac:dyDescent="0.25">
      <c r="Q132" s="88" t="s">
        <v>20</v>
      </c>
      <c r="R132" s="88" t="s">
        <v>94</v>
      </c>
      <c r="S132" s="88" t="s">
        <v>95</v>
      </c>
      <c r="T132" s="88" t="s">
        <v>101</v>
      </c>
      <c r="U132" s="93" t="s">
        <v>50</v>
      </c>
      <c r="V132" s="88" t="s">
        <v>45</v>
      </c>
      <c r="W132" s="88" t="s">
        <v>98</v>
      </c>
      <c r="X132" s="88" t="s">
        <v>97</v>
      </c>
      <c r="Y132" s="88" t="s">
        <v>99</v>
      </c>
      <c r="Z132" s="88" t="s">
        <v>103</v>
      </c>
      <c r="AA132" s="17"/>
      <c r="AG132" s="88" t="s">
        <v>20</v>
      </c>
      <c r="AH132" s="88" t="s">
        <v>94</v>
      </c>
      <c r="AI132" s="88" t="s">
        <v>95</v>
      </c>
      <c r="AJ132" s="88" t="s">
        <v>101</v>
      </c>
      <c r="AK132" s="93" t="s">
        <v>50</v>
      </c>
      <c r="AL132" s="88" t="s">
        <v>45</v>
      </c>
      <c r="AM132" s="88" t="s">
        <v>98</v>
      </c>
      <c r="AN132" s="88" t="s">
        <v>97</v>
      </c>
      <c r="AO132" s="88" t="s">
        <v>99</v>
      </c>
      <c r="AP132" s="88" t="s">
        <v>103</v>
      </c>
    </row>
    <row r="133" spans="2:43" x14ac:dyDescent="0.25">
      <c r="Q133" s="39">
        <v>1986</v>
      </c>
      <c r="R133" s="26">
        <v>22</v>
      </c>
      <c r="S133" s="26">
        <v>34</v>
      </c>
      <c r="T133" s="26">
        <v>13747.714088989196</v>
      </c>
      <c r="U133" s="35">
        <v>121872.20077350998</v>
      </c>
      <c r="V133" s="5">
        <v>109616.510526</v>
      </c>
      <c r="W133" s="5">
        <f t="shared" ref="W133:W164" si="75">T133+V133</f>
        <v>123364.22461498919</v>
      </c>
      <c r="X133" s="5">
        <f t="shared" ref="X133:X164" si="76">U133-W133</f>
        <v>-1492.0238414792111</v>
      </c>
      <c r="Y133" s="92">
        <f t="shared" ref="Y133:Y164" si="77">X133/W133</f>
        <v>-1.2094461308663103E-2</v>
      </c>
      <c r="Z133" s="92">
        <f t="shared" ref="Z133:Z164" si="78">X133/$W$165</f>
        <v>-1.4958863638240692E-2</v>
      </c>
      <c r="AA133" s="17"/>
      <c r="AG133" s="39">
        <v>1986</v>
      </c>
      <c r="AH133" s="26">
        <v>6</v>
      </c>
      <c r="AI133" s="26">
        <v>0</v>
      </c>
      <c r="AJ133" s="26">
        <v>7945.1015757209498</v>
      </c>
      <c r="AK133" s="35">
        <v>18302.13059207</v>
      </c>
      <c r="AL133" s="5">
        <v>2.6785889999999997</v>
      </c>
      <c r="AM133" s="5">
        <f t="shared" ref="AM133:AM164" si="79">AJ133+AL133</f>
        <v>7947.7801647209499</v>
      </c>
      <c r="AN133" s="5">
        <f t="shared" ref="AN133:AN164" si="80">AK133-AM133</f>
        <v>10354.350427349051</v>
      </c>
      <c r="AO133" s="92">
        <f t="shared" ref="AO133:AO164" si="81">AN133/AM133</f>
        <v>1.3027977891626292</v>
      </c>
      <c r="AP133" s="92">
        <f t="shared" ref="AP133:AP164" si="82">AN133/$AM$165</f>
        <v>0.12155550773992341</v>
      </c>
    </row>
    <row r="134" spans="2:43" x14ac:dyDescent="0.25">
      <c r="Q134" s="39">
        <v>1987</v>
      </c>
      <c r="R134" s="26">
        <v>53</v>
      </c>
      <c r="S134" s="26">
        <v>11</v>
      </c>
      <c r="T134" s="26">
        <v>3494.2680347484675</v>
      </c>
      <c r="U134" s="35">
        <v>156381.52628053309</v>
      </c>
      <c r="V134" s="5">
        <v>152623.31601740007</v>
      </c>
      <c r="W134" s="5">
        <f t="shared" si="75"/>
        <v>156117.58405214854</v>
      </c>
      <c r="X134" s="5">
        <f t="shared" si="76"/>
        <v>263.9422283845488</v>
      </c>
      <c r="Y134" s="92">
        <f t="shared" si="77"/>
        <v>1.6906630344496183E-3</v>
      </c>
      <c r="Z134" s="92">
        <f t="shared" si="78"/>
        <v>2.6462551689948044E-3</v>
      </c>
      <c r="AA134" s="17"/>
      <c r="AG134" s="39">
        <v>1987</v>
      </c>
      <c r="AH134" s="26">
        <v>68</v>
      </c>
      <c r="AI134" s="26">
        <v>2</v>
      </c>
      <c r="AJ134" s="26">
        <v>64902.882486039045</v>
      </c>
      <c r="AK134" s="35">
        <v>86508.980683770991</v>
      </c>
      <c r="AL134" s="5">
        <v>23.765588000000001</v>
      </c>
      <c r="AM134" s="5">
        <f t="shared" si="79"/>
        <v>64926.648074039047</v>
      </c>
      <c r="AN134" s="5">
        <f t="shared" si="80"/>
        <v>21582.332609731944</v>
      </c>
      <c r="AO134" s="92">
        <f t="shared" si="81"/>
        <v>0.33241100919179672</v>
      </c>
      <c r="AP134" s="92">
        <f t="shared" si="82"/>
        <v>0.25336706701161321</v>
      </c>
    </row>
    <row r="135" spans="2:43" x14ac:dyDescent="0.25">
      <c r="Q135" s="39">
        <v>1988</v>
      </c>
      <c r="R135" s="26">
        <v>34</v>
      </c>
      <c r="S135" s="26">
        <v>0</v>
      </c>
      <c r="T135" s="26">
        <v>1807.8647265781831</v>
      </c>
      <c r="U135" s="35">
        <v>181213.90150664389</v>
      </c>
      <c r="V135" s="5">
        <v>178947.3070437999</v>
      </c>
      <c r="W135" s="5"/>
      <c r="X135" s="5"/>
      <c r="Y135" s="92" t="e">
        <f t="shared" si="77"/>
        <v>#DIV/0!</v>
      </c>
      <c r="Z135" s="92">
        <f t="shared" si="78"/>
        <v>0</v>
      </c>
      <c r="AA135" s="17" t="s">
        <v>108</v>
      </c>
      <c r="AG135" s="39">
        <v>1988</v>
      </c>
      <c r="AH135" s="26">
        <v>184</v>
      </c>
      <c r="AI135" s="26">
        <v>10</v>
      </c>
      <c r="AJ135" s="26">
        <v>16802.701985485339</v>
      </c>
      <c r="AK135" s="35">
        <v>481647.06024130003</v>
      </c>
      <c r="AL135" s="5">
        <v>42.786876800000002</v>
      </c>
      <c r="AM135" s="5"/>
      <c r="AN135" s="5"/>
      <c r="AO135" s="92" t="e">
        <f t="shared" si="81"/>
        <v>#DIV/0!</v>
      </c>
      <c r="AP135" s="92">
        <f t="shared" si="82"/>
        <v>0</v>
      </c>
      <c r="AQ135" t="s">
        <v>107</v>
      </c>
    </row>
    <row r="136" spans="2:43" x14ac:dyDescent="0.25">
      <c r="Q136" s="39">
        <v>1989</v>
      </c>
      <c r="R136" s="26">
        <v>102</v>
      </c>
      <c r="S136" s="26">
        <v>18</v>
      </c>
      <c r="T136" s="26">
        <v>32786.229463270291</v>
      </c>
      <c r="U136" s="35">
        <v>138150.22443446796</v>
      </c>
      <c r="V136" s="5">
        <v>115799.54270919997</v>
      </c>
      <c r="W136" s="5">
        <f t="shared" si="75"/>
        <v>148585.77217247026</v>
      </c>
      <c r="X136" s="5">
        <f t="shared" si="76"/>
        <v>-10435.547738002293</v>
      </c>
      <c r="Y136" s="92">
        <f t="shared" si="77"/>
        <v>-7.0232483133642692E-2</v>
      </c>
      <c r="Z136" s="92">
        <f t="shared" si="78"/>
        <v>-0.10462563081322079</v>
      </c>
      <c r="AA136" s="17"/>
      <c r="AG136" s="95">
        <v>1989</v>
      </c>
      <c r="AH136" s="96">
        <v>61</v>
      </c>
      <c r="AI136" s="96">
        <v>9</v>
      </c>
      <c r="AJ136" s="96">
        <v>252582.63779135662</v>
      </c>
      <c r="AK136" s="97">
        <v>442893.90913149004</v>
      </c>
      <c r="AL136" s="97">
        <v>4.5899771999999999</v>
      </c>
      <c r="AM136" s="97">
        <f t="shared" si="79"/>
        <v>252587.22776855662</v>
      </c>
      <c r="AN136" s="97">
        <f t="shared" si="80"/>
        <v>190306.68136293342</v>
      </c>
      <c r="AO136" s="98">
        <f t="shared" si="81"/>
        <v>0.75342955003769907</v>
      </c>
      <c r="AP136" s="98">
        <f t="shared" si="82"/>
        <v>2.2341165137960006</v>
      </c>
    </row>
    <row r="137" spans="2:43" x14ac:dyDescent="0.25">
      <c r="Q137" s="39">
        <v>1990</v>
      </c>
      <c r="R137" s="26">
        <v>45</v>
      </c>
      <c r="S137" s="26">
        <v>0</v>
      </c>
      <c r="T137" s="26">
        <v>488.47661088935416</v>
      </c>
      <c r="U137" s="35">
        <v>89060.056869369961</v>
      </c>
      <c r="V137" s="5">
        <v>88512.99245799995</v>
      </c>
      <c r="W137" s="5">
        <f t="shared" si="75"/>
        <v>89001.469068889302</v>
      </c>
      <c r="X137" s="5">
        <f t="shared" si="76"/>
        <v>58.587800480658188</v>
      </c>
      <c r="Y137" s="92">
        <f t="shared" si="77"/>
        <v>6.5827902722942477E-4</v>
      </c>
      <c r="Z137" s="92">
        <f t="shared" si="78"/>
        <v>5.8739471440733655E-4</v>
      </c>
      <c r="AA137" s="17"/>
      <c r="AG137" s="95">
        <v>1990</v>
      </c>
      <c r="AH137" s="96">
        <v>28</v>
      </c>
      <c r="AI137" s="96">
        <v>0</v>
      </c>
      <c r="AJ137" s="96">
        <v>54664.272283570368</v>
      </c>
      <c r="AK137" s="97">
        <v>108857.22537099999</v>
      </c>
      <c r="AL137" s="97">
        <v>0</v>
      </c>
      <c r="AM137" s="97">
        <f t="shared" si="79"/>
        <v>54664.272283570368</v>
      </c>
      <c r="AN137" s="97">
        <f t="shared" si="80"/>
        <v>54192.953087429625</v>
      </c>
      <c r="AO137" s="98">
        <f t="shared" si="81"/>
        <v>0.99137792974365813</v>
      </c>
      <c r="AP137" s="98">
        <f t="shared" si="82"/>
        <v>0.63620137010901756</v>
      </c>
    </row>
    <row r="138" spans="2:43" x14ac:dyDescent="0.25">
      <c r="Q138" s="39">
        <v>1991</v>
      </c>
      <c r="R138" s="26">
        <v>6</v>
      </c>
      <c r="S138" s="26">
        <v>7</v>
      </c>
      <c r="T138" s="26">
        <v>3580.0223129806568</v>
      </c>
      <c r="U138" s="35">
        <v>107288.20215197999</v>
      </c>
      <c r="V138" s="5">
        <v>103834.43335399998</v>
      </c>
      <c r="W138" s="5">
        <f t="shared" si="75"/>
        <v>107414.45566698063</v>
      </c>
      <c r="X138" s="5">
        <f t="shared" si="76"/>
        <v>-126.25351500064426</v>
      </c>
      <c r="Y138" s="92">
        <f t="shared" si="77"/>
        <v>-1.1753866294502368E-3</v>
      </c>
      <c r="Z138" s="92">
        <f t="shared" si="78"/>
        <v>-1.2658035764836187E-3</v>
      </c>
      <c r="AA138" s="17"/>
      <c r="AG138" s="39">
        <v>1991</v>
      </c>
      <c r="AH138" s="26">
        <v>22</v>
      </c>
      <c r="AI138" s="26">
        <v>12</v>
      </c>
      <c r="AJ138" s="26">
        <v>307803.60691959603</v>
      </c>
      <c r="AK138" s="35">
        <v>325296.82282079</v>
      </c>
      <c r="AL138" s="5">
        <v>11.618242</v>
      </c>
      <c r="AM138" s="5">
        <f t="shared" si="79"/>
        <v>307815.22516159603</v>
      </c>
      <c r="AN138" s="5">
        <f t="shared" si="80"/>
        <v>17481.597659193969</v>
      </c>
      <c r="AO138" s="92">
        <f t="shared" si="81"/>
        <v>5.6792504821736887E-2</v>
      </c>
      <c r="AP138" s="92">
        <f t="shared" si="82"/>
        <v>0.20522624711982282</v>
      </c>
    </row>
    <row r="139" spans="2:43" x14ac:dyDescent="0.25">
      <c r="Q139" s="39">
        <v>1992</v>
      </c>
      <c r="R139" s="26">
        <v>97</v>
      </c>
      <c r="S139" s="26">
        <v>20</v>
      </c>
      <c r="T139" s="26">
        <v>52649.708917222197</v>
      </c>
      <c r="U139" s="35">
        <v>147313.67361917492</v>
      </c>
      <c r="V139" s="5">
        <v>89636.743215999988</v>
      </c>
      <c r="W139" s="5">
        <f t="shared" si="75"/>
        <v>142286.45213322219</v>
      </c>
      <c r="X139" s="5">
        <f t="shared" si="76"/>
        <v>5027.2214859527303</v>
      </c>
      <c r="Y139" s="92">
        <f t="shared" si="77"/>
        <v>3.5331694694627457E-2</v>
      </c>
      <c r="Z139" s="92">
        <f t="shared" si="78"/>
        <v>5.040235859304025E-2</v>
      </c>
      <c r="AA139" s="17"/>
      <c r="AG139" s="39">
        <v>1992</v>
      </c>
      <c r="AH139" s="26">
        <v>63</v>
      </c>
      <c r="AI139" s="26">
        <v>10</v>
      </c>
      <c r="AJ139" s="26">
        <v>179376.01839234991</v>
      </c>
      <c r="AK139" s="35">
        <v>214561.63253907999</v>
      </c>
      <c r="AL139" s="5">
        <v>6.3051560000000002</v>
      </c>
      <c r="AM139" s="5"/>
      <c r="AN139" s="5"/>
      <c r="AO139" s="92" t="e">
        <f t="shared" si="81"/>
        <v>#DIV/0!</v>
      </c>
      <c r="AP139" s="92">
        <f t="shared" si="82"/>
        <v>0</v>
      </c>
      <c r="AQ139" s="17" t="s">
        <v>107</v>
      </c>
    </row>
    <row r="140" spans="2:43" x14ac:dyDescent="0.25">
      <c r="Q140" s="39">
        <v>1993</v>
      </c>
      <c r="R140" s="26">
        <v>44</v>
      </c>
      <c r="S140" s="26">
        <v>51</v>
      </c>
      <c r="T140" s="26">
        <v>4478.8914027791079</v>
      </c>
      <c r="U140" s="35">
        <v>84498.565772519985</v>
      </c>
      <c r="V140" s="5">
        <v>78687.398902000001</v>
      </c>
      <c r="W140" s="5"/>
      <c r="X140" s="5"/>
      <c r="Y140" s="92" t="e">
        <f t="shared" si="77"/>
        <v>#DIV/0!</v>
      </c>
      <c r="Z140" s="92">
        <f t="shared" si="78"/>
        <v>0</v>
      </c>
      <c r="AA140" s="17" t="s">
        <v>108</v>
      </c>
      <c r="AG140" s="39">
        <v>1993</v>
      </c>
      <c r="AH140" s="26">
        <v>29</v>
      </c>
      <c r="AI140" s="26">
        <v>2</v>
      </c>
      <c r="AJ140" s="26">
        <v>65348.543728715202</v>
      </c>
      <c r="AK140" s="35">
        <v>59091.14308550999</v>
      </c>
      <c r="AL140" s="5">
        <v>0</v>
      </c>
      <c r="AM140" s="5">
        <f t="shared" si="79"/>
        <v>65348.543728715202</v>
      </c>
      <c r="AN140" s="5">
        <f t="shared" si="80"/>
        <v>-6257.400643205212</v>
      </c>
      <c r="AO140" s="92">
        <f t="shared" si="81"/>
        <v>-9.5754247702624917E-2</v>
      </c>
      <c r="AP140" s="92">
        <f t="shared" si="82"/>
        <v>-7.3459124032338674E-2</v>
      </c>
    </row>
    <row r="141" spans="2:43" x14ac:dyDescent="0.25">
      <c r="Q141" s="39">
        <v>1994</v>
      </c>
      <c r="R141" s="26">
        <v>77</v>
      </c>
      <c r="S141" s="26">
        <v>52</v>
      </c>
      <c r="T141" s="26">
        <v>12637.507161662619</v>
      </c>
      <c r="U141" s="35">
        <v>76693.796443930027</v>
      </c>
      <c r="V141" s="5">
        <v>64945.289353999993</v>
      </c>
      <c r="W141" s="5">
        <f t="shared" si="75"/>
        <v>77582.796515662616</v>
      </c>
      <c r="X141" s="5">
        <f t="shared" si="76"/>
        <v>-889.00007173258928</v>
      </c>
      <c r="Y141" s="92">
        <f t="shared" si="77"/>
        <v>-1.1458726826805161E-2</v>
      </c>
      <c r="Z141" s="92">
        <f t="shared" si="78"/>
        <v>-8.913014978533966E-3</v>
      </c>
      <c r="AA141" s="17"/>
      <c r="AG141" s="39">
        <v>1994</v>
      </c>
      <c r="AH141" s="26">
        <v>50</v>
      </c>
      <c r="AI141" s="26">
        <v>9</v>
      </c>
      <c r="AJ141" s="26">
        <v>30880.290347505976</v>
      </c>
      <c r="AK141" s="35">
        <v>32146.009871202994</v>
      </c>
      <c r="AL141" s="5">
        <v>0</v>
      </c>
      <c r="AM141" s="5">
        <f t="shared" si="79"/>
        <v>30880.290347505976</v>
      </c>
      <c r="AN141" s="5">
        <f t="shared" si="80"/>
        <v>1265.7195236970183</v>
      </c>
      <c r="AO141" s="92">
        <f t="shared" si="81"/>
        <v>4.0987941157724354E-2</v>
      </c>
      <c r="AP141" s="92">
        <f t="shared" si="82"/>
        <v>1.4858989024839822E-2</v>
      </c>
    </row>
    <row r="142" spans="2:43" x14ac:dyDescent="0.25">
      <c r="Q142" s="39">
        <v>1995</v>
      </c>
      <c r="R142" s="26">
        <v>36</v>
      </c>
      <c r="S142" s="26">
        <v>86</v>
      </c>
      <c r="T142" s="26">
        <v>13764.981737863669</v>
      </c>
      <c r="U142" s="35">
        <v>80111.148564432995</v>
      </c>
      <c r="V142" s="5">
        <v>66799.931150000019</v>
      </c>
      <c r="W142" s="5">
        <f t="shared" si="75"/>
        <v>80564.912887863684</v>
      </c>
      <c r="X142" s="5">
        <f t="shared" si="76"/>
        <v>-453.76432343068882</v>
      </c>
      <c r="Y142" s="92">
        <f t="shared" si="77"/>
        <v>-5.6322821829680641E-3</v>
      </c>
      <c r="Z142" s="92">
        <f t="shared" si="78"/>
        <v>-4.5493901969882134E-3</v>
      </c>
      <c r="AA142" s="17"/>
      <c r="AG142" s="39">
        <v>1995</v>
      </c>
      <c r="AH142" s="26">
        <v>28</v>
      </c>
      <c r="AI142" s="26">
        <v>0</v>
      </c>
      <c r="AJ142" s="26">
        <v>24115.304829012217</v>
      </c>
      <c r="AK142" s="35">
        <v>20602.8296664136</v>
      </c>
      <c r="AL142" s="5">
        <v>50.485340000000008</v>
      </c>
      <c r="AM142" s="5">
        <f t="shared" si="79"/>
        <v>24165.790169012216</v>
      </c>
      <c r="AN142" s="5">
        <f t="shared" si="80"/>
        <v>-3562.9605025986166</v>
      </c>
      <c r="AO142" s="92">
        <f t="shared" si="81"/>
        <v>-0.14743819579992049</v>
      </c>
      <c r="AP142" s="92">
        <f t="shared" si="82"/>
        <v>-4.182758503196133E-2</v>
      </c>
    </row>
    <row r="143" spans="2:43" x14ac:dyDescent="0.25">
      <c r="Q143" s="39">
        <v>1996</v>
      </c>
      <c r="R143" s="26">
        <v>15</v>
      </c>
      <c r="S143" s="26">
        <v>42</v>
      </c>
      <c r="T143" s="26">
        <v>2863.8220131779112</v>
      </c>
      <c r="U143" s="35">
        <v>40510.904602809991</v>
      </c>
      <c r="V143" s="5">
        <v>36791.246639999998</v>
      </c>
      <c r="W143" s="5">
        <f t="shared" si="75"/>
        <v>39655.068653177907</v>
      </c>
      <c r="X143" s="5">
        <f t="shared" si="76"/>
        <v>855.83594963208452</v>
      </c>
      <c r="Y143" s="92">
        <f t="shared" si="77"/>
        <v>2.158200650507508E-2</v>
      </c>
      <c r="Z143" s="92">
        <f t="shared" si="78"/>
        <v>8.5805152111766442E-3</v>
      </c>
      <c r="AA143" s="17"/>
      <c r="AG143" s="39">
        <v>1996</v>
      </c>
      <c r="AH143" s="26">
        <v>11</v>
      </c>
      <c r="AI143" s="26">
        <v>1</v>
      </c>
      <c r="AJ143" s="26">
        <v>7653.1852906608628</v>
      </c>
      <c r="AK143" s="35">
        <v>6089.6966078700007</v>
      </c>
      <c r="AL143" s="5">
        <v>51.852192000000002</v>
      </c>
      <c r="AM143" s="5">
        <f t="shared" si="79"/>
        <v>7705.0374826608631</v>
      </c>
      <c r="AN143" s="5">
        <f t="shared" si="80"/>
        <v>-1615.3408747908625</v>
      </c>
      <c r="AO143" s="92">
        <f t="shared" si="81"/>
        <v>-0.20964737399733188</v>
      </c>
      <c r="AP143" s="92">
        <f t="shared" si="82"/>
        <v>-1.8963389503374797E-2</v>
      </c>
    </row>
    <row r="144" spans="2:43" x14ac:dyDescent="0.25">
      <c r="Q144" s="39">
        <v>1997</v>
      </c>
      <c r="R144" s="26">
        <v>17</v>
      </c>
      <c r="S144" s="26">
        <v>42</v>
      </c>
      <c r="T144" s="26">
        <v>29624.221451890822</v>
      </c>
      <c r="U144" s="35">
        <v>70359.542526943027</v>
      </c>
      <c r="V144" s="5">
        <v>35528.429714000005</v>
      </c>
      <c r="W144" s="5">
        <f t="shared" si="75"/>
        <v>65152.651165890828</v>
      </c>
      <c r="X144" s="5">
        <f t="shared" si="76"/>
        <v>5206.8913610521995</v>
      </c>
      <c r="Y144" s="92">
        <f t="shared" si="77"/>
        <v>7.9918334371297972E-2</v>
      </c>
      <c r="Z144" s="92">
        <f t="shared" si="78"/>
        <v>5.220370860286859E-2</v>
      </c>
      <c r="AA144" s="17"/>
      <c r="AG144" s="39">
        <v>1997</v>
      </c>
      <c r="AH144" s="26">
        <v>13</v>
      </c>
      <c r="AI144" s="26">
        <v>6</v>
      </c>
      <c r="AJ144" s="26">
        <v>27016.432594072292</v>
      </c>
      <c r="AK144" s="35">
        <v>17533.989109360005</v>
      </c>
      <c r="AL144" s="5">
        <v>115.697408</v>
      </c>
      <c r="AM144" s="5">
        <f t="shared" si="79"/>
        <v>27132.130002072292</v>
      </c>
      <c r="AN144" s="5">
        <f t="shared" si="80"/>
        <v>-9598.1408927122866</v>
      </c>
      <c r="AO144" s="92">
        <f t="shared" si="81"/>
        <v>-0.35375552498013246</v>
      </c>
      <c r="AP144" s="92">
        <f t="shared" si="82"/>
        <v>-0.11267794129232182</v>
      </c>
    </row>
    <row r="145" spans="17:42" x14ac:dyDescent="0.25">
      <c r="Q145" s="39">
        <v>1998</v>
      </c>
      <c r="R145" s="26">
        <v>31</v>
      </c>
      <c r="S145" s="26">
        <v>25</v>
      </c>
      <c r="T145" s="26">
        <v>24434.548782381858</v>
      </c>
      <c r="U145" s="35">
        <v>53086.843294169972</v>
      </c>
      <c r="V145" s="5">
        <v>27535.586276000002</v>
      </c>
      <c r="W145" s="5">
        <f t="shared" si="75"/>
        <v>51970.135058381857</v>
      </c>
      <c r="X145" s="5">
        <f t="shared" si="76"/>
        <v>1116.7082357881154</v>
      </c>
      <c r="Y145" s="92">
        <f t="shared" si="77"/>
        <v>2.1487499205719504E-2</v>
      </c>
      <c r="Z145" s="92">
        <f t="shared" si="78"/>
        <v>1.1195991483818059E-2</v>
      </c>
      <c r="AA145" s="17"/>
      <c r="AG145" s="39">
        <v>1998</v>
      </c>
      <c r="AH145" s="26">
        <v>48</v>
      </c>
      <c r="AI145" s="26">
        <v>0</v>
      </c>
      <c r="AJ145" s="26">
        <v>44366.706905424791</v>
      </c>
      <c r="AK145" s="35">
        <v>49313.296559940005</v>
      </c>
      <c r="AL145" s="5">
        <v>0</v>
      </c>
      <c r="AM145" s="5">
        <f t="shared" si="79"/>
        <v>44366.706905424791</v>
      </c>
      <c r="AN145" s="5">
        <f t="shared" si="80"/>
        <v>4946.5896545152136</v>
      </c>
      <c r="AO145" s="92">
        <f t="shared" si="81"/>
        <v>0.1114932795228574</v>
      </c>
      <c r="AP145" s="92">
        <f t="shared" si="82"/>
        <v>5.8070781093854849E-2</v>
      </c>
    </row>
    <row r="146" spans="17:42" x14ac:dyDescent="0.25">
      <c r="Q146" s="39">
        <v>1999</v>
      </c>
      <c r="R146" s="26">
        <v>45</v>
      </c>
      <c r="S146" s="26">
        <v>113</v>
      </c>
      <c r="T146" s="26">
        <v>88721.484307191931</v>
      </c>
      <c r="U146" s="35">
        <v>119910.95310888004</v>
      </c>
      <c r="V146" s="5">
        <v>32772.260840000003</v>
      </c>
      <c r="W146" s="5">
        <f t="shared" si="75"/>
        <v>121493.74514719193</v>
      </c>
      <c r="X146" s="5">
        <f t="shared" si="76"/>
        <v>-1582.7920383118908</v>
      </c>
      <c r="Y146" s="92">
        <f t="shared" si="77"/>
        <v>-1.3027765638422856E-2</v>
      </c>
      <c r="Z146" s="92">
        <f t="shared" si="78"/>
        <v>-1.5868895396019385E-2</v>
      </c>
      <c r="AA146" s="17"/>
      <c r="AG146" s="39">
        <v>1999</v>
      </c>
      <c r="AH146" s="26">
        <v>67</v>
      </c>
      <c r="AI146" s="26">
        <v>5</v>
      </c>
      <c r="AJ146" s="26">
        <v>48430.784045818218</v>
      </c>
      <c r="AK146" s="35">
        <v>50887.260700209998</v>
      </c>
      <c r="AL146" s="5">
        <v>2.3809680000000002</v>
      </c>
      <c r="AM146" s="5">
        <f t="shared" si="79"/>
        <v>48433.165013818216</v>
      </c>
      <c r="AN146" s="5">
        <f t="shared" si="80"/>
        <v>2454.0956863917818</v>
      </c>
      <c r="AO146" s="92">
        <f t="shared" si="81"/>
        <v>5.0669736030912217E-2</v>
      </c>
      <c r="AP146" s="92">
        <f t="shared" si="82"/>
        <v>2.8810001099999736E-2</v>
      </c>
    </row>
    <row r="147" spans="17:42" x14ac:dyDescent="0.25">
      <c r="Q147" s="39">
        <v>2000</v>
      </c>
      <c r="R147" s="26">
        <v>44</v>
      </c>
      <c r="S147" s="26">
        <v>243</v>
      </c>
      <c r="T147" s="26">
        <v>191331.70156098309</v>
      </c>
      <c r="U147" s="35">
        <v>190153.65448970115</v>
      </c>
      <c r="V147" s="5">
        <v>36431.985024000001</v>
      </c>
      <c r="W147" s="5">
        <f t="shared" si="75"/>
        <v>227763.68658498308</v>
      </c>
      <c r="X147" s="5">
        <f t="shared" si="76"/>
        <v>-37610.032095281931</v>
      </c>
      <c r="Y147" s="92">
        <f t="shared" si="77"/>
        <v>-0.16512742948270157</v>
      </c>
      <c r="Z147" s="92">
        <f t="shared" si="78"/>
        <v>-0.37707396215961686</v>
      </c>
      <c r="AA147" s="17"/>
      <c r="AG147" s="39">
        <v>2000</v>
      </c>
      <c r="AH147" s="26">
        <v>49</v>
      </c>
      <c r="AI147" s="26">
        <v>2</v>
      </c>
      <c r="AJ147" s="26">
        <v>38794.009929372274</v>
      </c>
      <c r="AK147" s="35">
        <v>38686.362023380003</v>
      </c>
      <c r="AL147" s="5">
        <v>0</v>
      </c>
      <c r="AM147" s="5">
        <f t="shared" si="79"/>
        <v>38794.009929372274</v>
      </c>
      <c r="AN147" s="5">
        <f t="shared" si="80"/>
        <v>-107.64790599227126</v>
      </c>
      <c r="AO147" s="92">
        <f t="shared" si="81"/>
        <v>-2.7748589585931756E-3</v>
      </c>
      <c r="AP147" s="92">
        <f t="shared" si="82"/>
        <v>-1.2637389435331467E-3</v>
      </c>
    </row>
    <row r="148" spans="17:42" x14ac:dyDescent="0.25">
      <c r="Q148" s="39">
        <v>2001</v>
      </c>
      <c r="R148" s="26">
        <v>118</v>
      </c>
      <c r="S148" s="26">
        <v>122</v>
      </c>
      <c r="T148" s="26">
        <v>56530.731756650639</v>
      </c>
      <c r="U148" s="35">
        <v>115821.28729998998</v>
      </c>
      <c r="V148" s="5">
        <v>55539.958695999994</v>
      </c>
      <c r="W148" s="5">
        <f t="shared" si="75"/>
        <v>112070.69045265063</v>
      </c>
      <c r="X148" s="5">
        <f t="shared" si="76"/>
        <v>3750.5968473393586</v>
      </c>
      <c r="Y148" s="92">
        <f t="shared" si="77"/>
        <v>3.3466349071204923E-2</v>
      </c>
      <c r="Z148" s="92">
        <f t="shared" si="78"/>
        <v>3.7603063196189973E-2</v>
      </c>
      <c r="AA148" s="17"/>
      <c r="AG148" s="39">
        <v>2001</v>
      </c>
      <c r="AH148" s="26">
        <v>20</v>
      </c>
      <c r="AI148" s="26">
        <v>2</v>
      </c>
      <c r="AJ148" s="26">
        <v>20332.344120156191</v>
      </c>
      <c r="AK148" s="35">
        <v>16306.573121181498</v>
      </c>
      <c r="AL148" s="5">
        <v>0</v>
      </c>
      <c r="AM148" s="5">
        <f t="shared" si="79"/>
        <v>20332.344120156191</v>
      </c>
      <c r="AN148" s="5">
        <f t="shared" si="80"/>
        <v>-4025.7709989746927</v>
      </c>
      <c r="AO148" s="92">
        <f t="shared" si="81"/>
        <v>-0.19799837024122563</v>
      </c>
      <c r="AP148" s="92">
        <f t="shared" si="82"/>
        <v>-4.7260776159602447E-2</v>
      </c>
    </row>
    <row r="149" spans="17:42" x14ac:dyDescent="0.25">
      <c r="Q149" s="39">
        <v>2002</v>
      </c>
      <c r="R149" s="26">
        <v>57</v>
      </c>
      <c r="S149" s="26">
        <v>168</v>
      </c>
      <c r="T149" s="26">
        <v>66899.77086568391</v>
      </c>
      <c r="U149" s="35">
        <v>86266.973119231974</v>
      </c>
      <c r="V149" s="5">
        <v>24434.838422000001</v>
      </c>
      <c r="W149" s="5">
        <f t="shared" si="75"/>
        <v>91334.60928768391</v>
      </c>
      <c r="X149" s="5">
        <f t="shared" si="76"/>
        <v>-5067.6361684519361</v>
      </c>
      <c r="Y149" s="92">
        <f t="shared" si="77"/>
        <v>-5.5484292405412257E-2</v>
      </c>
      <c r="Z149" s="92">
        <f t="shared" si="78"/>
        <v>-5.0807551665484084E-2</v>
      </c>
      <c r="AA149" s="17"/>
      <c r="AG149" s="39">
        <v>2002</v>
      </c>
      <c r="AH149" s="26">
        <v>121</v>
      </c>
      <c r="AI149" s="26">
        <v>12</v>
      </c>
      <c r="AJ149" s="26">
        <v>470026.36070226779</v>
      </c>
      <c r="AK149" s="35">
        <v>465659.426481737</v>
      </c>
      <c r="AL149" s="5">
        <v>0</v>
      </c>
      <c r="AM149" s="5">
        <f t="shared" si="79"/>
        <v>470026.36070226779</v>
      </c>
      <c r="AN149" s="5">
        <f t="shared" si="80"/>
        <v>-4366.9342205307912</v>
      </c>
      <c r="AO149" s="92">
        <f t="shared" si="81"/>
        <v>-9.2908283144080301E-3</v>
      </c>
      <c r="AP149" s="92">
        <f t="shared" si="82"/>
        <v>-5.126588192740645E-2</v>
      </c>
    </row>
    <row r="150" spans="17:42" x14ac:dyDescent="0.25">
      <c r="Q150" s="39">
        <v>2003</v>
      </c>
      <c r="R150" s="26">
        <v>164</v>
      </c>
      <c r="S150" s="26">
        <v>147</v>
      </c>
      <c r="T150" s="26">
        <v>177729.41577144797</v>
      </c>
      <c r="U150" s="35">
        <v>199690.08822563372</v>
      </c>
      <c r="V150" s="5">
        <v>16678.614701999999</v>
      </c>
      <c r="W150" s="5">
        <f t="shared" si="75"/>
        <v>194408.03047344796</v>
      </c>
      <c r="X150" s="5">
        <f t="shared" si="76"/>
        <v>5282.0577521857631</v>
      </c>
      <c r="Y150" s="92">
        <f t="shared" si="77"/>
        <v>2.716995660787367E-2</v>
      </c>
      <c r="Z150" s="92">
        <f t="shared" si="78"/>
        <v>5.2957318407140144E-2</v>
      </c>
      <c r="AA150" s="17"/>
      <c r="AG150" s="39">
        <v>2003</v>
      </c>
      <c r="AH150" s="26">
        <v>61</v>
      </c>
      <c r="AI150" s="26">
        <v>112</v>
      </c>
      <c r="AJ150" s="26">
        <v>374735.77211625874</v>
      </c>
      <c r="AK150" s="35">
        <v>365589.5271471499</v>
      </c>
      <c r="AL150" s="5">
        <v>0</v>
      </c>
      <c r="AM150" s="5">
        <f t="shared" si="79"/>
        <v>374735.77211625874</v>
      </c>
      <c r="AN150" s="5">
        <f t="shared" si="80"/>
        <v>-9146.2449691088405</v>
      </c>
      <c r="AO150" s="92">
        <f t="shared" si="81"/>
        <v>-2.4407184073879373E-2</v>
      </c>
      <c r="AP150" s="92">
        <f t="shared" si="82"/>
        <v>-0.1073728824356957</v>
      </c>
    </row>
    <row r="151" spans="17:42" x14ac:dyDescent="0.25">
      <c r="Q151" s="39">
        <v>2004</v>
      </c>
      <c r="R151" s="26">
        <v>116</v>
      </c>
      <c r="S151" s="26">
        <v>145</v>
      </c>
      <c r="T151" s="26">
        <v>53789.286182895179</v>
      </c>
      <c r="U151" s="35">
        <v>93340.549976609967</v>
      </c>
      <c r="V151" s="5">
        <v>41236.822539999986</v>
      </c>
      <c r="W151" s="5">
        <f t="shared" si="75"/>
        <v>95026.108722895166</v>
      </c>
      <c r="X151" s="5">
        <f t="shared" si="76"/>
        <v>-1685.5587462851981</v>
      </c>
      <c r="Y151" s="92">
        <f t="shared" si="77"/>
        <v>-1.7737848775860557E-2</v>
      </c>
      <c r="Z151" s="92">
        <f t="shared" si="78"/>
        <v>-1.6899222880330585E-2</v>
      </c>
      <c r="AA151" s="17"/>
      <c r="AG151" s="39">
        <v>2004</v>
      </c>
      <c r="AH151" s="26">
        <v>87</v>
      </c>
      <c r="AI151" s="26">
        <v>19</v>
      </c>
      <c r="AJ151" s="26">
        <v>56224.888885220011</v>
      </c>
      <c r="AK151" s="35">
        <v>75546.917158725118</v>
      </c>
      <c r="AL151" s="5">
        <v>0</v>
      </c>
      <c r="AM151" s="5">
        <f t="shared" si="79"/>
        <v>56224.888885220011</v>
      </c>
      <c r="AN151" s="5">
        <f t="shared" si="80"/>
        <v>19322.028273505108</v>
      </c>
      <c r="AO151" s="92">
        <f t="shared" si="81"/>
        <v>0.34365613977379228</v>
      </c>
      <c r="AP151" s="92">
        <f t="shared" si="82"/>
        <v>0.22683209090040324</v>
      </c>
    </row>
    <row r="152" spans="17:42" x14ac:dyDescent="0.25">
      <c r="Q152" s="39">
        <v>2005</v>
      </c>
      <c r="R152" s="26">
        <v>103</v>
      </c>
      <c r="S152" s="26">
        <v>147</v>
      </c>
      <c r="T152" s="26">
        <v>71882.676753663589</v>
      </c>
      <c r="U152" s="35">
        <v>92789.93814702805</v>
      </c>
      <c r="V152" s="5">
        <v>19180.505012000001</v>
      </c>
      <c r="W152" s="5">
        <f t="shared" si="75"/>
        <v>91063.181765663583</v>
      </c>
      <c r="X152" s="5">
        <f t="shared" si="76"/>
        <v>1726.7563813644665</v>
      </c>
      <c r="Y152" s="92">
        <f t="shared" si="77"/>
        <v>1.8962179312029703E-2</v>
      </c>
      <c r="Z152" s="92">
        <f t="shared" si="78"/>
        <v>1.7312265747499382E-2</v>
      </c>
      <c r="AA152" s="17"/>
      <c r="AG152" s="39">
        <v>2005</v>
      </c>
      <c r="AH152" s="26">
        <v>57</v>
      </c>
      <c r="AI152" s="26">
        <v>1</v>
      </c>
      <c r="AJ152" s="26">
        <v>110106.81856180602</v>
      </c>
      <c r="AK152" s="35">
        <v>97375.21827054098</v>
      </c>
      <c r="AL152" s="5">
        <v>0</v>
      </c>
      <c r="AM152" s="5">
        <f t="shared" si="79"/>
        <v>110106.81856180602</v>
      </c>
      <c r="AN152" s="5">
        <f t="shared" si="80"/>
        <v>-12731.600291265044</v>
      </c>
      <c r="AO152" s="92">
        <f t="shared" si="81"/>
        <v>-0.11562953555068382</v>
      </c>
      <c r="AP152" s="92">
        <f t="shared" si="82"/>
        <v>-0.14946337277312904</v>
      </c>
    </row>
    <row r="153" spans="17:42" x14ac:dyDescent="0.25">
      <c r="Q153" s="39">
        <v>2006</v>
      </c>
      <c r="R153" s="26">
        <v>116</v>
      </c>
      <c r="S153" s="26">
        <v>240</v>
      </c>
      <c r="T153" s="26">
        <v>58875.147425146992</v>
      </c>
      <c r="U153" s="35">
        <v>83193.835156200978</v>
      </c>
      <c r="V153" s="5">
        <v>26273.65119</v>
      </c>
      <c r="W153" s="5">
        <f t="shared" si="75"/>
        <v>85148.798615146996</v>
      </c>
      <c r="X153" s="5">
        <f t="shared" si="76"/>
        <v>-1954.9634589460184</v>
      </c>
      <c r="Y153" s="92">
        <f t="shared" si="77"/>
        <v>-2.2959378062185044E-2</v>
      </c>
      <c r="Z153" s="92">
        <f t="shared" si="78"/>
        <v>-1.9600244303820201E-2</v>
      </c>
      <c r="AA153" s="17"/>
      <c r="AG153" s="39">
        <v>2006</v>
      </c>
      <c r="AH153" s="26">
        <v>9</v>
      </c>
      <c r="AI153" s="26">
        <v>13</v>
      </c>
      <c r="AJ153" s="26">
        <v>19473.262375710168</v>
      </c>
      <c r="AK153" s="35">
        <v>11383.937336144001</v>
      </c>
      <c r="AL153" s="5">
        <v>0</v>
      </c>
      <c r="AM153" s="5">
        <f t="shared" si="79"/>
        <v>19473.262375710168</v>
      </c>
      <c r="AN153" s="5">
        <f t="shared" si="80"/>
        <v>-8089.3250395661671</v>
      </c>
      <c r="AO153" s="92">
        <f t="shared" si="81"/>
        <v>-0.41540677075538857</v>
      </c>
      <c r="AP153" s="92">
        <f t="shared" si="82"/>
        <v>-9.4965108565433123E-2</v>
      </c>
    </row>
    <row r="154" spans="17:42" x14ac:dyDescent="0.25">
      <c r="Q154" s="39">
        <v>2007</v>
      </c>
      <c r="R154" s="26">
        <v>61</v>
      </c>
      <c r="S154" s="26">
        <v>192</v>
      </c>
      <c r="T154" s="26">
        <v>129044.54256662267</v>
      </c>
      <c r="U154" s="35">
        <v>147548.90568443519</v>
      </c>
      <c r="V154" s="5">
        <v>18364.174701</v>
      </c>
      <c r="W154" s="5">
        <f t="shared" si="75"/>
        <v>147408.71726762268</v>
      </c>
      <c r="X154" s="5">
        <f t="shared" si="76"/>
        <v>140.1884168125107</v>
      </c>
      <c r="Y154" s="92">
        <f t="shared" si="77"/>
        <v>9.5101849748815449E-4</v>
      </c>
      <c r="Z154" s="92">
        <f t="shared" si="78"/>
        <v>1.4055133386341504E-3</v>
      </c>
      <c r="AA154" s="17"/>
      <c r="AG154" s="39">
        <v>2007</v>
      </c>
      <c r="AH154" s="26">
        <v>39</v>
      </c>
      <c r="AI154" s="26">
        <v>12</v>
      </c>
      <c r="AJ154" s="26">
        <v>58420.032452161548</v>
      </c>
      <c r="AK154" s="35">
        <v>56323.687448247001</v>
      </c>
      <c r="AL154" s="5">
        <v>0</v>
      </c>
      <c r="AM154" s="5">
        <f t="shared" si="79"/>
        <v>58420.032452161548</v>
      </c>
      <c r="AN154" s="5">
        <f t="shared" si="80"/>
        <v>-2096.3450039145464</v>
      </c>
      <c r="AO154" s="92">
        <f t="shared" si="81"/>
        <v>-3.5884009575502751E-2</v>
      </c>
      <c r="AP154" s="92">
        <f t="shared" si="82"/>
        <v>-2.4610165856065652E-2</v>
      </c>
    </row>
    <row r="155" spans="17:42" x14ac:dyDescent="0.25">
      <c r="Q155" s="39">
        <v>2008</v>
      </c>
      <c r="R155" s="26">
        <v>71</v>
      </c>
      <c r="S155" s="26">
        <v>182</v>
      </c>
      <c r="T155" s="26">
        <v>160568.05231382334</v>
      </c>
      <c r="U155" s="35">
        <v>173457.62124570302</v>
      </c>
      <c r="V155" s="5">
        <v>15878.818891000008</v>
      </c>
      <c r="W155" s="5">
        <f t="shared" si="75"/>
        <v>176446.87120482334</v>
      </c>
      <c r="X155" s="5">
        <f t="shared" si="76"/>
        <v>-2989.2499591203232</v>
      </c>
      <c r="Y155" s="92">
        <f t="shared" si="77"/>
        <v>-1.694135996126753E-2</v>
      </c>
      <c r="Z155" s="92">
        <f t="shared" si="78"/>
        <v>-2.996988471361536E-2</v>
      </c>
      <c r="AA155" s="17"/>
      <c r="AG155" s="39">
        <v>2008</v>
      </c>
      <c r="AH155" s="26">
        <v>30</v>
      </c>
      <c r="AI155" s="26">
        <v>8</v>
      </c>
      <c r="AJ155" s="26">
        <v>55322.002756455942</v>
      </c>
      <c r="AK155" s="35">
        <v>53675.322073234704</v>
      </c>
      <c r="AL155" s="5">
        <v>105.60915839999998</v>
      </c>
      <c r="AM155" s="5">
        <f t="shared" si="79"/>
        <v>55427.611914855945</v>
      </c>
      <c r="AN155" s="5">
        <f t="shared" si="80"/>
        <v>-1752.2898416212411</v>
      </c>
      <c r="AO155" s="92">
        <f t="shared" si="81"/>
        <v>-3.1614023788594521E-2</v>
      </c>
      <c r="AP155" s="92">
        <f t="shared" si="82"/>
        <v>-2.0571109979355112E-2</v>
      </c>
    </row>
    <row r="156" spans="17:42" x14ac:dyDescent="0.25">
      <c r="Q156" s="108">
        <v>2009</v>
      </c>
      <c r="R156" s="109">
        <v>63</v>
      </c>
      <c r="S156" s="109">
        <v>200</v>
      </c>
      <c r="T156" s="109">
        <v>71641.138105375212</v>
      </c>
      <c r="U156" s="35">
        <v>83739.602868829999</v>
      </c>
      <c r="V156" s="7">
        <v>19511.069349799996</v>
      </c>
      <c r="W156" s="7">
        <f t="shared" si="75"/>
        <v>91152.207455175201</v>
      </c>
      <c r="X156" s="7">
        <f t="shared" si="76"/>
        <v>-7412.6045863452018</v>
      </c>
      <c r="Y156" s="102">
        <f t="shared" si="77"/>
        <v>-8.1321174695526785E-2</v>
      </c>
      <c r="Z156" s="92">
        <f t="shared" si="78"/>
        <v>-7.4317941931412765E-2</v>
      </c>
      <c r="AA156" s="17"/>
      <c r="AG156" s="108">
        <v>2009</v>
      </c>
      <c r="AH156" s="109">
        <v>28</v>
      </c>
      <c r="AI156" s="109">
        <v>6</v>
      </c>
      <c r="AJ156" s="109">
        <v>23464.759812814631</v>
      </c>
      <c r="AK156" s="35">
        <v>21918.5009797694</v>
      </c>
      <c r="AL156" s="7">
        <v>43.765719199999999</v>
      </c>
      <c r="AM156" s="7">
        <f t="shared" si="79"/>
        <v>23508.525532014632</v>
      </c>
      <c r="AN156" s="7">
        <f t="shared" si="80"/>
        <v>-1590.0245522452315</v>
      </c>
      <c r="AO156" s="102">
        <f t="shared" si="81"/>
        <v>-6.7636081645354035E-2</v>
      </c>
      <c r="AP156" s="92">
        <f t="shared" si="82"/>
        <v>-1.8666187041208399E-2</v>
      </c>
    </row>
    <row r="157" spans="17:42" x14ac:dyDescent="0.25">
      <c r="Q157" s="39">
        <v>2010</v>
      </c>
      <c r="R157" s="26">
        <v>61</v>
      </c>
      <c r="S157" s="26">
        <v>42</v>
      </c>
      <c r="T157" s="26">
        <v>35058.84420910581</v>
      </c>
      <c r="U157" s="35">
        <v>52335.569873921639</v>
      </c>
      <c r="V157" s="5">
        <v>17932.084123999997</v>
      </c>
      <c r="W157" s="5">
        <f t="shared" si="75"/>
        <v>52990.92833310581</v>
      </c>
      <c r="X157" s="5">
        <f t="shared" si="76"/>
        <v>-655.35845918417181</v>
      </c>
      <c r="Y157" s="92">
        <f t="shared" si="77"/>
        <v>-1.2367370789666652E-2</v>
      </c>
      <c r="Z157" s="92">
        <f t="shared" si="78"/>
        <v>-6.570550384358686E-3</v>
      </c>
      <c r="AA157" s="17"/>
      <c r="AG157" s="39">
        <v>2010</v>
      </c>
      <c r="AH157" s="26">
        <v>6</v>
      </c>
      <c r="AI157" s="26">
        <v>14</v>
      </c>
      <c r="AJ157" s="26">
        <v>33649.175102982437</v>
      </c>
      <c r="AK157" s="35">
        <v>17359.948133960002</v>
      </c>
      <c r="AL157" s="5">
        <v>94.685365400000009</v>
      </c>
      <c r="AM157" s="5">
        <f t="shared" si="79"/>
        <v>33743.860468382438</v>
      </c>
      <c r="AN157" s="5">
        <f t="shared" si="80"/>
        <v>-16383.912334422435</v>
      </c>
      <c r="AO157" s="92">
        <f t="shared" si="81"/>
        <v>-0.48553757948868803</v>
      </c>
      <c r="AP157" s="92">
        <f t="shared" si="82"/>
        <v>-0.19233990548714663</v>
      </c>
    </row>
    <row r="158" spans="17:42" x14ac:dyDescent="0.25">
      <c r="Q158" s="39">
        <v>2011</v>
      </c>
      <c r="R158" s="26">
        <v>85</v>
      </c>
      <c r="S158" s="26">
        <v>30</v>
      </c>
      <c r="T158" s="26">
        <v>48538.855636351829</v>
      </c>
      <c r="U158" s="35">
        <v>75934.645976964792</v>
      </c>
      <c r="V158" s="5">
        <v>20463.502846399995</v>
      </c>
      <c r="W158" s="5">
        <f t="shared" si="75"/>
        <v>69002.358482751821</v>
      </c>
      <c r="X158" s="5">
        <f t="shared" si="76"/>
        <v>6932.2874942129711</v>
      </c>
      <c r="Y158" s="92">
        <f t="shared" si="77"/>
        <v>0.10046450073073662</v>
      </c>
      <c r="Z158" s="92">
        <f t="shared" si="78"/>
        <v>6.9502336654489696E-2</v>
      </c>
      <c r="AA158" s="17"/>
      <c r="AG158" s="39">
        <v>2011</v>
      </c>
      <c r="AH158" s="26">
        <v>6</v>
      </c>
      <c r="AI158" s="26">
        <v>0</v>
      </c>
      <c r="AJ158" s="26">
        <v>4168.2994985239275</v>
      </c>
      <c r="AK158" s="35">
        <v>3031.8493299049996</v>
      </c>
      <c r="AL158" s="5">
        <v>22.211345000000001</v>
      </c>
      <c r="AM158" s="5">
        <f t="shared" si="79"/>
        <v>4190.5108435239272</v>
      </c>
      <c r="AN158" s="5">
        <f t="shared" si="80"/>
        <v>-1158.6615136189275</v>
      </c>
      <c r="AO158" s="92">
        <f t="shared" si="81"/>
        <v>-0.27649648381402925</v>
      </c>
      <c r="AP158" s="92">
        <f t="shared" si="82"/>
        <v>-1.3602175199194566E-2</v>
      </c>
    </row>
    <row r="159" spans="17:42" x14ac:dyDescent="0.25">
      <c r="Q159" s="39">
        <v>2012</v>
      </c>
      <c r="R159" s="26">
        <v>93</v>
      </c>
      <c r="S159" s="26">
        <v>21</v>
      </c>
      <c r="T159" s="26">
        <v>31442.430321967433</v>
      </c>
      <c r="U159" s="35">
        <v>48847.886889038891</v>
      </c>
      <c r="V159" s="5">
        <v>18753.45415060001</v>
      </c>
      <c r="W159" s="5">
        <f t="shared" si="75"/>
        <v>50195.884472567443</v>
      </c>
      <c r="X159" s="5">
        <f t="shared" si="76"/>
        <v>-1347.9975835285513</v>
      </c>
      <c r="Y159" s="92">
        <f t="shared" si="77"/>
        <v>-2.6854743126704852E-2</v>
      </c>
      <c r="Z159" s="92">
        <f t="shared" si="78"/>
        <v>-1.3514872534938997E-2</v>
      </c>
      <c r="AA159" s="17"/>
      <c r="AG159" s="39">
        <v>2012</v>
      </c>
      <c r="AH159" s="26">
        <v>42</v>
      </c>
      <c r="AI159" s="26">
        <v>1</v>
      </c>
      <c r="AJ159" s="26">
        <v>16489.697195432545</v>
      </c>
      <c r="AK159" s="35">
        <v>16927.023021056004</v>
      </c>
      <c r="AL159" s="5">
        <v>210.24608820000003</v>
      </c>
      <c r="AM159" s="5">
        <f t="shared" si="79"/>
        <v>16699.943283632547</v>
      </c>
      <c r="AN159" s="5">
        <f t="shared" si="80"/>
        <v>227.07973742345712</v>
      </c>
      <c r="AO159" s="92">
        <f t="shared" si="81"/>
        <v>1.3597635247421216E-2</v>
      </c>
      <c r="AP159" s="92">
        <f t="shared" si="82"/>
        <v>2.6658159749982269E-3</v>
      </c>
    </row>
    <row r="160" spans="17:42" x14ac:dyDescent="0.25">
      <c r="Q160" s="39">
        <v>2013</v>
      </c>
      <c r="R160" s="26">
        <v>40</v>
      </c>
      <c r="S160" s="26">
        <v>18</v>
      </c>
      <c r="T160" s="26">
        <v>16606.474183045499</v>
      </c>
      <c r="U160" s="35">
        <v>38751.294673705714</v>
      </c>
      <c r="V160" s="5">
        <v>20953.830136999994</v>
      </c>
      <c r="W160" s="5">
        <f t="shared" si="75"/>
        <v>37560.304320045492</v>
      </c>
      <c r="X160" s="5">
        <f t="shared" si="76"/>
        <v>1190.9903536602214</v>
      </c>
      <c r="Y160" s="92">
        <f t="shared" si="77"/>
        <v>3.1708751439071911E-2</v>
      </c>
      <c r="Z160" s="92">
        <f t="shared" si="78"/>
        <v>1.1940735663580577E-2</v>
      </c>
      <c r="AA160" s="17"/>
      <c r="AG160" s="39">
        <v>2013</v>
      </c>
      <c r="AH160" s="26">
        <v>33</v>
      </c>
      <c r="AI160" s="26">
        <v>0</v>
      </c>
      <c r="AJ160" s="26">
        <v>102146.36786020909</v>
      </c>
      <c r="AK160" s="35">
        <v>119825.03618618095</v>
      </c>
      <c r="AL160" s="5">
        <v>785.38213619999999</v>
      </c>
      <c r="AM160" s="5">
        <f t="shared" si="79"/>
        <v>102931.7499964091</v>
      </c>
      <c r="AN160" s="5">
        <f t="shared" si="80"/>
        <v>16893.286189771854</v>
      </c>
      <c r="AO160" s="92">
        <f t="shared" si="81"/>
        <v>0.16412123752254476</v>
      </c>
      <c r="AP160" s="92">
        <f t="shared" si="82"/>
        <v>0.19831972991465477</v>
      </c>
    </row>
    <row r="161" spans="17:42" x14ac:dyDescent="0.25">
      <c r="Q161" s="39">
        <v>2014</v>
      </c>
      <c r="R161" s="26">
        <v>132</v>
      </c>
      <c r="S161" s="26">
        <v>98</v>
      </c>
      <c r="T161" s="26">
        <v>58660.461508307984</v>
      </c>
      <c r="U161" s="35">
        <v>82917.773642923406</v>
      </c>
      <c r="V161" s="5">
        <v>21618.975593800002</v>
      </c>
      <c r="W161" s="5">
        <f t="shared" si="75"/>
        <v>80279.437102107986</v>
      </c>
      <c r="X161" s="5">
        <f t="shared" si="76"/>
        <v>2638.3365408154204</v>
      </c>
      <c r="Y161" s="92">
        <f t="shared" si="77"/>
        <v>3.2864412557598047E-2</v>
      </c>
      <c r="Z161" s="92">
        <f t="shared" si="78"/>
        <v>2.6451666152142665E-2</v>
      </c>
      <c r="AA161" s="17"/>
      <c r="AG161" s="39">
        <v>2014</v>
      </c>
      <c r="AH161" s="26">
        <v>42</v>
      </c>
      <c r="AI161" s="26">
        <v>21</v>
      </c>
      <c r="AJ161" s="26">
        <v>86806.853431462077</v>
      </c>
      <c r="AK161" s="35">
        <v>85264.405475240987</v>
      </c>
      <c r="AL161" s="5">
        <v>681.65570619999994</v>
      </c>
      <c r="AM161" s="5">
        <f t="shared" si="79"/>
        <v>87488.509137662084</v>
      </c>
      <c r="AN161" s="5">
        <f t="shared" si="80"/>
        <v>-2224.1036624210974</v>
      </c>
      <c r="AO161" s="92">
        <f t="shared" si="81"/>
        <v>-2.5421666048983618E-2</v>
      </c>
      <c r="AP161" s="92">
        <f t="shared" si="82"/>
        <v>-2.6109996165257849E-2</v>
      </c>
    </row>
    <row r="162" spans="17:42" x14ac:dyDescent="0.25">
      <c r="Q162" s="39">
        <v>2015</v>
      </c>
      <c r="R162" s="26">
        <v>24</v>
      </c>
      <c r="S162" s="26">
        <v>142</v>
      </c>
      <c r="T162" s="26">
        <v>60297.596045444327</v>
      </c>
      <c r="U162" s="35">
        <v>80839.191287629961</v>
      </c>
      <c r="V162" s="5">
        <v>18169.631978599988</v>
      </c>
      <c r="W162" s="5">
        <f t="shared" si="75"/>
        <v>78467.228024044307</v>
      </c>
      <c r="X162" s="5">
        <f t="shared" si="76"/>
        <v>2371.9632635856542</v>
      </c>
      <c r="Y162" s="92">
        <f t="shared" si="77"/>
        <v>3.022871233400555E-2</v>
      </c>
      <c r="Z162" s="92">
        <f t="shared" si="78"/>
        <v>2.3781037560175303E-2</v>
      </c>
      <c r="AA162" s="17"/>
      <c r="AG162" s="39">
        <v>2015</v>
      </c>
      <c r="AH162" s="26">
        <v>61</v>
      </c>
      <c r="AI162" s="26">
        <v>0</v>
      </c>
      <c r="AJ162" s="26">
        <v>96444.929563172016</v>
      </c>
      <c r="AK162" s="35">
        <v>124374.27126517001</v>
      </c>
      <c r="AL162" s="5">
        <v>909.53418520000002</v>
      </c>
      <c r="AM162" s="5">
        <f t="shared" si="79"/>
        <v>97354.463748372014</v>
      </c>
      <c r="AN162" s="5">
        <f t="shared" si="80"/>
        <v>27019.807516797999</v>
      </c>
      <c r="AO162" s="92">
        <f t="shared" si="81"/>
        <v>0.27754050997224899</v>
      </c>
      <c r="AP162" s="92">
        <f t="shared" si="82"/>
        <v>0.31720062448961006</v>
      </c>
    </row>
    <row r="163" spans="17:42" x14ac:dyDescent="0.25">
      <c r="Q163" s="39">
        <v>2016</v>
      </c>
      <c r="R163" s="26">
        <v>81</v>
      </c>
      <c r="S163" s="26">
        <v>86</v>
      </c>
      <c r="T163" s="26">
        <v>39632.143396904961</v>
      </c>
      <c r="U163" s="35">
        <v>55417.210965804006</v>
      </c>
      <c r="V163" s="5">
        <v>17535.417059800002</v>
      </c>
      <c r="W163" s="5">
        <f t="shared" si="75"/>
        <v>57167.56045670496</v>
      </c>
      <c r="X163" s="5">
        <f t="shared" si="76"/>
        <v>-1750.3494909009532</v>
      </c>
      <c r="Y163" s="92">
        <f t="shared" si="77"/>
        <v>-3.0617879736648122E-2</v>
      </c>
      <c r="Z163" s="92">
        <f t="shared" si="78"/>
        <v>-1.7548807616702012E-2</v>
      </c>
      <c r="AA163" s="17"/>
      <c r="AG163" s="39">
        <v>2016</v>
      </c>
      <c r="AH163" s="26">
        <v>24</v>
      </c>
      <c r="AI163" s="26">
        <v>0</v>
      </c>
      <c r="AJ163" s="26">
        <v>26946.262403168279</v>
      </c>
      <c r="AK163" s="35">
        <v>28076.817435976009</v>
      </c>
      <c r="AL163" s="5">
        <v>1626.5075834000004</v>
      </c>
      <c r="AM163" s="5">
        <f t="shared" si="79"/>
        <v>28572.769986568281</v>
      </c>
      <c r="AN163" s="5">
        <f t="shared" si="80"/>
        <v>-495.95255059227202</v>
      </c>
      <c r="AO163" s="92">
        <f t="shared" si="81"/>
        <v>-1.7357524343121562E-2</v>
      </c>
      <c r="AP163" s="92">
        <f t="shared" si="82"/>
        <v>-5.8222642284657738E-3</v>
      </c>
    </row>
    <row r="164" spans="17:42" x14ac:dyDescent="0.25">
      <c r="Q164" s="108">
        <v>2017</v>
      </c>
      <c r="R164" s="109">
        <v>65</v>
      </c>
      <c r="S164" s="109">
        <v>59</v>
      </c>
      <c r="T164" s="109">
        <v>33742.362992148104</v>
      </c>
      <c r="U164" s="35">
        <v>57505.307462857723</v>
      </c>
      <c r="V164" s="7">
        <v>17835.478552000008</v>
      </c>
      <c r="W164" s="7">
        <f t="shared" si="75"/>
        <v>51577.841544148112</v>
      </c>
      <c r="X164" s="7">
        <f t="shared" si="76"/>
        <v>5927.4659187096113</v>
      </c>
      <c r="Y164" s="102">
        <f t="shared" si="77"/>
        <v>0.11492272148759831</v>
      </c>
      <c r="Z164" s="92">
        <f t="shared" si="78"/>
        <v>5.9428108273651609E-2</v>
      </c>
      <c r="AA164" s="17"/>
      <c r="AG164" s="108">
        <v>2017</v>
      </c>
      <c r="AH164" s="109">
        <v>17</v>
      </c>
      <c r="AI164" s="109">
        <v>0</v>
      </c>
      <c r="AJ164" s="109">
        <v>21073.432036300532</v>
      </c>
      <c r="AK164" s="35">
        <v>18916.614492524004</v>
      </c>
      <c r="AL164" s="7">
        <v>384.57924240000011</v>
      </c>
      <c r="AM164" s="7">
        <f t="shared" si="79"/>
        <v>21458.011278700531</v>
      </c>
      <c r="AN164" s="7">
        <f t="shared" si="80"/>
        <v>-2541.3967861765268</v>
      </c>
      <c r="AO164" s="102">
        <f t="shared" si="81"/>
        <v>-0.11843580251535922</v>
      </c>
      <c r="AP164" s="92">
        <f t="shared" si="82"/>
        <v>-2.9834877511614993E-2</v>
      </c>
    </row>
    <row r="165" spans="17:42" x14ac:dyDescent="0.25">
      <c r="Q165" s="108" t="s">
        <v>104</v>
      </c>
      <c r="R165" s="109"/>
      <c r="S165" s="109"/>
      <c r="T165" s="109"/>
      <c r="U165" s="7"/>
      <c r="V165" s="7"/>
      <c r="W165" s="7">
        <f>AVERAGE(W133:W164)</f>
        <v>99741.790390081238</v>
      </c>
      <c r="X165" s="7"/>
      <c r="Y165" s="102"/>
      <c r="Z165" s="17"/>
      <c r="AA165" s="17"/>
      <c r="AG165" s="108" t="s">
        <v>104</v>
      </c>
      <c r="AH165" s="109"/>
      <c r="AI165" s="109"/>
      <c r="AJ165" s="109"/>
      <c r="AK165" s="7"/>
      <c r="AL165" s="7"/>
      <c r="AM165" s="7">
        <f>AVERAGE(AM133:AM164)</f>
        <v>85182.075414492239</v>
      </c>
      <c r="AN165" s="7"/>
      <c r="AO165" s="102"/>
      <c r="AP165" s="17"/>
    </row>
  </sheetData>
  <mergeCells count="8">
    <mergeCell ref="Q131:Z131"/>
    <mergeCell ref="AG131:AP131"/>
    <mergeCell ref="J120:N120"/>
    <mergeCell ref="A49:E49"/>
    <mergeCell ref="I49:M49"/>
    <mergeCell ref="Q95:Z95"/>
    <mergeCell ref="AG95:AP95"/>
    <mergeCell ref="B120:F1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P172"/>
  <sheetViews>
    <sheetView topLeftCell="AX1" workbookViewId="0">
      <selection activeCell="L42" sqref="L42:Q47"/>
    </sheetView>
  </sheetViews>
  <sheetFormatPr defaultRowHeight="15" x14ac:dyDescent="0.25"/>
  <cols>
    <col min="1" max="1" width="13" customWidth="1"/>
    <col min="2" max="3" width="12" bestFit="1" customWidth="1"/>
    <col min="4" max="4" width="20.85546875" bestFit="1" customWidth="1"/>
    <col min="5" max="5" width="17.42578125" bestFit="1" customWidth="1"/>
    <col min="6" max="7" width="11.42578125" bestFit="1" customWidth="1"/>
    <col min="8" max="8" width="12" bestFit="1" customWidth="1"/>
    <col min="9" max="9" width="13.28515625" bestFit="1" customWidth="1"/>
    <col min="11" max="11" width="13.140625" style="17" customWidth="1"/>
    <col min="12" max="12" width="13.140625" bestFit="1" customWidth="1"/>
    <col min="13" max="13" width="12.42578125" style="17" bestFit="1" customWidth="1"/>
    <col min="14" max="14" width="21.140625" bestFit="1" customWidth="1"/>
    <col min="15" max="15" width="17.7109375" bestFit="1" customWidth="1"/>
    <col min="16" max="17" width="12.42578125" bestFit="1" customWidth="1"/>
    <col min="19" max="19" width="12.7109375" bestFit="1" customWidth="1"/>
    <col min="20" max="20" width="9.42578125" bestFit="1" customWidth="1"/>
    <col min="21" max="21" width="19.7109375" bestFit="1" customWidth="1"/>
    <col min="22" max="22" width="16.140625" bestFit="1" customWidth="1"/>
    <col min="24" max="24" width="9.42578125" bestFit="1" customWidth="1"/>
    <col min="25" max="25" width="21.140625" bestFit="1" customWidth="1"/>
    <col min="26" max="26" width="17.7109375" bestFit="1" customWidth="1"/>
    <col min="33" max="33" width="9.7109375" bestFit="1" customWidth="1"/>
    <col min="34" max="34" width="21.140625" bestFit="1" customWidth="1"/>
    <col min="35" max="35" width="17.7109375" bestFit="1" customWidth="1"/>
    <col min="40" max="41" width="9.140625" style="17"/>
    <col min="42" max="42" width="9.7109375" style="17" bestFit="1" customWidth="1"/>
    <col min="43" max="43" width="21.140625" style="17" bestFit="1" customWidth="1"/>
    <col min="44" max="44" width="17.7109375" style="17" bestFit="1" customWidth="1"/>
    <col min="45" max="46" width="9.140625" style="17"/>
    <col min="51" max="51" width="9.42578125" bestFit="1" customWidth="1"/>
    <col min="52" max="52" width="19.7109375" bestFit="1" customWidth="1"/>
    <col min="53" max="53" width="16.140625" bestFit="1" customWidth="1"/>
  </cols>
  <sheetData>
    <row r="1" spans="1:94" x14ac:dyDescent="0.25">
      <c r="A1" t="s">
        <v>37</v>
      </c>
      <c r="K1"/>
      <c r="M1"/>
      <c r="V1" t="s">
        <v>46</v>
      </c>
      <c r="AE1" s="17" t="s">
        <v>326</v>
      </c>
      <c r="AF1" s="17"/>
      <c r="AG1" s="17"/>
      <c r="AH1" s="17"/>
      <c r="AI1" s="17"/>
      <c r="AJ1" s="17"/>
      <c r="AK1" s="17"/>
      <c r="AN1" s="17" t="s">
        <v>327</v>
      </c>
      <c r="AU1" s="17"/>
    </row>
    <row r="2" spans="1:94" s="17" customFormat="1" x14ac:dyDescent="0.25">
      <c r="B2" s="57" t="s">
        <v>12</v>
      </c>
      <c r="C2" s="57" t="s">
        <v>13</v>
      </c>
      <c r="D2" s="57" t="s">
        <v>27</v>
      </c>
      <c r="E2" s="57" t="s">
        <v>31</v>
      </c>
      <c r="F2" s="57" t="s">
        <v>24</v>
      </c>
      <c r="G2" s="57" t="s">
        <v>21</v>
      </c>
      <c r="L2" s="57" t="s">
        <v>12</v>
      </c>
      <c r="M2" s="57" t="s">
        <v>13</v>
      </c>
      <c r="N2" s="57" t="s">
        <v>27</v>
      </c>
      <c r="O2" s="57" t="s">
        <v>31</v>
      </c>
      <c r="P2" s="57" t="s">
        <v>24</v>
      </c>
      <c r="Q2" s="57" t="s">
        <v>21</v>
      </c>
      <c r="W2" s="36" t="s">
        <v>12</v>
      </c>
      <c r="X2" s="36" t="s">
        <v>13</v>
      </c>
      <c r="Y2" s="36" t="s">
        <v>27</v>
      </c>
      <c r="Z2" s="36" t="s">
        <v>31</v>
      </c>
      <c r="AA2" s="36" t="s">
        <v>24</v>
      </c>
      <c r="AB2" s="36" t="s">
        <v>21</v>
      </c>
      <c r="AC2"/>
      <c r="AD2"/>
      <c r="AF2" s="36" t="s">
        <v>12</v>
      </c>
      <c r="AG2" s="36" t="s">
        <v>13</v>
      </c>
      <c r="AH2" s="36" t="s">
        <v>27</v>
      </c>
      <c r="AI2" s="36" t="s">
        <v>31</v>
      </c>
      <c r="AJ2" s="36" t="s">
        <v>24</v>
      </c>
      <c r="AK2" s="36" t="s">
        <v>21</v>
      </c>
      <c r="AL2"/>
      <c r="AM2"/>
      <c r="AO2" s="36" t="s">
        <v>12</v>
      </c>
      <c r="AP2" s="36" t="s">
        <v>13</v>
      </c>
      <c r="AQ2" s="36" t="s">
        <v>27</v>
      </c>
      <c r="AR2" s="36" t="s">
        <v>31</v>
      </c>
      <c r="AS2" s="36" t="s">
        <v>24</v>
      </c>
      <c r="AT2" s="36" t="s">
        <v>21</v>
      </c>
      <c r="AV2"/>
      <c r="AW2"/>
      <c r="AX2"/>
      <c r="AY2"/>
      <c r="AZ2"/>
      <c r="BA2"/>
      <c r="BB2"/>
      <c r="BC2"/>
      <c r="BD2"/>
    </row>
    <row r="3" spans="1:94" x14ac:dyDescent="0.25">
      <c r="A3" s="12" t="s">
        <v>20</v>
      </c>
      <c r="B3" s="12" t="s">
        <v>316</v>
      </c>
      <c r="C3" s="12" t="s">
        <v>316</v>
      </c>
      <c r="D3" s="12" t="s">
        <v>316</v>
      </c>
      <c r="E3" s="12" t="s">
        <v>316</v>
      </c>
      <c r="F3" s="12" t="s">
        <v>316</v>
      </c>
      <c r="G3" s="12" t="s">
        <v>316</v>
      </c>
      <c r="H3" s="12" t="s">
        <v>5</v>
      </c>
      <c r="I3" s="333" t="s">
        <v>328</v>
      </c>
      <c r="K3" s="12" t="s">
        <v>20</v>
      </c>
      <c r="L3" s="12" t="s">
        <v>305</v>
      </c>
      <c r="M3" s="12" t="s">
        <v>305</v>
      </c>
      <c r="N3" s="12" t="s">
        <v>305</v>
      </c>
      <c r="O3" s="12" t="s">
        <v>305</v>
      </c>
      <c r="P3" s="12" t="s">
        <v>305</v>
      </c>
      <c r="Q3" s="12" t="s">
        <v>305</v>
      </c>
      <c r="R3" s="12" t="s">
        <v>5</v>
      </c>
      <c r="S3" s="333" t="s">
        <v>329</v>
      </c>
      <c r="V3" s="36" t="s">
        <v>20</v>
      </c>
      <c r="W3" s="48" t="s">
        <v>40</v>
      </c>
      <c r="X3" s="48" t="s">
        <v>40</v>
      </c>
      <c r="Y3" s="48" t="s">
        <v>40</v>
      </c>
      <c r="Z3" s="48" t="s">
        <v>40</v>
      </c>
      <c r="AA3" s="48" t="s">
        <v>40</v>
      </c>
      <c r="AB3" s="48" t="s">
        <v>40</v>
      </c>
      <c r="AE3" s="36" t="s">
        <v>20</v>
      </c>
      <c r="AF3" s="48" t="s">
        <v>322</v>
      </c>
      <c r="AG3" s="141" t="s">
        <v>322</v>
      </c>
      <c r="AH3" s="141" t="s">
        <v>322</v>
      </c>
      <c r="AI3" s="141" t="s">
        <v>322</v>
      </c>
      <c r="AJ3" s="141" t="s">
        <v>322</v>
      </c>
      <c r="AK3" s="141" t="s">
        <v>322</v>
      </c>
      <c r="AN3" s="36" t="s">
        <v>20</v>
      </c>
      <c r="AO3" s="48" t="s">
        <v>306</v>
      </c>
      <c r="AP3" s="141" t="s">
        <v>306</v>
      </c>
      <c r="AQ3" s="141" t="s">
        <v>306</v>
      </c>
      <c r="AR3" s="141" t="s">
        <v>306</v>
      </c>
      <c r="AS3" s="141" t="s">
        <v>306</v>
      </c>
      <c r="AT3" s="141" t="s">
        <v>306</v>
      </c>
      <c r="AU3" s="17"/>
    </row>
    <row r="4" spans="1:94" x14ac:dyDescent="0.25">
      <c r="A4" s="16">
        <v>1986</v>
      </c>
      <c r="B4" s="15">
        <f t="shared" ref="B4:B35" si="0">W4+AF4</f>
        <v>4547.1672150899994</v>
      </c>
      <c r="C4" s="15">
        <f t="shared" ref="C4:C35" si="1">X4+AG4</f>
        <v>4986.2366442000039</v>
      </c>
      <c r="D4" s="15">
        <f t="shared" ref="D4:D35" si="2">Y4+AH4</f>
        <v>213.66542279999999</v>
      </c>
      <c r="E4" s="15">
        <f t="shared" ref="E4:E35" si="3">Z4+AI4</f>
        <v>27322.966739</v>
      </c>
      <c r="F4" s="15">
        <f t="shared" ref="F4:F35" si="4">AA4+AJ4</f>
        <v>113.15991339999998</v>
      </c>
      <c r="G4" s="15">
        <f t="shared" ref="G4:G35" si="5">AB4+AK4</f>
        <v>676.11113720000003</v>
      </c>
      <c r="H4" s="15">
        <f>SUM(B4:G4)</f>
        <v>37859.307071690004</v>
      </c>
      <c r="I4" s="5"/>
      <c r="K4" s="16">
        <v>1986</v>
      </c>
      <c r="L4" s="15">
        <f>W4+AO4</f>
        <v>4547.1672150899994</v>
      </c>
      <c r="M4" s="15">
        <f t="shared" ref="M4:Q4" si="6">X4+AP4</f>
        <v>4986.2366442000039</v>
      </c>
      <c r="N4" s="15">
        <f t="shared" si="6"/>
        <v>213.66542279999999</v>
      </c>
      <c r="O4" s="15">
        <f t="shared" si="6"/>
        <v>27322.966739</v>
      </c>
      <c r="P4" s="15">
        <f t="shared" si="6"/>
        <v>113.15991339999998</v>
      </c>
      <c r="Q4" s="15">
        <f t="shared" si="6"/>
        <v>676.11113720000003</v>
      </c>
      <c r="R4" s="15">
        <f>SUM(L4:Q4)</f>
        <v>37859.307071690004</v>
      </c>
      <c r="S4" s="5"/>
      <c r="V4" s="30">
        <v>1986</v>
      </c>
      <c r="W4" s="5">
        <v>3321</v>
      </c>
      <c r="X4" s="5">
        <v>32</v>
      </c>
      <c r="Y4" s="5">
        <v>0</v>
      </c>
      <c r="Z4" s="5">
        <v>26008</v>
      </c>
      <c r="AA4" s="5">
        <v>0</v>
      </c>
      <c r="AB4" s="5">
        <v>0</v>
      </c>
      <c r="AE4" s="30">
        <v>1986</v>
      </c>
      <c r="AF4" s="5">
        <v>1226.1672150899999</v>
      </c>
      <c r="AG4" s="5">
        <v>4954.2366442000039</v>
      </c>
      <c r="AH4" s="5">
        <v>213.66542279999999</v>
      </c>
      <c r="AI4" s="5">
        <v>1314.966739</v>
      </c>
      <c r="AJ4" s="5">
        <v>113.15991339999998</v>
      </c>
      <c r="AK4" s="5">
        <v>676.11113720000003</v>
      </c>
      <c r="AN4" s="30">
        <v>1986</v>
      </c>
      <c r="AO4" s="5">
        <v>1226.1672150899999</v>
      </c>
      <c r="AP4" s="5">
        <v>4954.2366442000039</v>
      </c>
      <c r="AQ4" s="5">
        <v>213.66542279999999</v>
      </c>
      <c r="AR4" s="5">
        <v>1314.966739</v>
      </c>
      <c r="AS4" s="5">
        <v>113.15991339999998</v>
      </c>
      <c r="AT4" s="5">
        <v>676.11113720000003</v>
      </c>
      <c r="AU4" s="17"/>
      <c r="CO4">
        <v>1999</v>
      </c>
      <c r="CP4" s="19">
        <v>0</v>
      </c>
    </row>
    <row r="5" spans="1:94" x14ac:dyDescent="0.25">
      <c r="A5" s="16">
        <v>1987</v>
      </c>
      <c r="B5" s="15">
        <f t="shared" si="0"/>
        <v>17088.581091399999</v>
      </c>
      <c r="C5" s="15">
        <f t="shared" si="1"/>
        <v>7187.4926993999989</v>
      </c>
      <c r="D5" s="15">
        <f t="shared" si="2"/>
        <v>262.40692420000005</v>
      </c>
      <c r="E5" s="15">
        <f t="shared" si="3"/>
        <v>4467.4536500000004</v>
      </c>
      <c r="F5" s="15">
        <f t="shared" si="4"/>
        <v>287.32811760000004</v>
      </c>
      <c r="G5" s="15">
        <f t="shared" si="5"/>
        <v>361.97633420000005</v>
      </c>
      <c r="H5" s="15">
        <f t="shared" ref="H5:H27" si="7">SUM(B5:G5)</f>
        <v>29655.238816799996</v>
      </c>
      <c r="I5" s="5"/>
      <c r="K5" s="16">
        <v>1987</v>
      </c>
      <c r="L5" s="15">
        <f t="shared" ref="L5:Q5" si="8">W5+AO5</f>
        <v>17088.581091399999</v>
      </c>
      <c r="M5" s="15">
        <f t="shared" si="8"/>
        <v>7187.4926993999989</v>
      </c>
      <c r="N5" s="15">
        <f t="shared" si="8"/>
        <v>262.40692420000005</v>
      </c>
      <c r="O5" s="15">
        <f t="shared" si="8"/>
        <v>4467.4536500000004</v>
      </c>
      <c r="P5" s="15">
        <f t="shared" si="8"/>
        <v>287.32811760000004</v>
      </c>
      <c r="Q5" s="15">
        <f t="shared" si="8"/>
        <v>361.97633420000005</v>
      </c>
      <c r="R5" s="15">
        <f t="shared" ref="R5:R27" si="9">SUM(L5:Q5)</f>
        <v>29655.238816799996</v>
      </c>
      <c r="S5" s="5"/>
      <c r="V5" s="30">
        <v>1987</v>
      </c>
      <c r="W5" s="5">
        <v>10983</v>
      </c>
      <c r="X5" s="5">
        <v>302</v>
      </c>
      <c r="Y5" s="5">
        <v>0</v>
      </c>
      <c r="Z5" s="5">
        <v>4274</v>
      </c>
      <c r="AA5" s="5">
        <v>7</v>
      </c>
      <c r="AB5" s="5">
        <v>4</v>
      </c>
      <c r="AE5" s="30">
        <v>1987</v>
      </c>
      <c r="AF5" s="5">
        <v>6105.5810914000003</v>
      </c>
      <c r="AG5" s="5">
        <v>6885.4926993999989</v>
      </c>
      <c r="AH5" s="5">
        <v>262.40692420000005</v>
      </c>
      <c r="AI5" s="5">
        <v>193.45364999999998</v>
      </c>
      <c r="AJ5" s="5">
        <v>280.32811760000004</v>
      </c>
      <c r="AK5" s="5">
        <v>357.97633420000005</v>
      </c>
      <c r="AN5" s="30">
        <v>1987</v>
      </c>
      <c r="AO5" s="5">
        <v>6105.5810914000003</v>
      </c>
      <c r="AP5" s="5">
        <v>6885.4926993999989</v>
      </c>
      <c r="AQ5" s="5">
        <v>262.40692420000005</v>
      </c>
      <c r="AR5" s="5">
        <v>193.45364999999998</v>
      </c>
      <c r="AS5" s="5">
        <v>280.32811760000004</v>
      </c>
      <c r="AT5" s="5">
        <v>357.97633420000005</v>
      </c>
      <c r="AU5" s="17"/>
      <c r="CO5">
        <v>1999</v>
      </c>
      <c r="CP5" s="19">
        <v>35000</v>
      </c>
    </row>
    <row r="6" spans="1:94" x14ac:dyDescent="0.25">
      <c r="A6" s="16">
        <v>1988</v>
      </c>
      <c r="B6" s="15">
        <f t="shared" si="0"/>
        <v>10082.06805403</v>
      </c>
      <c r="C6" s="15">
        <f t="shared" si="1"/>
        <v>6367.3870145600013</v>
      </c>
      <c r="D6" s="15">
        <f t="shared" si="2"/>
        <v>983.30338127000005</v>
      </c>
      <c r="E6" s="15">
        <f t="shared" si="3"/>
        <v>36496.9156754</v>
      </c>
      <c r="F6" s="15">
        <f t="shared" si="4"/>
        <v>308.2008754000002</v>
      </c>
      <c r="G6" s="15">
        <f t="shared" si="5"/>
        <v>1991.0681488</v>
      </c>
      <c r="H6" s="15">
        <f t="shared" si="7"/>
        <v>56228.943149459999</v>
      </c>
      <c r="I6" s="5"/>
      <c r="K6" s="16">
        <v>1988</v>
      </c>
      <c r="L6" s="15">
        <f t="shared" ref="L6:Q6" si="10">W6+AO6</f>
        <v>10082.068054029998</v>
      </c>
      <c r="M6" s="15">
        <f t="shared" si="10"/>
        <v>6366.7463228700017</v>
      </c>
      <c r="N6" s="15">
        <f t="shared" si="10"/>
        <v>956.41537245000029</v>
      </c>
      <c r="O6" s="15">
        <f t="shared" si="10"/>
        <v>32552.453113400003</v>
      </c>
      <c r="P6" s="15">
        <f t="shared" si="10"/>
        <v>308.2008754000002</v>
      </c>
      <c r="Q6" s="15">
        <f t="shared" si="10"/>
        <v>1992.4012594999997</v>
      </c>
      <c r="R6" s="15">
        <f t="shared" si="9"/>
        <v>52258.284997650007</v>
      </c>
      <c r="S6" s="5"/>
      <c r="V6" s="30">
        <v>1988</v>
      </c>
      <c r="W6" s="5">
        <v>4578</v>
      </c>
      <c r="X6" s="5">
        <v>657</v>
      </c>
      <c r="Y6" s="5">
        <v>0</v>
      </c>
      <c r="Z6" s="5">
        <v>1736</v>
      </c>
      <c r="AA6" s="5">
        <v>0</v>
      </c>
      <c r="AB6" s="5">
        <v>0</v>
      </c>
      <c r="AE6" s="30">
        <v>1988</v>
      </c>
      <c r="AF6" s="5">
        <v>5504.06805403</v>
      </c>
      <c r="AG6" s="5">
        <v>5710.3870145600013</v>
      </c>
      <c r="AH6" s="5">
        <v>983.30338127000005</v>
      </c>
      <c r="AI6" s="5">
        <v>34760.9156754</v>
      </c>
      <c r="AJ6" s="5">
        <v>308.2008754000002</v>
      </c>
      <c r="AK6" s="5">
        <v>1991.0681488</v>
      </c>
      <c r="AN6" s="30">
        <v>1988</v>
      </c>
      <c r="AO6" s="5">
        <v>5504.0680540299973</v>
      </c>
      <c r="AP6" s="5">
        <v>5709.7463228700017</v>
      </c>
      <c r="AQ6" s="5">
        <v>956.41537245000029</v>
      </c>
      <c r="AR6" s="5">
        <v>30816.453113400003</v>
      </c>
      <c r="AS6" s="5">
        <v>308.2008754000002</v>
      </c>
      <c r="AT6" s="5">
        <v>1992.4012594999997</v>
      </c>
      <c r="AU6" s="17"/>
      <c r="CO6">
        <v>2007</v>
      </c>
      <c r="CP6" s="19">
        <v>0</v>
      </c>
    </row>
    <row r="7" spans="1:94" x14ac:dyDescent="0.25">
      <c r="A7" s="16">
        <v>1989</v>
      </c>
      <c r="B7" s="15">
        <f t="shared" si="0"/>
        <v>13090.414730550001</v>
      </c>
      <c r="C7" s="15">
        <f t="shared" si="1"/>
        <v>4368.6049134000004</v>
      </c>
      <c r="D7" s="15">
        <f t="shared" si="2"/>
        <v>2586.9450254000003</v>
      </c>
      <c r="E7" s="15">
        <f t="shared" si="3"/>
        <v>22999.332126000001</v>
      </c>
      <c r="F7" s="15">
        <f t="shared" si="4"/>
        <v>1657.7203102000003</v>
      </c>
      <c r="G7" s="15">
        <f t="shared" si="5"/>
        <v>524.18774199999996</v>
      </c>
      <c r="H7" s="15">
        <f t="shared" si="7"/>
        <v>45227.204847550005</v>
      </c>
      <c r="I7" s="5"/>
      <c r="K7" s="16">
        <v>1989</v>
      </c>
      <c r="L7" s="15">
        <f t="shared" ref="L7:Q7" si="11">W7+AO7</f>
        <v>13090.414730549999</v>
      </c>
      <c r="M7" s="15">
        <f t="shared" si="11"/>
        <v>4360.3450315000009</v>
      </c>
      <c r="N7" s="15">
        <f t="shared" si="11"/>
        <v>2498.5847723000006</v>
      </c>
      <c r="O7" s="15">
        <f t="shared" si="11"/>
        <v>20473.874170000006</v>
      </c>
      <c r="P7" s="15">
        <f t="shared" si="11"/>
        <v>1657.7203102000003</v>
      </c>
      <c r="Q7" s="15">
        <f t="shared" si="11"/>
        <v>524.18774199999996</v>
      </c>
      <c r="R7" s="15">
        <f t="shared" si="9"/>
        <v>42605.126756550009</v>
      </c>
      <c r="S7" s="5"/>
      <c r="V7" s="30">
        <v>1989</v>
      </c>
      <c r="W7" s="5">
        <v>11875</v>
      </c>
      <c r="X7" s="5">
        <v>20</v>
      </c>
      <c r="Y7" s="5">
        <v>0</v>
      </c>
      <c r="Z7" s="5">
        <v>856</v>
      </c>
      <c r="AA7" s="5">
        <v>0</v>
      </c>
      <c r="AB7" s="5">
        <v>0</v>
      </c>
      <c r="AE7" s="30">
        <v>1989</v>
      </c>
      <c r="AF7" s="5">
        <v>1215.4147305500001</v>
      </c>
      <c r="AG7" s="5">
        <v>4348.6049134000004</v>
      </c>
      <c r="AH7" s="5">
        <v>2586.9450254000003</v>
      </c>
      <c r="AI7" s="5">
        <v>22143.332126000001</v>
      </c>
      <c r="AJ7" s="5">
        <v>1657.7203102000003</v>
      </c>
      <c r="AK7" s="5">
        <v>524.18774199999996</v>
      </c>
      <c r="AN7" s="30">
        <v>1989</v>
      </c>
      <c r="AO7" s="5">
        <v>1215.4147305499996</v>
      </c>
      <c r="AP7" s="5">
        <v>4340.3450315000009</v>
      </c>
      <c r="AQ7" s="5">
        <v>2498.5847723000006</v>
      </c>
      <c r="AR7" s="5">
        <v>19617.874170000006</v>
      </c>
      <c r="AS7" s="5">
        <v>1657.7203102000003</v>
      </c>
      <c r="AT7" s="5">
        <v>524.18774199999996</v>
      </c>
      <c r="AU7" s="17"/>
      <c r="CO7">
        <v>2007</v>
      </c>
      <c r="CP7" s="19">
        <v>35000</v>
      </c>
    </row>
    <row r="8" spans="1:94" x14ac:dyDescent="0.25">
      <c r="A8" s="16">
        <v>1990</v>
      </c>
      <c r="B8" s="15">
        <f t="shared" si="0"/>
        <v>35202.381345000002</v>
      </c>
      <c r="C8" s="15">
        <f t="shared" si="1"/>
        <v>15271.106924689999</v>
      </c>
      <c r="D8" s="15">
        <f t="shared" si="2"/>
        <v>1021.2368579999999</v>
      </c>
      <c r="E8" s="15">
        <f t="shared" si="3"/>
        <v>4434.4715679999999</v>
      </c>
      <c r="F8" s="15">
        <f t="shared" si="4"/>
        <v>2756.6716761000002</v>
      </c>
      <c r="G8" s="15">
        <f t="shared" si="5"/>
        <v>912.285526</v>
      </c>
      <c r="H8" s="15">
        <f t="shared" si="7"/>
        <v>59598.153897789998</v>
      </c>
      <c r="I8" s="5"/>
      <c r="K8" s="16">
        <v>1990</v>
      </c>
      <c r="L8" s="15">
        <f t="shared" ref="L8:Q8" si="12">W8+AO8</f>
        <v>35202.381345000002</v>
      </c>
      <c r="M8" s="15">
        <f t="shared" si="12"/>
        <v>15218.496607630002</v>
      </c>
      <c r="N8" s="15">
        <f t="shared" si="12"/>
        <v>1021.2368579999999</v>
      </c>
      <c r="O8" s="15">
        <f t="shared" si="12"/>
        <v>4434.4715679999999</v>
      </c>
      <c r="P8" s="15">
        <f t="shared" si="12"/>
        <v>2756.6716760999993</v>
      </c>
      <c r="Q8" s="15">
        <f t="shared" si="12"/>
        <v>912.285526</v>
      </c>
      <c r="R8" s="15">
        <f t="shared" si="9"/>
        <v>59545.543580730002</v>
      </c>
      <c r="S8" s="5"/>
      <c r="V8" s="30">
        <v>1990</v>
      </c>
      <c r="W8" s="5">
        <v>29543</v>
      </c>
      <c r="X8" s="5">
        <v>435</v>
      </c>
      <c r="Y8" s="5">
        <v>0</v>
      </c>
      <c r="Z8" s="5">
        <v>3526</v>
      </c>
      <c r="AA8" s="5">
        <v>0</v>
      </c>
      <c r="AB8" s="5">
        <v>0</v>
      </c>
      <c r="AE8" s="30">
        <v>1990</v>
      </c>
      <c r="AF8" s="5">
        <v>5659.3813449999998</v>
      </c>
      <c r="AG8" s="5">
        <v>14836.106924689999</v>
      </c>
      <c r="AH8" s="5">
        <v>1021.2368579999999</v>
      </c>
      <c r="AI8" s="5">
        <v>908.47156800000016</v>
      </c>
      <c r="AJ8" s="5">
        <v>2756.6716761000002</v>
      </c>
      <c r="AK8" s="5">
        <v>912.285526</v>
      </c>
      <c r="AN8" s="30">
        <v>1990</v>
      </c>
      <c r="AO8" s="5">
        <v>5659.3813449999989</v>
      </c>
      <c r="AP8" s="5">
        <v>14783.496607630002</v>
      </c>
      <c r="AQ8" s="5">
        <v>1021.2368579999999</v>
      </c>
      <c r="AR8" s="5">
        <v>908.47156800000016</v>
      </c>
      <c r="AS8" s="5">
        <v>2756.6716760999993</v>
      </c>
      <c r="AT8" s="5">
        <v>912.285526</v>
      </c>
      <c r="AU8" s="17"/>
    </row>
    <row r="9" spans="1:94" x14ac:dyDescent="0.25">
      <c r="A9" s="16">
        <v>1991</v>
      </c>
      <c r="B9" s="15">
        <f t="shared" si="0"/>
        <v>20485.184037909999</v>
      </c>
      <c r="C9" s="15">
        <f t="shared" si="1"/>
        <v>5366.4618487000007</v>
      </c>
      <c r="D9" s="15">
        <f t="shared" si="2"/>
        <v>2463.7248291999999</v>
      </c>
      <c r="E9" s="15">
        <f t="shared" si="3"/>
        <v>3264.2401359999999</v>
      </c>
      <c r="F9" s="15">
        <f t="shared" si="4"/>
        <v>411.2681300000001</v>
      </c>
      <c r="G9" s="15">
        <f t="shared" si="5"/>
        <v>7494.3645420000003</v>
      </c>
      <c r="H9" s="15">
        <f t="shared" si="7"/>
        <v>39485.243523810001</v>
      </c>
      <c r="I9" s="5"/>
      <c r="K9" s="16">
        <v>1991</v>
      </c>
      <c r="L9" s="15">
        <f t="shared" ref="L9:Q9" si="13">W9+AO9</f>
        <v>20485.184037910003</v>
      </c>
      <c r="M9" s="15">
        <f t="shared" si="13"/>
        <v>5358.2960041799988</v>
      </c>
      <c r="N9" s="15">
        <f t="shared" si="13"/>
        <v>2371.7813498</v>
      </c>
      <c r="O9" s="15">
        <f t="shared" si="13"/>
        <v>3264.2401359999999</v>
      </c>
      <c r="P9" s="15">
        <f t="shared" si="13"/>
        <v>411.2681300000001</v>
      </c>
      <c r="Q9" s="15">
        <f t="shared" si="13"/>
        <v>7494.3645420000003</v>
      </c>
      <c r="R9" s="15">
        <f t="shared" si="9"/>
        <v>39385.134199890002</v>
      </c>
      <c r="S9" s="5"/>
      <c r="V9" s="30">
        <v>1991</v>
      </c>
      <c r="W9" s="5">
        <v>15649</v>
      </c>
      <c r="X9" s="5">
        <v>729</v>
      </c>
      <c r="Y9" s="5">
        <v>86</v>
      </c>
      <c r="Z9" s="5">
        <v>3222</v>
      </c>
      <c r="AA9" s="5">
        <v>0</v>
      </c>
      <c r="AB9" s="5">
        <v>7173</v>
      </c>
      <c r="AE9" s="30">
        <v>1991</v>
      </c>
      <c r="AF9" s="5">
        <v>4836.1840379100004</v>
      </c>
      <c r="AG9" s="5">
        <v>4637.4618487000007</v>
      </c>
      <c r="AH9" s="5">
        <v>2377.7248291999999</v>
      </c>
      <c r="AI9" s="5">
        <v>42.240136</v>
      </c>
      <c r="AJ9" s="5">
        <v>411.2681300000001</v>
      </c>
      <c r="AK9" s="5">
        <v>321.36454200000003</v>
      </c>
      <c r="AN9" s="30">
        <v>1991</v>
      </c>
      <c r="AO9" s="5">
        <v>4836.1840379100013</v>
      </c>
      <c r="AP9" s="5">
        <v>4629.2960041799988</v>
      </c>
      <c r="AQ9" s="5">
        <v>2285.7813498</v>
      </c>
      <c r="AR9" s="5">
        <v>42.240136</v>
      </c>
      <c r="AS9" s="5">
        <v>411.2681300000001</v>
      </c>
      <c r="AT9" s="5">
        <v>321.36454200000003</v>
      </c>
      <c r="AU9" s="17"/>
    </row>
    <row r="10" spans="1:94" x14ac:dyDescent="0.25">
      <c r="A10" s="16">
        <v>1992</v>
      </c>
      <c r="B10" s="15">
        <f t="shared" si="0"/>
        <v>25912.151955893998</v>
      </c>
      <c r="C10" s="15">
        <f t="shared" si="1"/>
        <v>15634.369321065004</v>
      </c>
      <c r="D10" s="15">
        <f t="shared" si="2"/>
        <v>3404.2825971799998</v>
      </c>
      <c r="E10" s="15">
        <f t="shared" si="3"/>
        <v>11286.487502</v>
      </c>
      <c r="F10" s="15">
        <f t="shared" si="4"/>
        <v>886.22883800000011</v>
      </c>
      <c r="G10" s="15">
        <f t="shared" si="5"/>
        <v>13592.363151022999</v>
      </c>
      <c r="H10" s="15">
        <f t="shared" si="7"/>
        <v>70715.883365161993</v>
      </c>
      <c r="I10" s="5"/>
      <c r="K10" s="16">
        <v>1992</v>
      </c>
      <c r="L10" s="15">
        <f t="shared" ref="L10:Q10" si="14">W10+AO10</f>
        <v>25912.151955893998</v>
      </c>
      <c r="M10" s="15">
        <f t="shared" si="14"/>
        <v>16458.398041589997</v>
      </c>
      <c r="N10" s="15">
        <f t="shared" si="14"/>
        <v>3280.4377290500011</v>
      </c>
      <c r="O10" s="15">
        <f t="shared" si="14"/>
        <v>11286.487502</v>
      </c>
      <c r="P10" s="15">
        <f t="shared" si="14"/>
        <v>886.22883800000011</v>
      </c>
      <c r="Q10" s="15">
        <f t="shared" si="14"/>
        <v>13594.689939329</v>
      </c>
      <c r="R10" s="15">
        <f t="shared" si="9"/>
        <v>71418.394005862996</v>
      </c>
      <c r="S10" s="5"/>
      <c r="V10" s="30">
        <v>1992</v>
      </c>
      <c r="W10" s="5">
        <v>18570</v>
      </c>
      <c r="X10" s="5">
        <v>4135</v>
      </c>
      <c r="Y10" s="5">
        <v>0</v>
      </c>
      <c r="Z10" s="5">
        <v>10772</v>
      </c>
      <c r="AA10" s="5">
        <v>281</v>
      </c>
      <c r="AB10" s="5">
        <v>9311</v>
      </c>
      <c r="AE10" s="30">
        <v>1992</v>
      </c>
      <c r="AF10" s="5">
        <v>7342.1519558939999</v>
      </c>
      <c r="AG10" s="5">
        <v>11499.369321065004</v>
      </c>
      <c r="AH10" s="5">
        <v>3404.2825971799998</v>
      </c>
      <c r="AI10" s="5">
        <v>514.48750200000006</v>
      </c>
      <c r="AJ10" s="5">
        <v>605.22883800000011</v>
      </c>
      <c r="AK10" s="5">
        <v>4281.3631510229989</v>
      </c>
      <c r="AN10" s="30">
        <v>1992</v>
      </c>
      <c r="AO10" s="5">
        <v>7342.1519558939999</v>
      </c>
      <c r="AP10" s="5">
        <v>12323.398041589997</v>
      </c>
      <c r="AQ10" s="5">
        <v>3280.4377290500011</v>
      </c>
      <c r="AR10" s="5">
        <v>514.48750200000006</v>
      </c>
      <c r="AS10" s="5">
        <v>605.22883800000011</v>
      </c>
      <c r="AT10" s="5">
        <v>4283.6899393289996</v>
      </c>
      <c r="AU10" s="17"/>
    </row>
    <row r="11" spans="1:94" x14ac:dyDescent="0.25">
      <c r="A11" s="16">
        <v>1993</v>
      </c>
      <c r="B11" s="15">
        <f t="shared" si="0"/>
        <v>72935.969967459998</v>
      </c>
      <c r="C11" s="15">
        <f t="shared" si="1"/>
        <v>45198.543220900006</v>
      </c>
      <c r="D11" s="15">
        <f t="shared" si="2"/>
        <v>377.14092199999993</v>
      </c>
      <c r="E11" s="15">
        <f t="shared" si="3"/>
        <v>13469.8777593</v>
      </c>
      <c r="F11" s="15">
        <f t="shared" si="4"/>
        <v>8344.9302663099988</v>
      </c>
      <c r="G11" s="15">
        <f t="shared" si="5"/>
        <v>21499.686548099999</v>
      </c>
      <c r="H11" s="15">
        <f t="shared" si="7"/>
        <v>161826.14868407001</v>
      </c>
      <c r="I11" s="5"/>
      <c r="K11" s="16">
        <v>1993</v>
      </c>
      <c r="L11" s="15">
        <f t="shared" ref="L11:Q11" si="15">W11+AO11</f>
        <v>74436.609952299987</v>
      </c>
      <c r="M11" s="15">
        <f t="shared" si="15"/>
        <v>44404.596765999988</v>
      </c>
      <c r="N11" s="15">
        <f t="shared" si="15"/>
        <v>377.14092199999993</v>
      </c>
      <c r="O11" s="15">
        <f t="shared" si="15"/>
        <v>12319.8914883</v>
      </c>
      <c r="P11" s="15">
        <f t="shared" si="15"/>
        <v>8344.9302663100007</v>
      </c>
      <c r="Q11" s="15">
        <f t="shared" si="15"/>
        <v>22331.249127199997</v>
      </c>
      <c r="R11" s="15">
        <f t="shared" si="9"/>
        <v>162214.41852210998</v>
      </c>
      <c r="S11" s="5"/>
      <c r="V11" s="30">
        <v>1993</v>
      </c>
      <c r="W11" s="5">
        <v>30692</v>
      </c>
      <c r="X11" s="5">
        <v>10784</v>
      </c>
      <c r="Y11" s="5">
        <v>0</v>
      </c>
      <c r="Z11" s="5">
        <v>2739</v>
      </c>
      <c r="AA11" s="5">
        <v>2</v>
      </c>
      <c r="AB11" s="5">
        <v>13896</v>
      </c>
      <c r="AE11" s="30">
        <v>1993</v>
      </c>
      <c r="AF11" s="5">
        <v>42243.969967459998</v>
      </c>
      <c r="AG11" s="5">
        <v>34414.543220900006</v>
      </c>
      <c r="AH11" s="5">
        <v>377.14092199999993</v>
      </c>
      <c r="AI11" s="5">
        <v>10730.8777593</v>
      </c>
      <c r="AJ11" s="5">
        <v>8342.9302663099988</v>
      </c>
      <c r="AK11" s="5">
        <v>7603.6865481000004</v>
      </c>
      <c r="AN11" s="30">
        <v>1993</v>
      </c>
      <c r="AO11" s="5">
        <v>43744.609952299987</v>
      </c>
      <c r="AP11" s="5">
        <v>33620.596765999988</v>
      </c>
      <c r="AQ11" s="5">
        <v>377.14092199999993</v>
      </c>
      <c r="AR11" s="5">
        <v>9580.8914882999998</v>
      </c>
      <c r="AS11" s="5">
        <v>8342.9302663100007</v>
      </c>
      <c r="AT11" s="5">
        <v>8435.2491271999988</v>
      </c>
      <c r="AU11" s="17"/>
    </row>
    <row r="12" spans="1:94" x14ac:dyDescent="0.25">
      <c r="A12" s="16">
        <v>1994</v>
      </c>
      <c r="B12" s="15">
        <f t="shared" si="0"/>
        <v>34322.702253609998</v>
      </c>
      <c r="C12" s="15">
        <f t="shared" si="1"/>
        <v>25359.727649449997</v>
      </c>
      <c r="D12" s="15">
        <f t="shared" si="2"/>
        <v>867.18638599999997</v>
      </c>
      <c r="E12" s="15">
        <f t="shared" si="3"/>
        <v>4446.8626420000001</v>
      </c>
      <c r="F12" s="15">
        <f t="shared" si="4"/>
        <v>725.598487707</v>
      </c>
      <c r="G12" s="15">
        <f t="shared" si="5"/>
        <v>12547.698545830001</v>
      </c>
      <c r="H12" s="15">
        <f t="shared" si="7"/>
        <v>78269.775964596993</v>
      </c>
      <c r="I12" s="5"/>
      <c r="K12" s="16">
        <v>1994</v>
      </c>
      <c r="L12" s="15">
        <f t="shared" ref="L12:Q12" si="16">W12+AO12</f>
        <v>38096.11857359</v>
      </c>
      <c r="M12" s="15">
        <f t="shared" si="16"/>
        <v>25009.676269449999</v>
      </c>
      <c r="N12" s="15">
        <f t="shared" si="16"/>
        <v>867.18638599999997</v>
      </c>
      <c r="O12" s="15">
        <f t="shared" si="16"/>
        <v>4446.8626420000001</v>
      </c>
      <c r="P12" s="15">
        <f t="shared" si="16"/>
        <v>725.598487707</v>
      </c>
      <c r="Q12" s="15">
        <f t="shared" si="16"/>
        <v>12551.371579977</v>
      </c>
      <c r="R12" s="15">
        <f t="shared" si="9"/>
        <v>81696.813938724008</v>
      </c>
      <c r="S12" s="5"/>
      <c r="V12" s="30">
        <v>1994</v>
      </c>
      <c r="W12" s="5">
        <v>26689</v>
      </c>
      <c r="X12" s="5">
        <v>10520</v>
      </c>
      <c r="Y12" s="5">
        <v>12</v>
      </c>
      <c r="Z12" s="5">
        <v>3743</v>
      </c>
      <c r="AA12" s="5">
        <v>5</v>
      </c>
      <c r="AB12" s="5">
        <v>5774</v>
      </c>
      <c r="AE12" s="30">
        <v>1994</v>
      </c>
      <c r="AF12" s="5">
        <v>7633.7022536099994</v>
      </c>
      <c r="AG12" s="5">
        <v>14839.727649449998</v>
      </c>
      <c r="AH12" s="5">
        <v>855.18638599999997</v>
      </c>
      <c r="AI12" s="5">
        <v>703.86264200000005</v>
      </c>
      <c r="AJ12" s="5">
        <v>720.598487707</v>
      </c>
      <c r="AK12" s="5">
        <v>6773.6985458299996</v>
      </c>
      <c r="AN12" s="30">
        <v>1994</v>
      </c>
      <c r="AO12" s="5">
        <v>11407.118573589998</v>
      </c>
      <c r="AP12" s="5">
        <v>14489.676269449998</v>
      </c>
      <c r="AQ12" s="5">
        <v>855.18638599999997</v>
      </c>
      <c r="AR12" s="5">
        <v>703.86264200000005</v>
      </c>
      <c r="AS12" s="5">
        <v>720.598487707</v>
      </c>
      <c r="AT12" s="5">
        <v>6777.3715799769989</v>
      </c>
      <c r="AU12" s="17"/>
    </row>
    <row r="13" spans="1:94" x14ac:dyDescent="0.25">
      <c r="A13" s="16">
        <v>1995</v>
      </c>
      <c r="B13" s="15">
        <f t="shared" si="0"/>
        <v>47663.845387829999</v>
      </c>
      <c r="C13" s="15">
        <f t="shared" si="1"/>
        <v>23040.589364990003</v>
      </c>
      <c r="D13" s="15">
        <f t="shared" si="2"/>
        <v>666.725596</v>
      </c>
      <c r="E13" s="15">
        <f t="shared" si="3"/>
        <v>5358.5467980000003</v>
      </c>
      <c r="F13" s="15">
        <f t="shared" si="4"/>
        <v>101.27932399999999</v>
      </c>
      <c r="G13" s="15">
        <f t="shared" si="5"/>
        <v>4601.6044720000009</v>
      </c>
      <c r="H13" s="15">
        <f t="shared" si="7"/>
        <v>81432.59094282001</v>
      </c>
      <c r="I13" s="5"/>
      <c r="K13" s="16">
        <v>1995</v>
      </c>
      <c r="L13" s="15">
        <f t="shared" ref="L13:Q13" si="17">W13+AO13</f>
        <v>54478.613003400009</v>
      </c>
      <c r="M13" s="15">
        <f t="shared" si="17"/>
        <v>23000.497974740007</v>
      </c>
      <c r="N13" s="15">
        <f t="shared" si="17"/>
        <v>666.725596</v>
      </c>
      <c r="O13" s="15">
        <f t="shared" si="17"/>
        <v>5358.5467980000003</v>
      </c>
      <c r="P13" s="15">
        <f t="shared" si="17"/>
        <v>101.27932399999999</v>
      </c>
      <c r="Q13" s="15">
        <f t="shared" si="17"/>
        <v>4601.6044720000009</v>
      </c>
      <c r="R13" s="15">
        <f t="shared" si="9"/>
        <v>88207.267168140024</v>
      </c>
      <c r="S13" s="5"/>
      <c r="V13" s="30">
        <v>1995</v>
      </c>
      <c r="W13" s="5">
        <v>33530</v>
      </c>
      <c r="X13" s="5">
        <v>8316</v>
      </c>
      <c r="Y13" s="5">
        <v>18</v>
      </c>
      <c r="Z13" s="5">
        <v>4946</v>
      </c>
      <c r="AA13" s="5">
        <v>0</v>
      </c>
      <c r="AB13" s="5">
        <v>2253</v>
      </c>
      <c r="AE13" s="30">
        <v>1995</v>
      </c>
      <c r="AF13" s="5">
        <v>14133.845387829999</v>
      </c>
      <c r="AG13" s="5">
        <v>14724.589364990001</v>
      </c>
      <c r="AH13" s="5">
        <v>648.725596</v>
      </c>
      <c r="AI13" s="5">
        <v>412.54679800000002</v>
      </c>
      <c r="AJ13" s="5">
        <v>101.27932399999999</v>
      </c>
      <c r="AK13" s="5">
        <v>2348.6044720000004</v>
      </c>
      <c r="AN13" s="30">
        <v>1995</v>
      </c>
      <c r="AO13" s="5">
        <v>20948.613003400005</v>
      </c>
      <c r="AP13" s="5">
        <v>14684.497974740005</v>
      </c>
      <c r="AQ13" s="5">
        <v>648.725596</v>
      </c>
      <c r="AR13" s="5">
        <v>412.54679800000002</v>
      </c>
      <c r="AS13" s="5">
        <v>101.27932399999999</v>
      </c>
      <c r="AT13" s="5">
        <v>2348.6044720000004</v>
      </c>
      <c r="AU13" s="17"/>
    </row>
    <row r="14" spans="1:94" x14ac:dyDescent="0.25">
      <c r="A14" s="16">
        <v>1996</v>
      </c>
      <c r="B14" s="15">
        <f t="shared" si="0"/>
        <v>42386.081966059995</v>
      </c>
      <c r="C14" s="15">
        <f t="shared" si="1"/>
        <v>32896.375820889996</v>
      </c>
      <c r="D14" s="15">
        <f t="shared" si="2"/>
        <v>409.30508200000003</v>
      </c>
      <c r="E14" s="15">
        <f t="shared" si="3"/>
        <v>14845.251355100001</v>
      </c>
      <c r="F14" s="15">
        <f t="shared" si="4"/>
        <v>30677.865244799999</v>
      </c>
      <c r="G14" s="15">
        <f t="shared" si="5"/>
        <v>11875.9967726</v>
      </c>
      <c r="H14" s="15">
        <f t="shared" si="7"/>
        <v>133090.87624144999</v>
      </c>
      <c r="I14" s="5"/>
      <c r="K14" s="16">
        <v>1996</v>
      </c>
      <c r="L14" s="15">
        <f t="shared" ref="L14:Q14" si="18">W14+AO14</f>
        <v>42386.081966060003</v>
      </c>
      <c r="M14" s="15">
        <f t="shared" si="18"/>
        <v>32831.087157999995</v>
      </c>
      <c r="N14" s="15">
        <f t="shared" si="18"/>
        <v>409.30508200000003</v>
      </c>
      <c r="O14" s="15">
        <f t="shared" si="18"/>
        <v>14058.5554029</v>
      </c>
      <c r="P14" s="15">
        <f t="shared" si="18"/>
        <v>30677.865244799999</v>
      </c>
      <c r="Q14" s="15">
        <f t="shared" si="18"/>
        <v>11877.728359099998</v>
      </c>
      <c r="R14" s="15">
        <f t="shared" si="9"/>
        <v>132240.62321285999</v>
      </c>
      <c r="S14" s="5"/>
      <c r="V14" s="30">
        <v>1996</v>
      </c>
      <c r="W14" s="5">
        <v>30485</v>
      </c>
      <c r="X14" s="5">
        <v>14400</v>
      </c>
      <c r="Y14" s="5">
        <v>11</v>
      </c>
      <c r="Z14" s="5">
        <v>7431</v>
      </c>
      <c r="AA14" s="5">
        <v>26644</v>
      </c>
      <c r="AB14" s="5">
        <v>5826</v>
      </c>
      <c r="AE14" s="30">
        <v>1996</v>
      </c>
      <c r="AF14" s="5">
        <v>11901.081966059999</v>
      </c>
      <c r="AG14" s="5">
        <v>18496.375820889996</v>
      </c>
      <c r="AH14" s="5">
        <v>398.30508200000003</v>
      </c>
      <c r="AI14" s="5">
        <v>7414.2513551000002</v>
      </c>
      <c r="AJ14" s="5">
        <v>4033.8652448000003</v>
      </c>
      <c r="AK14" s="5">
        <v>6049.9967726000004</v>
      </c>
      <c r="AN14" s="30">
        <v>1996</v>
      </c>
      <c r="AO14" s="5">
        <v>11901.081966060003</v>
      </c>
      <c r="AP14" s="5">
        <v>18431.087157999995</v>
      </c>
      <c r="AQ14" s="5">
        <v>398.30508200000003</v>
      </c>
      <c r="AR14" s="5">
        <v>6627.5554028999995</v>
      </c>
      <c r="AS14" s="5">
        <v>4033.8652447999993</v>
      </c>
      <c r="AT14" s="5">
        <v>6051.7283590999978</v>
      </c>
      <c r="AU14" s="17"/>
    </row>
    <row r="15" spans="1:94" x14ac:dyDescent="0.25">
      <c r="A15" s="16">
        <v>1997</v>
      </c>
      <c r="B15" s="15">
        <f t="shared" si="0"/>
        <v>29380.27893353</v>
      </c>
      <c r="C15" s="15">
        <f t="shared" si="1"/>
        <v>41657.400747359992</v>
      </c>
      <c r="D15" s="15">
        <f t="shared" si="2"/>
        <v>489.34887599999996</v>
      </c>
      <c r="E15" s="15">
        <f t="shared" si="3"/>
        <v>4125.873106</v>
      </c>
      <c r="F15" s="15">
        <f t="shared" si="4"/>
        <v>308.53867400000001</v>
      </c>
      <c r="G15" s="15">
        <f t="shared" si="5"/>
        <v>9053.1256254899999</v>
      </c>
      <c r="H15" s="15">
        <f t="shared" si="7"/>
        <v>85014.565962380002</v>
      </c>
      <c r="I15" s="5"/>
      <c r="K15" s="16">
        <v>1997</v>
      </c>
      <c r="L15" s="15">
        <f t="shared" ref="L15:Q15" si="19">W15+AO15</f>
        <v>29380.27893353</v>
      </c>
      <c r="M15" s="15">
        <f t="shared" si="19"/>
        <v>41606.654734519994</v>
      </c>
      <c r="N15" s="15">
        <f t="shared" si="19"/>
        <v>489.34887599999996</v>
      </c>
      <c r="O15" s="15">
        <f t="shared" si="19"/>
        <v>4125.873106</v>
      </c>
      <c r="P15" s="15">
        <f t="shared" si="19"/>
        <v>308.53867400000001</v>
      </c>
      <c r="Q15" s="15">
        <f t="shared" si="19"/>
        <v>9053.2143310499996</v>
      </c>
      <c r="R15" s="15">
        <f t="shared" si="9"/>
        <v>84963.908655099993</v>
      </c>
      <c r="S15" s="5"/>
      <c r="V15" s="30">
        <v>1997</v>
      </c>
      <c r="W15" s="5">
        <v>26449</v>
      </c>
      <c r="X15" s="5">
        <v>21097</v>
      </c>
      <c r="Y15" s="5">
        <v>2</v>
      </c>
      <c r="Z15" s="5">
        <v>3440</v>
      </c>
      <c r="AA15" s="5">
        <v>59</v>
      </c>
      <c r="AB15" s="5">
        <v>2925</v>
      </c>
      <c r="AE15" s="30">
        <v>1997</v>
      </c>
      <c r="AF15" s="5">
        <v>2931.2789335299999</v>
      </c>
      <c r="AG15" s="5">
        <v>20560.400747359996</v>
      </c>
      <c r="AH15" s="5">
        <v>487.34887599999996</v>
      </c>
      <c r="AI15" s="5">
        <v>685.87310599999978</v>
      </c>
      <c r="AJ15" s="5">
        <v>249.53867400000001</v>
      </c>
      <c r="AK15" s="5">
        <v>6128.125625489999</v>
      </c>
      <c r="AN15" s="30">
        <v>1997</v>
      </c>
      <c r="AO15" s="5">
        <v>2931.2789335300004</v>
      </c>
      <c r="AP15" s="5">
        <v>20509.654734519994</v>
      </c>
      <c r="AQ15" s="5">
        <v>487.34887599999996</v>
      </c>
      <c r="AR15" s="5">
        <v>685.87310599999978</v>
      </c>
      <c r="AS15" s="5">
        <v>249.53867400000001</v>
      </c>
      <c r="AT15" s="5">
        <v>6128.2143310499996</v>
      </c>
      <c r="AU15" s="17"/>
    </row>
    <row r="16" spans="1:94" x14ac:dyDescent="0.25">
      <c r="A16" s="16">
        <v>1998</v>
      </c>
      <c r="B16" s="15">
        <f t="shared" si="0"/>
        <v>43100.271814699998</v>
      </c>
      <c r="C16" s="15">
        <f t="shared" si="1"/>
        <v>46734.187033804003</v>
      </c>
      <c r="D16" s="15">
        <f t="shared" si="2"/>
        <v>1153.6838000000002</v>
      </c>
      <c r="E16" s="15">
        <f t="shared" si="3"/>
        <v>1627.2305219999998</v>
      </c>
      <c r="F16" s="15">
        <f t="shared" si="4"/>
        <v>660.45265436999989</v>
      </c>
      <c r="G16" s="15">
        <f t="shared" si="5"/>
        <v>9870.7833929000008</v>
      </c>
      <c r="H16" s="15">
        <f t="shared" si="7"/>
        <v>103146.60921777401</v>
      </c>
      <c r="I16" s="5"/>
      <c r="K16" s="16">
        <v>1998</v>
      </c>
      <c r="L16" s="15">
        <f t="shared" ref="L16:Q16" si="20">W16+AO16</f>
        <v>43100.271814700005</v>
      </c>
      <c r="M16" s="15">
        <f t="shared" si="20"/>
        <v>46622.208093059999</v>
      </c>
      <c r="N16" s="15">
        <f t="shared" si="20"/>
        <v>1153.6838000000002</v>
      </c>
      <c r="O16" s="15">
        <f t="shared" si="20"/>
        <v>1627.2305219999998</v>
      </c>
      <c r="P16" s="15">
        <f t="shared" si="20"/>
        <v>660.45265437</v>
      </c>
      <c r="Q16" s="15">
        <f t="shared" si="20"/>
        <v>9873.7534503999996</v>
      </c>
      <c r="R16" s="15">
        <f t="shared" si="9"/>
        <v>103037.60033453</v>
      </c>
      <c r="S16" s="5"/>
      <c r="V16" s="30">
        <v>1998</v>
      </c>
      <c r="W16" s="5">
        <v>29839</v>
      </c>
      <c r="X16" s="5">
        <v>17230</v>
      </c>
      <c r="Y16" s="5">
        <v>155</v>
      </c>
      <c r="Z16" s="5">
        <v>1303</v>
      </c>
      <c r="AA16" s="5">
        <v>0</v>
      </c>
      <c r="AB16" s="5">
        <v>2728</v>
      </c>
      <c r="AE16" s="30">
        <v>1998</v>
      </c>
      <c r="AF16" s="5">
        <v>13261.2718147</v>
      </c>
      <c r="AG16" s="5">
        <v>29504.187033803999</v>
      </c>
      <c r="AH16" s="5">
        <v>998.68380000000036</v>
      </c>
      <c r="AI16" s="5">
        <v>324.23052199999989</v>
      </c>
      <c r="AJ16" s="5">
        <v>660.45265436999989</v>
      </c>
      <c r="AK16" s="5">
        <v>7142.7833928999999</v>
      </c>
      <c r="AN16" s="30">
        <v>1998</v>
      </c>
      <c r="AO16" s="5">
        <v>13261.271814700005</v>
      </c>
      <c r="AP16" s="5">
        <v>29392.208093059999</v>
      </c>
      <c r="AQ16" s="5">
        <v>998.68380000000036</v>
      </c>
      <c r="AR16" s="5">
        <v>324.23052199999989</v>
      </c>
      <c r="AS16" s="5">
        <v>660.45265437</v>
      </c>
      <c r="AT16" s="5">
        <v>7145.7534503999987</v>
      </c>
      <c r="AU16" s="17"/>
    </row>
    <row r="17" spans="1:56" x14ac:dyDescent="0.25">
      <c r="A17" s="16">
        <v>1999</v>
      </c>
      <c r="B17" s="15">
        <f t="shared" si="0"/>
        <v>29847.466547192998</v>
      </c>
      <c r="C17" s="15">
        <f t="shared" si="1"/>
        <v>35414.911989740001</v>
      </c>
      <c r="D17" s="15">
        <f t="shared" si="2"/>
        <v>2143.5527917999998</v>
      </c>
      <c r="E17" s="15">
        <f t="shared" si="3"/>
        <v>3832.0972320000001</v>
      </c>
      <c r="F17" s="15">
        <f t="shared" si="4"/>
        <v>747.11873173219999</v>
      </c>
      <c r="G17" s="15">
        <f t="shared" si="5"/>
        <v>11530.033445056901</v>
      </c>
      <c r="H17" s="15">
        <f t="shared" si="7"/>
        <v>83515.180737522111</v>
      </c>
      <c r="I17" s="5"/>
      <c r="K17" s="16">
        <v>1999</v>
      </c>
      <c r="L17" s="15">
        <f t="shared" ref="L17:Q17" si="21">W17+AO17</f>
        <v>29847.466547192991</v>
      </c>
      <c r="M17" s="15">
        <f t="shared" si="21"/>
        <v>35406.569206699998</v>
      </c>
      <c r="N17" s="15">
        <f t="shared" si="21"/>
        <v>2101.7615854699998</v>
      </c>
      <c r="O17" s="15">
        <f t="shared" si="21"/>
        <v>3832.0972320000001</v>
      </c>
      <c r="P17" s="15">
        <f t="shared" si="21"/>
        <v>747.11873173219999</v>
      </c>
      <c r="Q17" s="15">
        <f t="shared" si="21"/>
        <v>11534.5494717314</v>
      </c>
      <c r="R17" s="15">
        <f t="shared" si="9"/>
        <v>83469.562774826598</v>
      </c>
      <c r="S17" s="5"/>
      <c r="V17" s="30">
        <v>1999</v>
      </c>
      <c r="W17" s="5">
        <v>20541</v>
      </c>
      <c r="X17" s="5">
        <v>26349</v>
      </c>
      <c r="Y17" s="5">
        <v>18</v>
      </c>
      <c r="Z17" s="5">
        <v>3797</v>
      </c>
      <c r="AA17" s="5">
        <v>142</v>
      </c>
      <c r="AB17" s="5">
        <v>404</v>
      </c>
      <c r="AE17" s="30">
        <v>1999</v>
      </c>
      <c r="AF17" s="5">
        <v>9306.4665471930002</v>
      </c>
      <c r="AG17" s="5">
        <v>9065.9119897399996</v>
      </c>
      <c r="AH17" s="5">
        <v>2125.5527917999998</v>
      </c>
      <c r="AI17" s="5">
        <v>35.097231999999998</v>
      </c>
      <c r="AJ17" s="5">
        <v>605.11873173219999</v>
      </c>
      <c r="AK17" s="5">
        <v>11126.033445056901</v>
      </c>
      <c r="AN17" s="30">
        <v>1999</v>
      </c>
      <c r="AO17" s="5">
        <v>9306.4665471929929</v>
      </c>
      <c r="AP17" s="5">
        <v>9057.5692067</v>
      </c>
      <c r="AQ17" s="5">
        <v>2083.7615854699998</v>
      </c>
      <c r="AR17" s="5">
        <v>35.097231999999998</v>
      </c>
      <c r="AS17" s="5">
        <v>605.11873173219999</v>
      </c>
      <c r="AT17" s="5">
        <v>11130.5494717314</v>
      </c>
      <c r="AU17" s="17"/>
    </row>
    <row r="18" spans="1:56" x14ac:dyDescent="0.25">
      <c r="A18" s="16">
        <v>2000</v>
      </c>
      <c r="B18" s="15">
        <f t="shared" si="0"/>
        <v>26858.226085014001</v>
      </c>
      <c r="C18" s="15">
        <f t="shared" si="1"/>
        <v>33742.763998399998</v>
      </c>
      <c r="D18" s="15">
        <f t="shared" si="2"/>
        <v>8205.7874845000006</v>
      </c>
      <c r="E18" s="15">
        <f t="shared" si="3"/>
        <v>2906.0016700000001</v>
      </c>
      <c r="F18" s="15">
        <f t="shared" si="4"/>
        <v>2908.8264222100001</v>
      </c>
      <c r="G18" s="15">
        <f t="shared" si="5"/>
        <v>4705.8883740000019</v>
      </c>
      <c r="H18" s="15">
        <f t="shared" si="7"/>
        <v>79327.494034124</v>
      </c>
      <c r="I18" s="5"/>
      <c r="K18" s="16">
        <v>2000</v>
      </c>
      <c r="L18" s="15">
        <f t="shared" ref="L18:Q18" si="22">W18+AO18</f>
        <v>26593.387246030998</v>
      </c>
      <c r="M18" s="15">
        <f t="shared" si="22"/>
        <v>33731.973282300001</v>
      </c>
      <c r="N18" s="15">
        <f t="shared" si="22"/>
        <v>7888.9850333999984</v>
      </c>
      <c r="O18" s="15">
        <f t="shared" si="22"/>
        <v>2906.0016700000001</v>
      </c>
      <c r="P18" s="15">
        <f t="shared" si="22"/>
        <v>2908.8264222100011</v>
      </c>
      <c r="Q18" s="15">
        <f t="shared" si="22"/>
        <v>4705.8883740000019</v>
      </c>
      <c r="R18" s="15">
        <f t="shared" si="9"/>
        <v>78735.062027940992</v>
      </c>
      <c r="S18" s="5"/>
      <c r="V18" s="30">
        <v>2000</v>
      </c>
      <c r="W18" s="5">
        <v>18709</v>
      </c>
      <c r="X18" s="5">
        <v>26179</v>
      </c>
      <c r="Y18" s="5">
        <v>0</v>
      </c>
      <c r="Z18" s="5">
        <v>2517</v>
      </c>
      <c r="AA18" s="5">
        <v>0</v>
      </c>
      <c r="AB18" s="5">
        <v>886</v>
      </c>
      <c r="AE18" s="30">
        <v>2000</v>
      </c>
      <c r="AF18" s="5">
        <v>8149.2260850139992</v>
      </c>
      <c r="AG18" s="5">
        <v>7563.7639983999998</v>
      </c>
      <c r="AH18" s="5">
        <v>8205.7874845000006</v>
      </c>
      <c r="AI18" s="5">
        <v>389.00166999999999</v>
      </c>
      <c r="AJ18" s="5">
        <v>2908.8264222100001</v>
      </c>
      <c r="AK18" s="5">
        <v>3819.8883740000015</v>
      </c>
      <c r="AN18" s="30">
        <v>2000</v>
      </c>
      <c r="AO18" s="5">
        <v>7884.3872460309976</v>
      </c>
      <c r="AP18" s="5">
        <v>7552.9732823000004</v>
      </c>
      <c r="AQ18" s="5">
        <v>7888.9850333999984</v>
      </c>
      <c r="AR18" s="5">
        <v>389.00166999999999</v>
      </c>
      <c r="AS18" s="5">
        <v>2908.8264222100011</v>
      </c>
      <c r="AT18" s="5">
        <v>3819.8883740000015</v>
      </c>
      <c r="AU18" s="17"/>
    </row>
    <row r="19" spans="1:56" x14ac:dyDescent="0.25">
      <c r="A19" s="16">
        <v>2001</v>
      </c>
      <c r="B19" s="15">
        <f t="shared" si="0"/>
        <v>27066.487265030002</v>
      </c>
      <c r="C19" s="15">
        <f t="shared" si="1"/>
        <v>21577.34174996</v>
      </c>
      <c r="D19" s="15">
        <f t="shared" si="2"/>
        <v>312.20308</v>
      </c>
      <c r="E19" s="15">
        <f t="shared" si="3"/>
        <v>4590.2788061000001</v>
      </c>
      <c r="F19" s="15">
        <f t="shared" si="4"/>
        <v>59.752097592400006</v>
      </c>
      <c r="G19" s="15">
        <f t="shared" si="5"/>
        <v>11341.974611337999</v>
      </c>
      <c r="H19" s="15">
        <f t="shared" si="7"/>
        <v>64948.037610020401</v>
      </c>
      <c r="I19" s="5"/>
      <c r="K19" s="16">
        <v>2001</v>
      </c>
      <c r="L19" s="15">
        <f t="shared" ref="L19:Q19" si="23">W19+AO19</f>
        <v>27066.487265029995</v>
      </c>
      <c r="M19" s="15">
        <f t="shared" si="23"/>
        <v>21564.016130850003</v>
      </c>
      <c r="N19" s="15">
        <f t="shared" si="23"/>
        <v>312.20308</v>
      </c>
      <c r="O19" s="15">
        <f t="shared" si="23"/>
        <v>4541.8114423900006</v>
      </c>
      <c r="P19" s="15">
        <f t="shared" si="23"/>
        <v>59.752097592399998</v>
      </c>
      <c r="Q19" s="15">
        <f t="shared" si="23"/>
        <v>11343.971571291999</v>
      </c>
      <c r="R19" s="15">
        <f t="shared" si="9"/>
        <v>64888.241587154393</v>
      </c>
      <c r="S19" s="5"/>
      <c r="V19" s="30">
        <v>2001</v>
      </c>
      <c r="W19" s="5">
        <v>14302</v>
      </c>
      <c r="X19" s="5">
        <v>13204</v>
      </c>
      <c r="Y19" s="5">
        <v>4</v>
      </c>
      <c r="Z19" s="5">
        <v>3887</v>
      </c>
      <c r="AA19" s="5">
        <v>3</v>
      </c>
      <c r="AB19" s="5">
        <v>2981</v>
      </c>
      <c r="AE19" s="30">
        <v>2001</v>
      </c>
      <c r="AF19" s="5">
        <v>12764.48726503</v>
      </c>
      <c r="AG19" s="5">
        <v>8373.34174996</v>
      </c>
      <c r="AH19" s="5">
        <v>308.20308</v>
      </c>
      <c r="AI19" s="5">
        <v>703.2788061</v>
      </c>
      <c r="AJ19" s="5">
        <v>56.752097592400006</v>
      </c>
      <c r="AK19" s="5">
        <v>8360.9746113379988</v>
      </c>
      <c r="AL19" s="17"/>
      <c r="AM19" s="17"/>
      <c r="AN19" s="30">
        <v>2001</v>
      </c>
      <c r="AO19" s="5">
        <v>12764.487265029995</v>
      </c>
      <c r="AP19" s="5">
        <v>8360.0161308500028</v>
      </c>
      <c r="AQ19" s="5">
        <v>308.20308</v>
      </c>
      <c r="AR19" s="5">
        <v>654.81144239000014</v>
      </c>
      <c r="AS19" s="5">
        <v>56.752097592399998</v>
      </c>
      <c r="AT19" s="5">
        <v>8362.9715712919988</v>
      </c>
      <c r="AU19" s="17"/>
      <c r="AV19" s="17"/>
      <c r="AW19" s="17"/>
      <c r="AX19" s="17"/>
      <c r="AY19" s="17"/>
      <c r="AZ19" s="17"/>
      <c r="BA19" s="17"/>
      <c r="BB19" s="17"/>
      <c r="BC19" s="17"/>
      <c r="BD19" s="17"/>
    </row>
    <row r="20" spans="1:56" x14ac:dyDescent="0.25">
      <c r="A20" s="16">
        <v>2002</v>
      </c>
      <c r="B20" s="15">
        <f t="shared" si="0"/>
        <v>37689.232279600998</v>
      </c>
      <c r="C20" s="15">
        <f t="shared" si="1"/>
        <v>31103.618987396101</v>
      </c>
      <c r="D20" s="15">
        <f t="shared" si="2"/>
        <v>265.389748</v>
      </c>
      <c r="E20" s="15">
        <f t="shared" si="3"/>
        <v>7338.9599729000001</v>
      </c>
      <c r="F20" s="15">
        <f t="shared" si="4"/>
        <v>22.931328000000001</v>
      </c>
      <c r="G20" s="15">
        <f t="shared" si="5"/>
        <v>33540.473758530999</v>
      </c>
      <c r="H20" s="15">
        <f t="shared" si="7"/>
        <v>109960.6060744281</v>
      </c>
      <c r="I20" s="5"/>
      <c r="K20" s="16">
        <v>2002</v>
      </c>
      <c r="L20" s="15">
        <f t="shared" ref="L20:Q20" si="24">W20+AO20</f>
        <v>37689.232279600983</v>
      </c>
      <c r="M20" s="15">
        <f t="shared" si="24"/>
        <v>29178.105920837203</v>
      </c>
      <c r="N20" s="15">
        <f t="shared" si="24"/>
        <v>265.389748</v>
      </c>
      <c r="O20" s="15">
        <f t="shared" si="24"/>
        <v>6801.153048600002</v>
      </c>
      <c r="P20" s="15">
        <f t="shared" si="24"/>
        <v>22.931328000000001</v>
      </c>
      <c r="Q20" s="15">
        <f t="shared" si="24"/>
        <v>34184.777259904993</v>
      </c>
      <c r="R20" s="15">
        <f t="shared" si="9"/>
        <v>108141.58958494318</v>
      </c>
      <c r="S20" s="5"/>
      <c r="V20" s="30">
        <v>2002</v>
      </c>
      <c r="W20" s="5">
        <v>17556</v>
      </c>
      <c r="X20" s="5">
        <v>13287</v>
      </c>
      <c r="Y20" s="5">
        <v>0</v>
      </c>
      <c r="Z20" s="5">
        <v>2170</v>
      </c>
      <c r="AA20" s="5">
        <v>6</v>
      </c>
      <c r="AB20" s="5">
        <v>2104</v>
      </c>
      <c r="AE20" s="30">
        <v>2002</v>
      </c>
      <c r="AF20" s="5">
        <v>20133.232279600998</v>
      </c>
      <c r="AG20" s="5">
        <v>17816.618987396101</v>
      </c>
      <c r="AH20" s="5">
        <v>265.389748</v>
      </c>
      <c r="AI20" s="5">
        <v>5168.9599729000001</v>
      </c>
      <c r="AJ20" s="5">
        <v>16.931328000000001</v>
      </c>
      <c r="AK20" s="5">
        <v>31436.473758530999</v>
      </c>
      <c r="AL20" s="17"/>
      <c r="AM20" s="17"/>
      <c r="AN20" s="30">
        <v>2002</v>
      </c>
      <c r="AO20" s="5">
        <v>20133.232279600987</v>
      </c>
      <c r="AP20" s="5">
        <v>15891.105920837201</v>
      </c>
      <c r="AQ20" s="5">
        <v>265.389748</v>
      </c>
      <c r="AR20" s="5">
        <v>4631.153048600002</v>
      </c>
      <c r="AS20" s="5">
        <v>16.931328000000001</v>
      </c>
      <c r="AT20" s="5">
        <v>32080.777259904997</v>
      </c>
      <c r="AU20" s="17"/>
      <c r="AV20" s="17"/>
      <c r="AW20" s="17"/>
      <c r="AX20" s="17"/>
      <c r="AY20" s="17"/>
      <c r="AZ20" s="17"/>
      <c r="BA20" s="17"/>
      <c r="BB20" s="17"/>
      <c r="BC20" s="17"/>
      <c r="BD20" s="17"/>
    </row>
    <row r="21" spans="1:56" x14ac:dyDescent="0.25">
      <c r="A21" s="16">
        <v>2003</v>
      </c>
      <c r="B21" s="15">
        <f t="shared" si="0"/>
        <v>21463.587686850999</v>
      </c>
      <c r="C21" s="15">
        <f t="shared" si="1"/>
        <v>25169.037930120001</v>
      </c>
      <c r="D21" s="15">
        <f t="shared" si="2"/>
        <v>2725.9199194000003</v>
      </c>
      <c r="E21" s="15">
        <f t="shared" si="3"/>
        <v>2223.42193</v>
      </c>
      <c r="F21" s="15">
        <f t="shared" si="4"/>
        <v>2969.9227074789997</v>
      </c>
      <c r="G21" s="15">
        <f t="shared" si="5"/>
        <v>42108.285571262997</v>
      </c>
      <c r="H21" s="15">
        <f t="shared" si="7"/>
        <v>96660.175745112996</v>
      </c>
      <c r="I21" s="5"/>
      <c r="K21" s="16">
        <v>2003</v>
      </c>
      <c r="L21" s="15">
        <f t="shared" ref="L21:Q21" si="25">W21+AO21</f>
        <v>21463.587686851002</v>
      </c>
      <c r="M21" s="15">
        <f t="shared" si="25"/>
        <v>25142.489665589997</v>
      </c>
      <c r="N21" s="15">
        <f t="shared" si="25"/>
        <v>2657.0738755000002</v>
      </c>
      <c r="O21" s="15">
        <f t="shared" si="25"/>
        <v>2223.42193</v>
      </c>
      <c r="P21" s="15">
        <f t="shared" si="25"/>
        <v>2969.9227074790001</v>
      </c>
      <c r="Q21" s="15">
        <f t="shared" si="25"/>
        <v>37318.278022386985</v>
      </c>
      <c r="R21" s="15">
        <f t="shared" si="9"/>
        <v>91774.773887806979</v>
      </c>
      <c r="S21" s="5"/>
      <c r="V21" s="30">
        <v>2003</v>
      </c>
      <c r="W21" s="5">
        <v>18464</v>
      </c>
      <c r="X21" s="5">
        <v>15916</v>
      </c>
      <c r="Y21" s="5">
        <v>744</v>
      </c>
      <c r="Z21" s="5">
        <v>2026</v>
      </c>
      <c r="AA21" s="5">
        <v>2</v>
      </c>
      <c r="AB21" s="5">
        <v>18115</v>
      </c>
      <c r="AE21" s="30">
        <v>2003</v>
      </c>
      <c r="AF21" s="5">
        <v>2999.5876868509999</v>
      </c>
      <c r="AG21" s="5">
        <v>9253.037930120001</v>
      </c>
      <c r="AH21" s="5">
        <v>1981.9199194</v>
      </c>
      <c r="AI21" s="5">
        <v>197.42193</v>
      </c>
      <c r="AJ21" s="5">
        <v>2967.9227074789997</v>
      </c>
      <c r="AK21" s="5">
        <v>23993.285571263001</v>
      </c>
      <c r="AN21" s="30">
        <v>2003</v>
      </c>
      <c r="AO21" s="5">
        <v>2999.5876868510004</v>
      </c>
      <c r="AP21" s="5">
        <v>9226.4896655899975</v>
      </c>
      <c r="AQ21" s="5">
        <v>1913.0738755000004</v>
      </c>
      <c r="AR21" s="5">
        <v>197.42193</v>
      </c>
      <c r="AS21" s="5">
        <v>2967.9227074790001</v>
      </c>
      <c r="AT21" s="5">
        <v>19203.278022386985</v>
      </c>
      <c r="AU21" s="17"/>
    </row>
    <row r="22" spans="1:56" x14ac:dyDescent="0.25">
      <c r="A22" s="16">
        <v>2004</v>
      </c>
      <c r="B22" s="15">
        <f t="shared" si="0"/>
        <v>27827.425172043004</v>
      </c>
      <c r="C22" s="15">
        <f t="shared" si="1"/>
        <v>61248.484858190997</v>
      </c>
      <c r="D22" s="15">
        <f t="shared" si="2"/>
        <v>5606.9159661100011</v>
      </c>
      <c r="E22" s="15">
        <f t="shared" si="3"/>
        <v>9259.4716719999997</v>
      </c>
      <c r="F22" s="15">
        <f t="shared" si="4"/>
        <v>4196.9052978700001</v>
      </c>
      <c r="G22" s="15">
        <f t="shared" si="5"/>
        <v>26085.601428940001</v>
      </c>
      <c r="H22" s="15">
        <f t="shared" si="7"/>
        <v>134224.804395154</v>
      </c>
      <c r="I22" s="5"/>
      <c r="K22" s="16">
        <v>2004</v>
      </c>
      <c r="L22" s="15">
        <f t="shared" ref="L22:Q22" si="26">W22+AO22</f>
        <v>26376.354705195001</v>
      </c>
      <c r="M22" s="15">
        <f t="shared" si="26"/>
        <v>58757.709147649992</v>
      </c>
      <c r="N22" s="15">
        <f t="shared" si="26"/>
        <v>5437.5706806800017</v>
      </c>
      <c r="O22" s="15">
        <f t="shared" si="26"/>
        <v>9259.4716719999997</v>
      </c>
      <c r="P22" s="15">
        <f t="shared" si="26"/>
        <v>4196.9052978699992</v>
      </c>
      <c r="Q22" s="15">
        <f t="shared" si="26"/>
        <v>26085.601428939972</v>
      </c>
      <c r="R22" s="15">
        <f t="shared" si="9"/>
        <v>130113.61293233497</v>
      </c>
      <c r="S22" s="5"/>
      <c r="V22" s="30">
        <v>2004</v>
      </c>
      <c r="W22" s="5">
        <v>16747</v>
      </c>
      <c r="X22" s="5">
        <v>20867</v>
      </c>
      <c r="Y22" s="5">
        <v>50</v>
      </c>
      <c r="Z22" s="5">
        <v>8604</v>
      </c>
      <c r="AA22" s="5">
        <v>37</v>
      </c>
      <c r="AB22" s="5">
        <v>2029</v>
      </c>
      <c r="AE22" s="30">
        <v>2004</v>
      </c>
      <c r="AF22" s="5">
        <v>11080.425172043002</v>
      </c>
      <c r="AG22" s="5">
        <v>40381.484858190997</v>
      </c>
      <c r="AH22" s="5">
        <v>5556.9159661100011</v>
      </c>
      <c r="AI22" s="5">
        <v>655.47167200000001</v>
      </c>
      <c r="AJ22" s="5">
        <v>4159.9052978700001</v>
      </c>
      <c r="AK22" s="5">
        <v>24056.601428940001</v>
      </c>
      <c r="AL22" s="17"/>
      <c r="AM22" s="17"/>
      <c r="AN22" s="30">
        <v>2004</v>
      </c>
      <c r="AO22" s="5">
        <v>9629.3547051950009</v>
      </c>
      <c r="AP22" s="5">
        <v>37890.709147649992</v>
      </c>
      <c r="AQ22" s="5">
        <v>5387.5706806800017</v>
      </c>
      <c r="AR22" s="5">
        <v>655.47167200000001</v>
      </c>
      <c r="AS22" s="5">
        <v>4159.9052978699992</v>
      </c>
      <c r="AT22" s="5">
        <v>24056.601428939972</v>
      </c>
      <c r="AU22" s="17"/>
      <c r="AV22" s="17"/>
      <c r="AW22" s="17"/>
      <c r="AX22" s="17"/>
      <c r="AY22" s="17"/>
      <c r="AZ22" s="17"/>
      <c r="BA22" s="17"/>
      <c r="BB22" s="17"/>
      <c r="BC22" s="17"/>
      <c r="BD22" s="17"/>
    </row>
    <row r="23" spans="1:56" x14ac:dyDescent="0.25">
      <c r="A23" s="16">
        <v>2005</v>
      </c>
      <c r="B23" s="15">
        <f t="shared" si="0"/>
        <v>18216.463220219001</v>
      </c>
      <c r="C23" s="15">
        <f t="shared" si="1"/>
        <v>36823.24372767</v>
      </c>
      <c r="D23" s="15">
        <f t="shared" si="2"/>
        <v>5442.0663666999999</v>
      </c>
      <c r="E23" s="15">
        <f t="shared" si="3"/>
        <v>3777.0417080000002</v>
      </c>
      <c r="F23" s="15">
        <f t="shared" si="4"/>
        <v>3931.4777806940001</v>
      </c>
      <c r="G23" s="15">
        <f t="shared" si="5"/>
        <v>19616.609300833999</v>
      </c>
      <c r="H23" s="15">
        <f t="shared" si="7"/>
        <v>87806.902104116991</v>
      </c>
      <c r="I23" s="5"/>
      <c r="K23" s="16">
        <v>2005</v>
      </c>
      <c r="L23" s="15">
        <f t="shared" ref="L23:Q23" si="27">W23+AO23</f>
        <v>18216.463220218997</v>
      </c>
      <c r="M23" s="15">
        <f t="shared" si="27"/>
        <v>36761.488939660005</v>
      </c>
      <c r="N23" s="15">
        <f t="shared" si="27"/>
        <v>5302.5303370000011</v>
      </c>
      <c r="O23" s="15">
        <f t="shared" si="27"/>
        <v>3777.0417080000002</v>
      </c>
      <c r="P23" s="15">
        <f t="shared" si="27"/>
        <v>3931.4777806940001</v>
      </c>
      <c r="Q23" s="15">
        <f t="shared" si="27"/>
        <v>19049.185890453995</v>
      </c>
      <c r="R23" s="15">
        <f t="shared" si="9"/>
        <v>87038.187876027005</v>
      </c>
      <c r="S23" s="5"/>
      <c r="V23" s="30">
        <v>2005</v>
      </c>
      <c r="W23" s="5">
        <v>14277</v>
      </c>
      <c r="X23" s="5">
        <v>17852</v>
      </c>
      <c r="Y23" s="5">
        <v>0</v>
      </c>
      <c r="Z23" s="5">
        <v>3065</v>
      </c>
      <c r="AA23" s="5">
        <v>9</v>
      </c>
      <c r="AB23" s="5">
        <v>1332</v>
      </c>
      <c r="AE23" s="30">
        <v>2005</v>
      </c>
      <c r="AF23" s="5">
        <v>3939.4632202189996</v>
      </c>
      <c r="AG23" s="5">
        <v>18971.24372767</v>
      </c>
      <c r="AH23" s="5">
        <v>5442.0663666999999</v>
      </c>
      <c r="AI23" s="5">
        <v>712.0417080000002</v>
      </c>
      <c r="AJ23" s="5">
        <v>3922.4777806940001</v>
      </c>
      <c r="AK23" s="5">
        <v>18284.609300833999</v>
      </c>
      <c r="AL23" s="17"/>
      <c r="AM23" s="17"/>
      <c r="AN23" s="30">
        <v>2005</v>
      </c>
      <c r="AO23" s="5">
        <v>3939.4632202189987</v>
      </c>
      <c r="AP23" s="5">
        <v>18909.488939660001</v>
      </c>
      <c r="AQ23" s="5">
        <v>5302.5303370000011</v>
      </c>
      <c r="AR23" s="5">
        <v>712.0417080000002</v>
      </c>
      <c r="AS23" s="5">
        <v>3922.4777806940001</v>
      </c>
      <c r="AT23" s="5">
        <v>17717.185890453995</v>
      </c>
      <c r="AU23" s="17"/>
      <c r="AV23" s="17"/>
      <c r="AW23" s="17"/>
      <c r="AX23" s="17"/>
      <c r="AY23" s="17"/>
      <c r="AZ23" s="17"/>
      <c r="BA23" s="17"/>
      <c r="BB23" s="17"/>
      <c r="BC23" s="17"/>
      <c r="BD23" s="17"/>
    </row>
    <row r="24" spans="1:56" x14ac:dyDescent="0.25">
      <c r="A24" s="16">
        <v>2006</v>
      </c>
      <c r="B24" s="15">
        <f t="shared" si="0"/>
        <v>18998.567084375401</v>
      </c>
      <c r="C24" s="15">
        <f t="shared" si="1"/>
        <v>39163.122402813002</v>
      </c>
      <c r="D24" s="15">
        <f t="shared" si="2"/>
        <v>1104.7897519999999</v>
      </c>
      <c r="E24" s="15">
        <f t="shared" si="3"/>
        <v>40720.880957200003</v>
      </c>
      <c r="F24" s="15">
        <f t="shared" si="4"/>
        <v>4170.3292135869997</v>
      </c>
      <c r="G24" s="15">
        <f t="shared" si="5"/>
        <v>15545.540607194998</v>
      </c>
      <c r="H24" s="15">
        <f t="shared" si="7"/>
        <v>119703.2300171704</v>
      </c>
      <c r="I24" s="5"/>
      <c r="K24" s="16">
        <v>2006</v>
      </c>
      <c r="L24" s="15">
        <f t="shared" ref="L24:Q24" si="28">W24+AO24</f>
        <v>18998.567084375398</v>
      </c>
      <c r="M24" s="15">
        <f t="shared" si="28"/>
        <v>39145.926430617998</v>
      </c>
      <c r="N24" s="15">
        <f t="shared" si="28"/>
        <v>1104.7897519999999</v>
      </c>
      <c r="O24" s="15">
        <f t="shared" si="28"/>
        <v>37218.5858782</v>
      </c>
      <c r="P24" s="15">
        <f t="shared" si="28"/>
        <v>4170.3292135870006</v>
      </c>
      <c r="Q24" s="15">
        <f t="shared" si="28"/>
        <v>15545.540607195</v>
      </c>
      <c r="R24" s="15">
        <f t="shared" si="9"/>
        <v>116183.7389659754</v>
      </c>
      <c r="S24" s="5"/>
      <c r="V24" s="30">
        <v>2006</v>
      </c>
      <c r="W24" s="5">
        <v>16846</v>
      </c>
      <c r="X24" s="5">
        <v>31489</v>
      </c>
      <c r="Y24" s="5">
        <v>86</v>
      </c>
      <c r="Z24" s="5">
        <v>9401</v>
      </c>
      <c r="AA24" s="5">
        <v>7</v>
      </c>
      <c r="AB24" s="5">
        <v>525</v>
      </c>
      <c r="AE24" s="30">
        <v>2006</v>
      </c>
      <c r="AF24" s="5">
        <v>2152.5670843754001</v>
      </c>
      <c r="AG24" s="5">
        <v>7674.122402813</v>
      </c>
      <c r="AH24" s="5">
        <v>1018.7897519999999</v>
      </c>
      <c r="AI24" s="5">
        <v>31319.880957199999</v>
      </c>
      <c r="AJ24" s="5">
        <v>4163.3292135869997</v>
      </c>
      <c r="AK24" s="5">
        <v>15020.540607194998</v>
      </c>
      <c r="AL24" s="17"/>
      <c r="AM24" s="17"/>
      <c r="AN24" s="30">
        <v>2006</v>
      </c>
      <c r="AO24" s="5">
        <v>2152.5670843753996</v>
      </c>
      <c r="AP24" s="5">
        <v>7656.9264306179975</v>
      </c>
      <c r="AQ24" s="5">
        <v>1018.7897519999999</v>
      </c>
      <c r="AR24" s="5">
        <v>27817.585878200003</v>
      </c>
      <c r="AS24" s="5">
        <v>4163.3292135870006</v>
      </c>
      <c r="AT24" s="5">
        <v>15020.540607195</v>
      </c>
      <c r="AU24" s="17"/>
      <c r="AV24" s="17"/>
      <c r="AW24" s="17"/>
      <c r="AX24" s="17"/>
      <c r="AY24" s="17"/>
      <c r="AZ24" s="17"/>
      <c r="BA24" s="17"/>
      <c r="BB24" s="17"/>
      <c r="BC24" s="17"/>
      <c r="BD24" s="17"/>
    </row>
    <row r="25" spans="1:56" x14ac:dyDescent="0.25">
      <c r="A25" s="16">
        <v>2007</v>
      </c>
      <c r="B25" s="15">
        <f t="shared" si="0"/>
        <v>34234.485927494999</v>
      </c>
      <c r="C25" s="15">
        <f t="shared" si="1"/>
        <v>52275.274512941003</v>
      </c>
      <c r="D25" s="15">
        <f t="shared" si="2"/>
        <v>34851.753549200002</v>
      </c>
      <c r="E25" s="15">
        <f t="shared" si="3"/>
        <v>10625.0090814</v>
      </c>
      <c r="F25" s="15">
        <f t="shared" si="4"/>
        <v>2613.1527339719996</v>
      </c>
      <c r="G25" s="15">
        <f t="shared" si="5"/>
        <v>16208.260158342999</v>
      </c>
      <c r="H25" s="15">
        <f t="shared" si="7"/>
        <v>150807.93596335102</v>
      </c>
      <c r="I25" s="5"/>
      <c r="K25" s="16">
        <v>2007</v>
      </c>
      <c r="L25" s="15">
        <f t="shared" ref="L25:Q25" si="29">W25+AO25</f>
        <v>34234.485927494999</v>
      </c>
      <c r="M25" s="15">
        <f t="shared" si="29"/>
        <v>52185.737476664013</v>
      </c>
      <c r="N25" s="15">
        <f t="shared" si="29"/>
        <v>33501.638706299993</v>
      </c>
      <c r="O25" s="15">
        <f t="shared" si="29"/>
        <v>10625.0090814</v>
      </c>
      <c r="P25" s="15">
        <f t="shared" si="29"/>
        <v>2613.1527339720005</v>
      </c>
      <c r="Q25" s="15">
        <f t="shared" si="29"/>
        <v>16210.915525602002</v>
      </c>
      <c r="R25" s="15">
        <f t="shared" si="9"/>
        <v>149370.93945143302</v>
      </c>
      <c r="S25" s="5"/>
      <c r="V25" s="30">
        <v>2007</v>
      </c>
      <c r="W25" s="5">
        <v>15962</v>
      </c>
      <c r="X25" s="5">
        <v>23735</v>
      </c>
      <c r="Y25" s="5">
        <v>0</v>
      </c>
      <c r="Z25" s="5">
        <v>9039</v>
      </c>
      <c r="AA25" s="5">
        <v>11</v>
      </c>
      <c r="AB25" s="5">
        <v>292</v>
      </c>
      <c r="AE25" s="30">
        <v>2007</v>
      </c>
      <c r="AF25" s="5">
        <v>18272.485927494999</v>
      </c>
      <c r="AG25" s="5">
        <v>28540.274512941003</v>
      </c>
      <c r="AH25" s="5">
        <v>34851.753549200002</v>
      </c>
      <c r="AI25" s="5">
        <v>1586.0090814</v>
      </c>
      <c r="AJ25" s="5">
        <v>2602.1527339719996</v>
      </c>
      <c r="AK25" s="5">
        <v>15916.260158342999</v>
      </c>
      <c r="AN25" s="30">
        <v>2007</v>
      </c>
      <c r="AO25" s="5">
        <v>18272.485927495003</v>
      </c>
      <c r="AP25" s="5">
        <v>28450.73747666401</v>
      </c>
      <c r="AQ25" s="5">
        <v>33501.638706299993</v>
      </c>
      <c r="AR25" s="5">
        <v>1586.0090814</v>
      </c>
      <c r="AS25" s="5">
        <v>2602.1527339720005</v>
      </c>
      <c r="AT25" s="5">
        <v>15918.915525602002</v>
      </c>
      <c r="AU25" s="17"/>
    </row>
    <row r="26" spans="1:56" x14ac:dyDescent="0.25">
      <c r="A26" s="16">
        <v>2008</v>
      </c>
      <c r="B26" s="15">
        <f t="shared" si="0"/>
        <v>29315.973307541302</v>
      </c>
      <c r="C26" s="15">
        <f t="shared" si="1"/>
        <v>32663.211482840001</v>
      </c>
      <c r="D26" s="15">
        <f t="shared" si="2"/>
        <v>341.183896</v>
      </c>
      <c r="E26" s="15">
        <f t="shared" si="3"/>
        <v>4205.7486058000004</v>
      </c>
      <c r="F26" s="15">
        <f t="shared" si="4"/>
        <v>2826.2233179999998</v>
      </c>
      <c r="G26" s="15">
        <f t="shared" si="5"/>
        <v>16127.3420292233</v>
      </c>
      <c r="H26" s="15">
        <f t="shared" si="7"/>
        <v>85479.682639404622</v>
      </c>
      <c r="I26" s="5"/>
      <c r="K26" s="16">
        <v>2008</v>
      </c>
      <c r="L26" s="15">
        <f t="shared" ref="L26:Q26" si="30">W26+AO26</f>
        <v>29315.973307541299</v>
      </c>
      <c r="M26" s="15">
        <f t="shared" si="30"/>
        <v>32625.67590319</v>
      </c>
      <c r="N26" s="15">
        <f t="shared" si="30"/>
        <v>341.183896</v>
      </c>
      <c r="O26" s="15">
        <f t="shared" si="30"/>
        <v>4205.7486058000004</v>
      </c>
      <c r="P26" s="15">
        <f t="shared" si="30"/>
        <v>2826.2233180000003</v>
      </c>
      <c r="Q26" s="15">
        <f t="shared" si="30"/>
        <v>14755.655576732297</v>
      </c>
      <c r="R26" s="15">
        <f t="shared" si="9"/>
        <v>84070.460607263609</v>
      </c>
      <c r="S26" s="5"/>
      <c r="V26" s="30">
        <v>2008</v>
      </c>
      <c r="W26" s="5">
        <v>15928</v>
      </c>
      <c r="X26" s="5">
        <v>22047</v>
      </c>
      <c r="Y26" s="5">
        <v>0</v>
      </c>
      <c r="Z26" s="5">
        <v>4015</v>
      </c>
      <c r="AA26" s="5">
        <v>2</v>
      </c>
      <c r="AB26" s="5">
        <v>448</v>
      </c>
      <c r="AE26" s="30">
        <v>2008</v>
      </c>
      <c r="AF26" s="5">
        <v>13387.973307541301</v>
      </c>
      <c r="AG26" s="5">
        <v>10616.211482840003</v>
      </c>
      <c r="AH26" s="5">
        <v>341.183896</v>
      </c>
      <c r="AI26" s="5">
        <v>190.74860580000004</v>
      </c>
      <c r="AJ26" s="5">
        <v>2824.2233179999998</v>
      </c>
      <c r="AK26" s="5">
        <v>15679.3420292233</v>
      </c>
      <c r="AN26" s="30">
        <v>2008</v>
      </c>
      <c r="AO26" s="5">
        <v>13387.973307541299</v>
      </c>
      <c r="AP26" s="5">
        <v>10578.67590319</v>
      </c>
      <c r="AQ26" s="5">
        <v>341.183896</v>
      </c>
      <c r="AR26" s="5">
        <v>190.74860580000004</v>
      </c>
      <c r="AS26" s="5">
        <v>2824.2233180000003</v>
      </c>
      <c r="AT26" s="5">
        <v>14307.655576732297</v>
      </c>
      <c r="AU26" s="17"/>
    </row>
    <row r="27" spans="1:56" x14ac:dyDescent="0.25">
      <c r="A27" s="16">
        <v>2009</v>
      </c>
      <c r="B27" s="15">
        <f t="shared" si="0"/>
        <v>15827.770235215001</v>
      </c>
      <c r="C27" s="15">
        <f t="shared" si="1"/>
        <v>35659.735612299999</v>
      </c>
      <c r="D27" s="15">
        <f t="shared" si="2"/>
        <v>95.236515400000002</v>
      </c>
      <c r="E27" s="15">
        <f t="shared" si="3"/>
        <v>3284.1457632000001</v>
      </c>
      <c r="F27" s="15">
        <f t="shared" si="4"/>
        <v>5450.1429379299998</v>
      </c>
      <c r="G27" s="15">
        <f t="shared" si="5"/>
        <v>8477.6882524280009</v>
      </c>
      <c r="H27" s="15">
        <f t="shared" si="7"/>
        <v>68794.719316472998</v>
      </c>
      <c r="I27" s="5"/>
      <c r="K27" s="16">
        <v>2009</v>
      </c>
      <c r="L27" s="15">
        <f t="shared" ref="L27:Q27" si="31">W27+AO27</f>
        <v>15827.770235215001</v>
      </c>
      <c r="M27" s="15">
        <f t="shared" si="31"/>
        <v>35606.359341999996</v>
      </c>
      <c r="N27" s="15">
        <f t="shared" si="31"/>
        <v>95.236515400000002</v>
      </c>
      <c r="O27" s="15">
        <f t="shared" si="31"/>
        <v>3284.1457632000001</v>
      </c>
      <c r="P27" s="15">
        <f t="shared" si="31"/>
        <v>5450.1429379300007</v>
      </c>
      <c r="Q27" s="15">
        <f t="shared" si="31"/>
        <v>8669.3835724919973</v>
      </c>
      <c r="R27" s="15">
        <f t="shared" si="9"/>
        <v>68933.038366237</v>
      </c>
      <c r="S27" s="5"/>
      <c r="V27" s="30">
        <v>2009</v>
      </c>
      <c r="W27" s="5">
        <v>13816</v>
      </c>
      <c r="X27" s="5">
        <v>21294</v>
      </c>
      <c r="Y27" s="5">
        <v>0</v>
      </c>
      <c r="Z27" s="5">
        <v>3110</v>
      </c>
      <c r="AA27" s="5">
        <v>10</v>
      </c>
      <c r="AB27" s="5">
        <v>1</v>
      </c>
      <c r="AE27" s="30">
        <v>2009</v>
      </c>
      <c r="AF27" s="5">
        <v>2011.770235215</v>
      </c>
      <c r="AG27" s="5">
        <v>14365.735612299999</v>
      </c>
      <c r="AH27" s="5">
        <v>95.236515400000002</v>
      </c>
      <c r="AI27" s="5">
        <v>174.1457632</v>
      </c>
      <c r="AJ27" s="5">
        <v>5440.1429379299998</v>
      </c>
      <c r="AK27" s="5">
        <v>8476.6882524280009</v>
      </c>
      <c r="AN27" s="30">
        <v>2009</v>
      </c>
      <c r="AO27" s="5">
        <v>2011.7702352150002</v>
      </c>
      <c r="AP27" s="5">
        <v>14312.359341999998</v>
      </c>
      <c r="AQ27" s="5">
        <v>95.236515400000002</v>
      </c>
      <c r="AR27" s="5">
        <v>174.1457632</v>
      </c>
      <c r="AS27" s="5">
        <v>5440.1429379300007</v>
      </c>
      <c r="AT27" s="5">
        <v>8668.3835724919973</v>
      </c>
      <c r="AU27" s="17"/>
    </row>
    <row r="28" spans="1:56" x14ac:dyDescent="0.25">
      <c r="A28" s="16">
        <v>2010</v>
      </c>
      <c r="B28" s="15">
        <f t="shared" si="0"/>
        <v>8881.383295399999</v>
      </c>
      <c r="C28" s="15">
        <f t="shared" si="1"/>
        <v>19794.975547222799</v>
      </c>
      <c r="D28" s="15">
        <f t="shared" si="2"/>
        <v>372.00583045799999</v>
      </c>
      <c r="E28" s="15">
        <f t="shared" si="3"/>
        <v>3774.353556</v>
      </c>
      <c r="F28" s="15">
        <f t="shared" si="4"/>
        <v>901.31759863600007</v>
      </c>
      <c r="G28" s="15">
        <f t="shared" si="5"/>
        <v>2451.258477547</v>
      </c>
      <c r="H28" s="15">
        <f>SUM(B28:G28)</f>
        <v>36175.2943052638</v>
      </c>
      <c r="I28" s="5"/>
      <c r="K28" s="16">
        <v>2010</v>
      </c>
      <c r="L28" s="15">
        <f t="shared" ref="L28:Q28" si="32">W28+AO28</f>
        <v>8881.383295399999</v>
      </c>
      <c r="M28" s="15">
        <f t="shared" si="32"/>
        <v>19794.4916373329</v>
      </c>
      <c r="N28" s="15">
        <f t="shared" si="32"/>
        <v>370.02882502099999</v>
      </c>
      <c r="O28" s="15">
        <f t="shared" si="32"/>
        <v>3774.353556</v>
      </c>
      <c r="P28" s="15">
        <f t="shared" si="32"/>
        <v>901.31759863599996</v>
      </c>
      <c r="Q28" s="15">
        <f t="shared" si="32"/>
        <v>2451.4917469160005</v>
      </c>
      <c r="R28" s="15">
        <f>SUM(L28:Q28)</f>
        <v>36173.0666593059</v>
      </c>
      <c r="S28" s="5"/>
      <c r="V28" s="30">
        <v>2010</v>
      </c>
      <c r="W28" s="5">
        <v>8457</v>
      </c>
      <c r="X28" s="5">
        <v>16598</v>
      </c>
      <c r="Y28" s="5">
        <v>223</v>
      </c>
      <c r="Z28" s="5">
        <v>3649</v>
      </c>
      <c r="AA28" s="5">
        <v>7</v>
      </c>
      <c r="AB28" s="5">
        <v>418</v>
      </c>
      <c r="AE28" s="30">
        <v>2010</v>
      </c>
      <c r="AF28" s="5">
        <v>424.38329539999995</v>
      </c>
      <c r="AG28" s="5">
        <v>3196.9755472227998</v>
      </c>
      <c r="AH28" s="5">
        <v>149.00583045799999</v>
      </c>
      <c r="AI28" s="5">
        <v>125.353556</v>
      </c>
      <c r="AJ28" s="5">
        <v>894.31759863600007</v>
      </c>
      <c r="AK28" s="5">
        <v>2033.258477547</v>
      </c>
      <c r="AN28" s="30">
        <v>2010</v>
      </c>
      <c r="AO28" s="5">
        <v>424.38329539999995</v>
      </c>
      <c r="AP28" s="5">
        <v>3196.4916373329002</v>
      </c>
      <c r="AQ28" s="5">
        <v>147.02882502099999</v>
      </c>
      <c r="AR28" s="5">
        <v>125.353556</v>
      </c>
      <c r="AS28" s="5">
        <v>894.31759863599996</v>
      </c>
      <c r="AT28" s="5">
        <v>2033.4917469160005</v>
      </c>
      <c r="AU28" s="17"/>
    </row>
    <row r="29" spans="1:56" x14ac:dyDescent="0.25">
      <c r="A29" s="16">
        <v>2011</v>
      </c>
      <c r="B29" s="15">
        <f t="shared" si="0"/>
        <v>5513.1520134000002</v>
      </c>
      <c r="C29" s="15">
        <f t="shared" si="1"/>
        <v>14521.967291084</v>
      </c>
      <c r="D29" s="15">
        <f t="shared" si="2"/>
        <v>356.06725599999999</v>
      </c>
      <c r="E29" s="15">
        <f t="shared" si="3"/>
        <v>5241.7739116000002</v>
      </c>
      <c r="F29" s="15">
        <f t="shared" si="4"/>
        <v>164.61564240000001</v>
      </c>
      <c r="G29" s="15">
        <f t="shared" si="5"/>
        <v>8891.8687374000001</v>
      </c>
      <c r="H29" s="15">
        <f>SUM(B29:G29)</f>
        <v>34689.444851884</v>
      </c>
      <c r="I29" s="5"/>
      <c r="K29" s="16">
        <v>2011</v>
      </c>
      <c r="L29" s="15">
        <f t="shared" ref="L29:Q29" si="33">W29+AO29</f>
        <v>5513.1520134000002</v>
      </c>
      <c r="M29" s="15">
        <f t="shared" si="33"/>
        <v>14521.615748491</v>
      </c>
      <c r="N29" s="15">
        <f t="shared" si="33"/>
        <v>356.06725599999999</v>
      </c>
      <c r="O29" s="15">
        <f t="shared" si="33"/>
        <v>5241.7739116000002</v>
      </c>
      <c r="P29" s="15">
        <f t="shared" si="33"/>
        <v>164.61564240000001</v>
      </c>
      <c r="Q29" s="15">
        <f t="shared" si="33"/>
        <v>8898.524244299997</v>
      </c>
      <c r="R29" s="15">
        <f>SUM(L29:Q29)</f>
        <v>34695.748816191001</v>
      </c>
      <c r="S29" s="5"/>
      <c r="V29" s="30">
        <v>2011</v>
      </c>
      <c r="W29" s="5">
        <v>5260</v>
      </c>
      <c r="X29" s="5">
        <v>10694</v>
      </c>
      <c r="Y29" s="5">
        <v>320</v>
      </c>
      <c r="Z29" s="5">
        <v>5159</v>
      </c>
      <c r="AA29" s="5">
        <v>146</v>
      </c>
      <c r="AB29" s="5">
        <v>35</v>
      </c>
      <c r="AE29" s="30">
        <v>2011</v>
      </c>
      <c r="AF29" s="5">
        <v>253.15201340000002</v>
      </c>
      <c r="AG29" s="5">
        <v>3827.967291084</v>
      </c>
      <c r="AH29" s="5">
        <v>36.067256</v>
      </c>
      <c r="AI29" s="5">
        <v>82.773911600000005</v>
      </c>
      <c r="AJ29" s="5">
        <v>18.615642399999999</v>
      </c>
      <c r="AK29" s="5">
        <v>8856.8687374000001</v>
      </c>
      <c r="AN29" s="30">
        <v>2011</v>
      </c>
      <c r="AO29" s="5">
        <v>253.15201340000002</v>
      </c>
      <c r="AP29" s="5">
        <v>3827.615748491</v>
      </c>
      <c r="AQ29" s="5">
        <v>36.067256</v>
      </c>
      <c r="AR29" s="5">
        <v>82.773911600000005</v>
      </c>
      <c r="AS29" s="5">
        <v>18.615642399999999</v>
      </c>
      <c r="AT29" s="5">
        <v>8863.524244299997</v>
      </c>
      <c r="AU29" s="17"/>
    </row>
    <row r="30" spans="1:56" s="17" customFormat="1" x14ac:dyDescent="0.25">
      <c r="A30" s="16">
        <v>2012</v>
      </c>
      <c r="B30" s="15">
        <f t="shared" si="0"/>
        <v>6636.5939179119996</v>
      </c>
      <c r="C30" s="15">
        <f t="shared" si="1"/>
        <v>11080.178387529999</v>
      </c>
      <c r="D30" s="15">
        <f t="shared" si="2"/>
        <v>406.87650819999999</v>
      </c>
      <c r="E30" s="15">
        <f t="shared" si="3"/>
        <v>8795.035455199999</v>
      </c>
      <c r="F30" s="15">
        <f t="shared" si="4"/>
        <v>23.788489599999998</v>
      </c>
      <c r="G30" s="15">
        <f t="shared" si="5"/>
        <v>6011.7560889529996</v>
      </c>
      <c r="H30" s="15">
        <f t="shared" ref="H30" si="34">SUM(B30:G30)</f>
        <v>32954.228847394996</v>
      </c>
      <c r="I30" s="5">
        <f t="shared" ref="I30:I35" si="35">SUM(B42:G42)</f>
        <v>113894.05579775</v>
      </c>
      <c r="K30" s="16">
        <v>2012</v>
      </c>
      <c r="L30" s="15">
        <f t="shared" ref="L30:Q30" si="36">W30+AO30</f>
        <v>6636.5939179119996</v>
      </c>
      <c r="M30" s="15">
        <f t="shared" si="36"/>
        <v>11078.84370299</v>
      </c>
      <c r="N30" s="15">
        <f t="shared" si="36"/>
        <v>406.87650819999999</v>
      </c>
      <c r="O30" s="15">
        <f t="shared" si="36"/>
        <v>8149.3718272000006</v>
      </c>
      <c r="P30" s="15">
        <f t="shared" si="36"/>
        <v>23.788489599999998</v>
      </c>
      <c r="Q30" s="15">
        <f t="shared" si="36"/>
        <v>6374.3096819129969</v>
      </c>
      <c r="R30" s="15">
        <f t="shared" ref="R30" si="37">SUM(L30:Q30)</f>
        <v>32669.784127814994</v>
      </c>
      <c r="S30" s="5">
        <f t="shared" ref="S30:S35" si="38">SUM(L42:Q42)</f>
        <v>113707.51454012496</v>
      </c>
      <c r="V30" s="30">
        <v>2012</v>
      </c>
      <c r="W30" s="5">
        <v>5893</v>
      </c>
      <c r="X30" s="5">
        <v>8695</v>
      </c>
      <c r="Y30" s="5">
        <v>345</v>
      </c>
      <c r="Z30" s="5">
        <v>3074</v>
      </c>
      <c r="AA30" s="5">
        <v>4</v>
      </c>
      <c r="AB30" s="5">
        <v>57</v>
      </c>
      <c r="AE30" s="30">
        <v>2012</v>
      </c>
      <c r="AF30" s="5">
        <v>743.59391791199994</v>
      </c>
      <c r="AG30" s="5">
        <v>2385.1783875299993</v>
      </c>
      <c r="AH30" s="5">
        <v>61.876508199999996</v>
      </c>
      <c r="AI30" s="5">
        <v>5721.0354551999999</v>
      </c>
      <c r="AJ30" s="5">
        <v>19.788489599999998</v>
      </c>
      <c r="AK30" s="5">
        <v>5954.7560889529996</v>
      </c>
      <c r="AL30"/>
      <c r="AM30"/>
      <c r="AN30" s="30">
        <v>2012</v>
      </c>
      <c r="AO30" s="5">
        <v>743.59391791199994</v>
      </c>
      <c r="AP30" s="5">
        <v>2383.8437029900001</v>
      </c>
      <c r="AQ30" s="5">
        <v>61.876508199999996</v>
      </c>
      <c r="AR30" s="5">
        <v>5075.3718272000006</v>
      </c>
      <c r="AS30" s="5">
        <v>19.788489599999998</v>
      </c>
      <c r="AT30" s="5">
        <v>6317.3096819129969</v>
      </c>
      <c r="AV30"/>
      <c r="AW30"/>
      <c r="AX30"/>
      <c r="AY30"/>
      <c r="AZ30"/>
      <c r="BA30"/>
      <c r="BB30"/>
      <c r="BC30"/>
      <c r="BD30"/>
    </row>
    <row r="31" spans="1:56" s="17" customFormat="1" x14ac:dyDescent="0.25">
      <c r="A31" s="16">
        <v>2013</v>
      </c>
      <c r="B31" s="15">
        <f t="shared" si="0"/>
        <v>14408.562387200001</v>
      </c>
      <c r="C31" s="15">
        <f t="shared" si="1"/>
        <v>13896.363351386099</v>
      </c>
      <c r="D31" s="15">
        <f t="shared" si="2"/>
        <v>258.79447599999997</v>
      </c>
      <c r="E31" s="15">
        <f t="shared" si="3"/>
        <v>1592.2009124000001</v>
      </c>
      <c r="F31" s="15">
        <f t="shared" si="4"/>
        <v>631.04311364</v>
      </c>
      <c r="G31" s="15">
        <f t="shared" si="5"/>
        <v>36976.674001416002</v>
      </c>
      <c r="H31" s="15">
        <f>SUM(B31:G31)</f>
        <v>67763.6382420421</v>
      </c>
      <c r="I31" s="5">
        <f t="shared" si="35"/>
        <v>113894.05579775</v>
      </c>
      <c r="K31" s="16">
        <v>2013</v>
      </c>
      <c r="L31" s="15">
        <f t="shared" ref="L31:Q31" si="39">W31+AO31</f>
        <v>14408.562387199996</v>
      </c>
      <c r="M31" s="15">
        <f t="shared" si="39"/>
        <v>13880.4813134337</v>
      </c>
      <c r="N31" s="15">
        <f t="shared" si="39"/>
        <v>258.79447599999997</v>
      </c>
      <c r="O31" s="15">
        <f t="shared" si="39"/>
        <v>1592.2009124000001</v>
      </c>
      <c r="P31" s="15">
        <f t="shared" si="39"/>
        <v>631.04311363999989</v>
      </c>
      <c r="Q31" s="15">
        <f t="shared" si="39"/>
        <v>56157.903620960009</v>
      </c>
      <c r="R31" s="15">
        <f>SUM(L31:Q31)</f>
        <v>86928.985823633702</v>
      </c>
      <c r="S31" s="5">
        <f t="shared" si="38"/>
        <v>113707.51454012496</v>
      </c>
      <c r="V31" s="30">
        <v>2013</v>
      </c>
      <c r="W31" s="5">
        <v>5498</v>
      </c>
      <c r="X31" s="5">
        <v>9187</v>
      </c>
      <c r="Y31" s="5">
        <v>133</v>
      </c>
      <c r="Z31" s="5">
        <v>1480</v>
      </c>
      <c r="AA31" s="5">
        <v>113</v>
      </c>
      <c r="AB31" s="5">
        <v>2578</v>
      </c>
      <c r="AE31" s="30">
        <v>2013</v>
      </c>
      <c r="AF31" s="5">
        <v>8910.5623872000015</v>
      </c>
      <c r="AG31" s="5">
        <v>4709.3633513860996</v>
      </c>
      <c r="AH31" s="5">
        <v>125.79447599999999</v>
      </c>
      <c r="AI31" s="5">
        <v>112.20091240000001</v>
      </c>
      <c r="AJ31" s="5">
        <v>518.04311364</v>
      </c>
      <c r="AK31" s="5">
        <v>34398.674001416002</v>
      </c>
      <c r="AL31"/>
      <c r="AM31"/>
      <c r="AN31" s="30">
        <v>2013</v>
      </c>
      <c r="AO31" s="5">
        <v>8910.562387199996</v>
      </c>
      <c r="AP31" s="5">
        <v>4693.4813134337001</v>
      </c>
      <c r="AQ31" s="5">
        <v>125.79447599999999</v>
      </c>
      <c r="AR31" s="5">
        <v>112.20091240000001</v>
      </c>
      <c r="AS31" s="5">
        <v>518.04311363999989</v>
      </c>
      <c r="AT31" s="5">
        <v>53579.903620960009</v>
      </c>
      <c r="AV31"/>
      <c r="AW31"/>
      <c r="AX31"/>
      <c r="AY31"/>
      <c r="AZ31"/>
      <c r="BA31"/>
      <c r="BB31"/>
      <c r="BC31"/>
      <c r="BD31"/>
    </row>
    <row r="32" spans="1:56" x14ac:dyDescent="0.25">
      <c r="A32" s="16">
        <v>2014</v>
      </c>
      <c r="B32" s="15">
        <f t="shared" si="0"/>
        <v>5578.2977444160006</v>
      </c>
      <c r="C32" s="15">
        <f t="shared" si="1"/>
        <v>13498.608350120001</v>
      </c>
      <c r="D32" s="15">
        <f t="shared" si="2"/>
        <v>342.31160299999999</v>
      </c>
      <c r="E32" s="15">
        <f t="shared" si="3"/>
        <v>2908.3056738</v>
      </c>
      <c r="F32" s="15">
        <f t="shared" si="4"/>
        <v>316.40338513899997</v>
      </c>
      <c r="G32" s="15">
        <f t="shared" si="5"/>
        <v>12993.809247708999</v>
      </c>
      <c r="H32" s="15">
        <f>SUM(B32:G32)</f>
        <v>35637.736004184</v>
      </c>
      <c r="I32" s="5">
        <f t="shared" si="35"/>
        <v>113894.05579775</v>
      </c>
      <c r="K32" s="16">
        <v>2014</v>
      </c>
      <c r="L32" s="15">
        <f t="shared" ref="L32:Q32" si="40">W32+AO32</f>
        <v>5578.2977444160006</v>
      </c>
      <c r="M32" s="15">
        <f t="shared" si="40"/>
        <v>13496.368760130001</v>
      </c>
      <c r="N32" s="15">
        <f t="shared" si="40"/>
        <v>342.31160299999999</v>
      </c>
      <c r="O32" s="15">
        <f t="shared" si="40"/>
        <v>2908.3056738</v>
      </c>
      <c r="P32" s="15">
        <f t="shared" si="40"/>
        <v>316.40338513900002</v>
      </c>
      <c r="Q32" s="15">
        <f t="shared" si="40"/>
        <v>17603.903066704992</v>
      </c>
      <c r="R32" s="15">
        <f>SUM(L32:Q32)</f>
        <v>40245.59023319</v>
      </c>
      <c r="S32" s="5">
        <f t="shared" si="38"/>
        <v>113707.51454012496</v>
      </c>
      <c r="V32" s="30">
        <v>2014</v>
      </c>
      <c r="W32" s="5">
        <v>4038</v>
      </c>
      <c r="X32" s="5">
        <v>9871</v>
      </c>
      <c r="Y32" s="5">
        <v>227</v>
      </c>
      <c r="Z32" s="5">
        <v>2487</v>
      </c>
      <c r="AA32" s="5">
        <v>118</v>
      </c>
      <c r="AB32" s="5">
        <v>401</v>
      </c>
      <c r="AE32" s="30">
        <v>2014</v>
      </c>
      <c r="AF32" s="5">
        <v>1540.2977444160001</v>
      </c>
      <c r="AG32" s="5">
        <v>3627.6083501200001</v>
      </c>
      <c r="AH32" s="5">
        <v>115.31160300000001</v>
      </c>
      <c r="AI32" s="5">
        <v>421.30567379999997</v>
      </c>
      <c r="AJ32" s="5">
        <v>198.40338513899999</v>
      </c>
      <c r="AK32" s="5">
        <v>12592.809247708999</v>
      </c>
      <c r="AN32" s="30">
        <v>2014</v>
      </c>
      <c r="AO32" s="5">
        <v>1540.2977444160001</v>
      </c>
      <c r="AP32" s="5">
        <v>3625.3687601300003</v>
      </c>
      <c r="AQ32" s="5">
        <v>115.31160300000001</v>
      </c>
      <c r="AR32" s="5">
        <v>421.30567379999997</v>
      </c>
      <c r="AS32" s="5">
        <v>198.40338513900002</v>
      </c>
      <c r="AT32" s="5">
        <v>17202.903066704992</v>
      </c>
      <c r="AU32" s="17"/>
    </row>
    <row r="33" spans="1:56" s="17" customFormat="1" x14ac:dyDescent="0.25">
      <c r="A33" s="16">
        <v>2015</v>
      </c>
      <c r="B33" s="15">
        <f t="shared" si="0"/>
        <v>6379.36848861</v>
      </c>
      <c r="C33" s="15">
        <f t="shared" si="1"/>
        <v>34589.832284400007</v>
      </c>
      <c r="D33" s="15">
        <f t="shared" si="2"/>
        <v>415.51389999999998</v>
      </c>
      <c r="E33" s="15">
        <f t="shared" si="3"/>
        <v>1453.5139984</v>
      </c>
      <c r="F33" s="15">
        <f t="shared" si="4"/>
        <v>510.25789979999996</v>
      </c>
      <c r="G33" s="15">
        <f t="shared" si="5"/>
        <v>28495.378682196002</v>
      </c>
      <c r="H33" s="15">
        <f>SUM(B33:G33)</f>
        <v>71843.865253406009</v>
      </c>
      <c r="I33" s="5">
        <f t="shared" si="35"/>
        <v>143702.96983418232</v>
      </c>
      <c r="K33" s="16">
        <v>2015</v>
      </c>
      <c r="L33" s="15">
        <f t="shared" ref="L33:Q33" si="41">W33+AO33</f>
        <v>6379.36848861</v>
      </c>
      <c r="M33" s="15">
        <f t="shared" si="41"/>
        <v>34453.5631804</v>
      </c>
      <c r="N33" s="15">
        <f t="shared" si="41"/>
        <v>415.51389999999998</v>
      </c>
      <c r="O33" s="15">
        <f t="shared" si="41"/>
        <v>1453.5139984</v>
      </c>
      <c r="P33" s="15">
        <f t="shared" si="41"/>
        <v>510.25789979999996</v>
      </c>
      <c r="Q33" s="15">
        <f t="shared" si="41"/>
        <v>30303.177527165008</v>
      </c>
      <c r="R33" s="15">
        <f>SUM(L33:Q33)</f>
        <v>73515.394994375005</v>
      </c>
      <c r="S33" s="5">
        <f t="shared" si="38"/>
        <v>141354.19580202887</v>
      </c>
      <c r="V33" s="30">
        <v>2015</v>
      </c>
      <c r="W33" s="5">
        <v>4271</v>
      </c>
      <c r="X33" s="5">
        <v>6218</v>
      </c>
      <c r="Y33" s="5">
        <v>313</v>
      </c>
      <c r="Z33" s="5">
        <v>1336</v>
      </c>
      <c r="AA33" s="5">
        <v>247</v>
      </c>
      <c r="AB33" s="5">
        <v>656</v>
      </c>
      <c r="AE33" s="30">
        <v>2015</v>
      </c>
      <c r="AF33" s="5">
        <v>2108.36848861</v>
      </c>
      <c r="AG33" s="5">
        <v>28371.832284400003</v>
      </c>
      <c r="AH33" s="5">
        <v>102.51389999999999</v>
      </c>
      <c r="AI33" s="5">
        <v>117.51399839999999</v>
      </c>
      <c r="AJ33" s="5">
        <v>263.25789979999996</v>
      </c>
      <c r="AK33" s="5">
        <v>27839.378682196002</v>
      </c>
      <c r="AL33"/>
      <c r="AM33"/>
      <c r="AN33" s="30">
        <v>2015</v>
      </c>
      <c r="AO33" s="5">
        <v>2108.36848861</v>
      </c>
      <c r="AP33" s="5">
        <v>28235.5631804</v>
      </c>
      <c r="AQ33" s="5">
        <v>102.51389999999999</v>
      </c>
      <c r="AR33" s="5">
        <v>117.51399839999999</v>
      </c>
      <c r="AS33" s="5">
        <v>263.25789979999996</v>
      </c>
      <c r="AT33" s="5">
        <v>29647.177527165008</v>
      </c>
      <c r="AV33"/>
      <c r="AW33"/>
      <c r="AX33"/>
      <c r="AY33"/>
      <c r="AZ33"/>
      <c r="BA33"/>
      <c r="BB33"/>
      <c r="BC33"/>
      <c r="BD33"/>
    </row>
    <row r="34" spans="1:56" s="17" customFormat="1" x14ac:dyDescent="0.25">
      <c r="A34" s="16">
        <v>2016</v>
      </c>
      <c r="B34" s="15">
        <f t="shared" si="0"/>
        <v>5862.3960101000002</v>
      </c>
      <c r="C34" s="15">
        <f t="shared" si="1"/>
        <v>34029.964315610996</v>
      </c>
      <c r="D34" s="15">
        <f t="shared" si="2"/>
        <v>110.99275879999999</v>
      </c>
      <c r="E34" s="15">
        <f t="shared" si="3"/>
        <v>678.10039059999997</v>
      </c>
      <c r="F34" s="15">
        <f t="shared" si="4"/>
        <v>434.65240534099996</v>
      </c>
      <c r="G34" s="15">
        <f t="shared" si="5"/>
        <v>45716.671303969997</v>
      </c>
      <c r="H34" s="15">
        <f t="shared" ref="H34:H35" si="42">SUM(B34:G34)</f>
        <v>86832.777184421982</v>
      </c>
      <c r="I34" s="5">
        <f t="shared" si="35"/>
        <v>143702.96983418232</v>
      </c>
      <c r="K34" s="16">
        <v>2016</v>
      </c>
      <c r="L34" s="15">
        <f t="shared" ref="L34:Q34" si="43">W34+AO34</f>
        <v>5862.3960101000002</v>
      </c>
      <c r="M34" s="15">
        <f t="shared" si="43"/>
        <v>33930.276756334002</v>
      </c>
      <c r="N34" s="15">
        <f t="shared" si="43"/>
        <v>110.99275879999999</v>
      </c>
      <c r="O34" s="15">
        <f t="shared" si="43"/>
        <v>678.10039059999997</v>
      </c>
      <c r="P34" s="15">
        <f t="shared" si="43"/>
        <v>434.65240534100008</v>
      </c>
      <c r="Q34" s="15">
        <f t="shared" si="43"/>
        <v>43344.148211869979</v>
      </c>
      <c r="R34" s="15">
        <f t="shared" ref="R34:R35" si="44">SUM(L34:Q34)</f>
        <v>84360.56653304497</v>
      </c>
      <c r="S34" s="5">
        <f t="shared" si="38"/>
        <v>141354.19580202887</v>
      </c>
      <c r="V34" s="30">
        <v>2016</v>
      </c>
      <c r="W34" s="5">
        <v>3798</v>
      </c>
      <c r="X34" s="5">
        <v>5694</v>
      </c>
      <c r="Y34" s="5">
        <v>5</v>
      </c>
      <c r="Z34" s="5">
        <v>632</v>
      </c>
      <c r="AA34" s="5">
        <v>13</v>
      </c>
      <c r="AB34" s="5">
        <v>848</v>
      </c>
      <c r="AE34" s="30">
        <v>2016</v>
      </c>
      <c r="AF34" s="5">
        <v>2064.3960101000002</v>
      </c>
      <c r="AG34" s="5">
        <v>28335.964315610996</v>
      </c>
      <c r="AH34" s="5">
        <v>105.99275879999999</v>
      </c>
      <c r="AI34" s="5">
        <v>46.100390599999997</v>
      </c>
      <c r="AJ34" s="5">
        <v>421.65240534099996</v>
      </c>
      <c r="AK34" s="5">
        <v>44868.671303969997</v>
      </c>
      <c r="AL34"/>
      <c r="AM34"/>
      <c r="AN34" s="30">
        <v>2016</v>
      </c>
      <c r="AO34" s="5">
        <v>2064.3960101000002</v>
      </c>
      <c r="AP34" s="5">
        <v>28236.276756334002</v>
      </c>
      <c r="AQ34" s="5">
        <v>105.99275879999999</v>
      </c>
      <c r="AR34" s="5">
        <v>46.100390599999997</v>
      </c>
      <c r="AS34" s="5">
        <v>421.65240534100008</v>
      </c>
      <c r="AT34" s="5">
        <v>42496.148211869979</v>
      </c>
      <c r="AV34"/>
      <c r="AW34"/>
      <c r="AX34"/>
      <c r="AY34"/>
      <c r="AZ34"/>
      <c r="BA34"/>
      <c r="BB34"/>
      <c r="BC34"/>
      <c r="BD34"/>
    </row>
    <row r="35" spans="1:56" s="17" customFormat="1" x14ac:dyDescent="0.25">
      <c r="A35" s="16">
        <v>2017</v>
      </c>
      <c r="B35" s="15">
        <f t="shared" si="0"/>
        <v>3158.6368628</v>
      </c>
      <c r="C35" s="15">
        <f t="shared" si="1"/>
        <v>4262.1661103999995</v>
      </c>
      <c r="D35" s="15">
        <f t="shared" si="2"/>
        <v>982.15491240000006</v>
      </c>
      <c r="E35" s="15">
        <f t="shared" si="3"/>
        <v>893.57691360000001</v>
      </c>
      <c r="F35" s="15">
        <f t="shared" si="4"/>
        <v>1763.2019935999999</v>
      </c>
      <c r="G35" s="15">
        <f t="shared" si="5"/>
        <v>5703.6451702599988</v>
      </c>
      <c r="H35" s="15">
        <f t="shared" si="42"/>
        <v>16763.381963059997</v>
      </c>
      <c r="I35" s="7">
        <f t="shared" si="35"/>
        <v>143702.96983418232</v>
      </c>
      <c r="J35" s="25"/>
      <c r="K35" s="16">
        <v>2017</v>
      </c>
      <c r="L35" s="15">
        <f t="shared" ref="L35:Q35" si="45">W35+AO35</f>
        <v>3158.6368628</v>
      </c>
      <c r="M35" s="15">
        <f t="shared" si="45"/>
        <v>4262.1661103999995</v>
      </c>
      <c r="N35" s="15">
        <f t="shared" si="45"/>
        <v>982.15491240000006</v>
      </c>
      <c r="O35" s="15">
        <f t="shared" si="45"/>
        <v>893.57691360000001</v>
      </c>
      <c r="P35" s="15">
        <f t="shared" si="45"/>
        <v>1763.2019935999992</v>
      </c>
      <c r="Q35" s="15">
        <f t="shared" si="45"/>
        <v>5706.5437583899984</v>
      </c>
      <c r="R35" s="15">
        <f t="shared" si="44"/>
        <v>16766.280551189997</v>
      </c>
      <c r="S35" s="7">
        <f t="shared" si="38"/>
        <v>141354.19580202887</v>
      </c>
      <c r="V35" s="30">
        <v>2017</v>
      </c>
      <c r="W35" s="5">
        <v>2997</v>
      </c>
      <c r="X35" s="5">
        <v>1524</v>
      </c>
      <c r="Y35" s="5">
        <v>892</v>
      </c>
      <c r="Z35" s="5">
        <v>864</v>
      </c>
      <c r="AA35" s="5">
        <v>3</v>
      </c>
      <c r="AB35" s="5">
        <v>268</v>
      </c>
      <c r="AE35" s="30">
        <v>2017</v>
      </c>
      <c r="AF35" s="5">
        <v>161.63686279999999</v>
      </c>
      <c r="AG35" s="5">
        <v>2738.1661103999991</v>
      </c>
      <c r="AH35" s="5">
        <v>90.154912400000001</v>
      </c>
      <c r="AI35" s="5">
        <v>29.576913600000001</v>
      </c>
      <c r="AJ35" s="5">
        <v>1760.2019935999999</v>
      </c>
      <c r="AK35" s="5">
        <v>5435.6451702599988</v>
      </c>
      <c r="AL35"/>
      <c r="AM35"/>
      <c r="AN35" s="30">
        <v>2017</v>
      </c>
      <c r="AO35" s="5">
        <v>161.63686279999999</v>
      </c>
      <c r="AP35" s="5">
        <v>2738.1661103999991</v>
      </c>
      <c r="AQ35" s="5">
        <v>90.154912400000001</v>
      </c>
      <c r="AR35" s="5">
        <v>29.576913600000001</v>
      </c>
      <c r="AS35" s="5">
        <v>1760.2019935999992</v>
      </c>
      <c r="AT35" s="5">
        <v>5438.5437583899984</v>
      </c>
      <c r="AV35"/>
      <c r="AW35"/>
      <c r="AX35"/>
      <c r="AY35"/>
      <c r="AZ35"/>
      <c r="BA35"/>
      <c r="BB35"/>
      <c r="BC35"/>
      <c r="BD35"/>
    </row>
    <row r="36" spans="1:56" x14ac:dyDescent="0.25">
      <c r="A36" s="18" t="s">
        <v>71</v>
      </c>
      <c r="B36" s="5">
        <f>AVERAGE(B17:B25)</f>
        <v>26911.326807535712</v>
      </c>
      <c r="C36" s="5">
        <f t="shared" ref="C36:G36" si="46">AVERAGE(C17:C25)</f>
        <v>37390.866684136789</v>
      </c>
      <c r="D36" s="5">
        <f t="shared" si="46"/>
        <v>6739.8198508566675</v>
      </c>
      <c r="E36" s="5">
        <f t="shared" si="46"/>
        <v>9474.7958921777772</v>
      </c>
      <c r="F36" s="5">
        <f t="shared" si="46"/>
        <v>2402.2684792374002</v>
      </c>
      <c r="G36" s="5">
        <f t="shared" si="46"/>
        <v>20075.85191727788</v>
      </c>
      <c r="H36" s="59"/>
      <c r="I36" s="7"/>
      <c r="J36" s="25"/>
      <c r="K36" s="18" t="s">
        <v>71</v>
      </c>
      <c r="L36" s="5">
        <f>AVERAGE(L17:L25)</f>
        <v>26720.67021799893</v>
      </c>
      <c r="M36" s="5">
        <f t="shared" ref="M36:Q36" si="47">AVERAGE(M17:M25)</f>
        <v>36874.890688985462</v>
      </c>
      <c r="N36" s="5">
        <f t="shared" si="47"/>
        <v>6507.9936442611106</v>
      </c>
      <c r="O36" s="5">
        <f t="shared" si="47"/>
        <v>9020.5104069544432</v>
      </c>
      <c r="P36" s="5">
        <f t="shared" si="47"/>
        <v>2402.2684792374002</v>
      </c>
      <c r="Q36" s="5">
        <f t="shared" si="47"/>
        <v>19553.189794611815</v>
      </c>
      <c r="R36" s="59"/>
      <c r="S36" s="7"/>
      <c r="T36" s="17"/>
      <c r="U36" s="17"/>
      <c r="V36" s="18"/>
      <c r="W36" s="5"/>
      <c r="X36" s="5"/>
      <c r="Y36" s="5"/>
      <c r="Z36" s="5"/>
      <c r="AA36" s="5"/>
      <c r="AB36" s="5"/>
      <c r="AE36" s="17"/>
      <c r="AF36" s="17"/>
      <c r="AG36" s="17"/>
      <c r="AH36" s="17"/>
      <c r="AI36" s="17"/>
      <c r="AJ36" s="17"/>
      <c r="AK36" s="17"/>
      <c r="AN36" s="18"/>
      <c r="AO36" s="5"/>
      <c r="AP36" s="5"/>
      <c r="AQ36" s="5"/>
      <c r="AR36" s="5"/>
      <c r="AS36" s="5"/>
      <c r="AT36" s="5"/>
    </row>
    <row r="37" spans="1:56" x14ac:dyDescent="0.25">
      <c r="A37" s="18" t="s">
        <v>92</v>
      </c>
      <c r="B37" s="5">
        <f>AVERAGE(B30:B32)</f>
        <v>8874.4846831760005</v>
      </c>
      <c r="C37" s="5">
        <f t="shared" ref="C37" si="48">AVERAGE(C30:C32)</f>
        <v>12825.0500296787</v>
      </c>
      <c r="D37" s="5">
        <f>AVERAGE(D30:D35)</f>
        <v>419.44069306666671</v>
      </c>
      <c r="E37" s="5">
        <f t="shared" ref="E37:G37" si="49">AVERAGE(E30:E35)</f>
        <v>2720.1222239999997</v>
      </c>
      <c r="F37" s="5">
        <f t="shared" si="49"/>
        <v>613.22454785333332</v>
      </c>
      <c r="G37" s="5">
        <f t="shared" si="49"/>
        <v>22649.655749084002</v>
      </c>
      <c r="H37" s="59"/>
      <c r="I37" s="7"/>
      <c r="J37" s="25"/>
      <c r="K37" s="18" t="s">
        <v>92</v>
      </c>
      <c r="L37" s="5">
        <f>AVERAGE(L30:L32)</f>
        <v>8874.4846831759987</v>
      </c>
      <c r="M37" s="5">
        <f t="shared" ref="M37" si="50">AVERAGE(M30:M32)</f>
        <v>12818.564592184566</v>
      </c>
      <c r="N37" s="5">
        <f>AVERAGE(N30:N35)</f>
        <v>419.44069306666671</v>
      </c>
      <c r="O37" s="5">
        <f t="shared" ref="O37:Q37" si="51">AVERAGE(O30:O35)</f>
        <v>2612.5116193333333</v>
      </c>
      <c r="P37" s="5">
        <f t="shared" si="51"/>
        <v>613.22454785333321</v>
      </c>
      <c r="Q37" s="5">
        <f t="shared" si="51"/>
        <v>26581.664311167162</v>
      </c>
      <c r="R37" s="59"/>
      <c r="S37" s="7"/>
      <c r="T37" s="17"/>
      <c r="U37" s="17"/>
      <c r="V37" s="18"/>
      <c r="W37" s="5"/>
      <c r="X37" s="5"/>
      <c r="Y37" s="5"/>
      <c r="Z37" s="5"/>
      <c r="AA37" s="5"/>
      <c r="AB37" s="5"/>
      <c r="AC37" s="17"/>
      <c r="AD37" s="17"/>
      <c r="AE37" s="17"/>
      <c r="AF37" s="17"/>
      <c r="AG37" s="17"/>
      <c r="AH37" s="17"/>
      <c r="AI37" s="17"/>
      <c r="AJ37" s="17"/>
      <c r="AK37" s="17"/>
      <c r="AL37" s="17"/>
      <c r="AM37" s="17"/>
      <c r="AN37" s="18"/>
      <c r="AO37" s="5"/>
      <c r="AP37" s="5"/>
      <c r="AQ37" s="5"/>
      <c r="AR37" s="5"/>
      <c r="AS37" s="5"/>
      <c r="AT37" s="5"/>
    </row>
    <row r="38" spans="1:56" x14ac:dyDescent="0.25">
      <c r="A38" s="18" t="s">
        <v>85</v>
      </c>
      <c r="B38" s="73">
        <f>B37/B36</f>
        <v>0.32976763823814759</v>
      </c>
      <c r="C38" s="73">
        <f t="shared" ref="C38:E38" si="52">C37/C36</f>
        <v>0.34299953884513124</v>
      </c>
      <c r="D38" s="73">
        <f t="shared" si="52"/>
        <v>6.2233220226702878E-2</v>
      </c>
      <c r="E38" s="73">
        <f t="shared" si="52"/>
        <v>0.28709032415628966</v>
      </c>
      <c r="F38" s="73">
        <f t="shared" ref="F38:G38" si="53">F37/F36</f>
        <v>0.25526894814354861</v>
      </c>
      <c r="G38" s="73">
        <f t="shared" si="53"/>
        <v>1.1282039657600298</v>
      </c>
      <c r="H38" s="59"/>
      <c r="I38" s="7"/>
      <c r="J38" s="25"/>
      <c r="K38" s="18" t="s">
        <v>85</v>
      </c>
      <c r="L38" s="73">
        <f>L37/L36</f>
        <v>0.33212058719987436</v>
      </c>
      <c r="M38" s="73">
        <f t="shared" ref="M38:Q38" si="54">M37/M36</f>
        <v>0.3476231211178471</v>
      </c>
      <c r="N38" s="73">
        <f t="shared" si="54"/>
        <v>6.4450077242552098E-2</v>
      </c>
      <c r="O38" s="73">
        <f t="shared" si="54"/>
        <v>0.28961904609291222</v>
      </c>
      <c r="P38" s="73">
        <f t="shared" si="54"/>
        <v>0.25526894814354856</v>
      </c>
      <c r="Q38" s="73">
        <f t="shared" si="54"/>
        <v>1.3594541141564611</v>
      </c>
      <c r="R38" s="59"/>
      <c r="S38" s="7"/>
      <c r="T38" s="17"/>
      <c r="U38" s="17"/>
      <c r="V38" s="76"/>
      <c r="W38" s="17"/>
      <c r="X38" s="17"/>
      <c r="Y38" s="17"/>
      <c r="Z38" s="17"/>
      <c r="AA38" s="17"/>
      <c r="AB38" s="17"/>
      <c r="AC38" s="17"/>
      <c r="AD38" s="17"/>
      <c r="AE38" s="17"/>
      <c r="AF38" s="17"/>
      <c r="AG38" s="17"/>
      <c r="AH38" s="17"/>
      <c r="AI38" s="17"/>
      <c r="AJ38" s="17"/>
      <c r="AK38" s="17"/>
      <c r="AL38" s="17"/>
      <c r="AM38" s="17"/>
    </row>
    <row r="39" spans="1:56" x14ac:dyDescent="0.25">
      <c r="A39" s="18" t="s">
        <v>335</v>
      </c>
      <c r="B39" s="73">
        <f>B42/B36</f>
        <v>1.1091042355754495</v>
      </c>
      <c r="C39" s="73">
        <f t="shared" ref="C39:G39" si="55">C42/C36</f>
        <v>1.0473980914549943</v>
      </c>
      <c r="D39" s="73">
        <f t="shared" si="55"/>
        <v>0.83190887741566744</v>
      </c>
      <c r="E39" s="73">
        <f t="shared" si="55"/>
        <v>0.97727399907838164</v>
      </c>
      <c r="F39" s="73">
        <f t="shared" si="55"/>
        <v>1.6365688575916573</v>
      </c>
      <c r="G39" s="73">
        <f t="shared" si="55"/>
        <v>1.2993521538425949</v>
      </c>
      <c r="H39" s="59"/>
      <c r="I39" s="7"/>
      <c r="J39" s="25"/>
      <c r="K39" s="18" t="s">
        <v>335</v>
      </c>
      <c r="L39" s="73">
        <f>L42/L36</f>
        <v>1.1170178855427011</v>
      </c>
      <c r="M39" s="73">
        <f t="shared" ref="M39:Q39" si="56">M42/M36</f>
        <v>1.0615875925107729</v>
      </c>
      <c r="N39" s="73">
        <f t="shared" si="56"/>
        <v>0.83552181792232838</v>
      </c>
      <c r="O39" s="73">
        <f t="shared" si="56"/>
        <v>1.0264908807002016</v>
      </c>
      <c r="P39" s="73">
        <f t="shared" si="56"/>
        <v>1.6365688575916573</v>
      </c>
      <c r="Q39" s="73">
        <f t="shared" si="56"/>
        <v>1.3340841930623648</v>
      </c>
      <c r="R39" s="59"/>
      <c r="S39" s="7"/>
      <c r="T39" s="17"/>
      <c r="U39" s="17"/>
      <c r="V39" s="342"/>
      <c r="W39" s="17"/>
      <c r="X39" s="17"/>
      <c r="Y39" s="17"/>
      <c r="Z39" s="17"/>
      <c r="AA39" s="17"/>
      <c r="AB39" s="17"/>
      <c r="AC39" s="17"/>
      <c r="AD39" s="17"/>
      <c r="AE39" s="17"/>
      <c r="AF39" s="17"/>
      <c r="AG39" s="17"/>
      <c r="AH39" s="17"/>
      <c r="AI39" s="17"/>
      <c r="AJ39" s="17"/>
      <c r="AK39" s="17"/>
      <c r="AL39" s="17"/>
      <c r="AM39" s="17"/>
      <c r="AU39" s="17"/>
      <c r="AV39" s="17"/>
    </row>
    <row r="40" spans="1:56" x14ac:dyDescent="0.25">
      <c r="K40" s="25"/>
      <c r="L40" s="50"/>
      <c r="M40" s="50"/>
      <c r="N40" s="50"/>
      <c r="O40" s="50"/>
      <c r="P40" s="50"/>
      <c r="Q40" s="50"/>
      <c r="V40" s="76"/>
      <c r="W40" s="17"/>
      <c r="X40" s="17"/>
      <c r="Y40" s="17"/>
    </row>
    <row r="41" spans="1:56" x14ac:dyDescent="0.25">
      <c r="A41" s="29" t="s">
        <v>20</v>
      </c>
      <c r="B41" s="29" t="s">
        <v>328</v>
      </c>
      <c r="C41" s="48" t="s">
        <v>328</v>
      </c>
      <c r="D41" s="48" t="s">
        <v>328</v>
      </c>
      <c r="E41" s="48" t="s">
        <v>328</v>
      </c>
      <c r="F41" s="48" t="s">
        <v>328</v>
      </c>
      <c r="G41" s="48" t="s">
        <v>328</v>
      </c>
      <c r="K41" s="28" t="s">
        <v>20</v>
      </c>
      <c r="L41" s="28" t="s">
        <v>329</v>
      </c>
      <c r="M41" s="28" t="s">
        <v>329</v>
      </c>
      <c r="N41" s="28" t="s">
        <v>329</v>
      </c>
      <c r="O41" s="28" t="s">
        <v>329</v>
      </c>
      <c r="P41" s="28" t="s">
        <v>329</v>
      </c>
      <c r="Q41" s="28" t="s">
        <v>329</v>
      </c>
      <c r="V41" s="76"/>
      <c r="W41" s="17"/>
      <c r="X41" s="17"/>
      <c r="Y41" s="17"/>
      <c r="Z41" s="17"/>
      <c r="AA41" s="17"/>
      <c r="AB41" s="17"/>
      <c r="AC41" s="17"/>
      <c r="AD41" s="17"/>
      <c r="AE41" s="17"/>
      <c r="AF41" s="17"/>
      <c r="AG41" s="17"/>
      <c r="AH41" s="17"/>
      <c r="AI41" s="17"/>
      <c r="AJ41" s="17"/>
      <c r="AK41" s="17"/>
      <c r="AL41" s="17"/>
      <c r="AM41" s="17"/>
      <c r="AU41" s="17"/>
    </row>
    <row r="42" spans="1:56" x14ac:dyDescent="0.25">
      <c r="A42" s="32">
        <v>2012</v>
      </c>
      <c r="B42" s="5">
        <f>VLOOKUP(VLOOKUP(3,D$138:$J$146,D$150,FALSE),$A$17:$G$25,D$149,FALSE)</f>
        <v>29847.466547192998</v>
      </c>
      <c r="C42" s="5">
        <f>VLOOKUP(VLOOKUP(3,E$138:$J$146,E$150,FALSE),$A$17:$G$25,E$149,FALSE)</f>
        <v>39163.122402813002</v>
      </c>
      <c r="D42" s="5">
        <f>VLOOKUP(VLOOKUP(3,F$138:$J$146,F$150,FALSE),$A$17:$G$25,F$149,FALSE)</f>
        <v>5606.9159661100011</v>
      </c>
      <c r="E42" s="5">
        <f>VLOOKUP(VLOOKUP(3,G$138:$J$146,G$150,FALSE),$A$17:$G$25,G$149,FALSE)</f>
        <v>9259.4716719999997</v>
      </c>
      <c r="F42" s="5">
        <f>VLOOKUP(VLOOKUP(3,H$138:$J$146,H$150,FALSE),$A$17:$G$25,H$149,FALSE)</f>
        <v>3931.4777806940001</v>
      </c>
      <c r="G42" s="5">
        <f>VLOOKUP(VLOOKUP(3,I$138:$J$146,I$150,FALSE),$A$17:$G$25,I$149,FALSE)</f>
        <v>26085.601428940001</v>
      </c>
      <c r="K42" s="54">
        <v>2012</v>
      </c>
      <c r="L42" s="7">
        <f>VLOOKUP(VLOOKUP(3,D$121:$J$129,D$133,FALSE),$K$17:$Q$25,D$132,FALSE)</f>
        <v>29847.466547192991</v>
      </c>
      <c r="M42" s="7">
        <f>VLOOKUP(VLOOKUP(3,E$121:$J$129,E$133,FALSE),$K$17:$Q$25,E$132,FALSE)</f>
        <v>39145.926430617998</v>
      </c>
      <c r="N42" s="7">
        <f>VLOOKUP(VLOOKUP(3,F$121:$J$129,F$133,FALSE),$K$17:$Q$25,F$132,FALSE)</f>
        <v>5437.5706806800017</v>
      </c>
      <c r="O42" s="7">
        <f>VLOOKUP(VLOOKUP(3,G$121:$J$129,G$133,FALSE),$K$17:$Q$25,G$132,FALSE)</f>
        <v>9259.4716719999997</v>
      </c>
      <c r="P42" s="7">
        <f>VLOOKUP(VLOOKUP(3,H$121:$J$129,H$133,FALSE),$K$17:$Q$25,H$132,FALSE)</f>
        <v>3931.4777806940001</v>
      </c>
      <c r="Q42" s="7">
        <f>VLOOKUP(VLOOKUP(3,I$121:$J$129,I$133,FALSE),$K$17:$Q$25,I$132,FALSE)</f>
        <v>26085.601428939972</v>
      </c>
      <c r="V42" s="76"/>
      <c r="W42" s="17"/>
      <c r="X42" s="17"/>
      <c r="Y42" s="17"/>
      <c r="Z42" s="17"/>
      <c r="AA42" s="17"/>
      <c r="AB42" s="17"/>
      <c r="AC42" s="17"/>
      <c r="AD42" s="17"/>
      <c r="AE42" s="17"/>
      <c r="AF42" s="17"/>
      <c r="AG42" s="17"/>
      <c r="AH42" s="17"/>
      <c r="AI42" s="17"/>
      <c r="AJ42" s="17"/>
      <c r="AK42" s="17"/>
      <c r="AL42" s="17"/>
      <c r="AM42" s="17"/>
      <c r="AU42" s="17"/>
    </row>
    <row r="43" spans="1:56" x14ac:dyDescent="0.25">
      <c r="A43" s="32">
        <v>2013</v>
      </c>
      <c r="B43" s="5">
        <f>VLOOKUP(VLOOKUP(3,D$138:$J$146,D$150,FALSE),$A$17:$G$25,D$149,FALSE)</f>
        <v>29847.466547192998</v>
      </c>
      <c r="C43" s="5">
        <f>VLOOKUP(VLOOKUP(3,E$138:$J$146,E$150,FALSE),$A$17:$G$25,E$149,FALSE)</f>
        <v>39163.122402813002</v>
      </c>
      <c r="D43" s="5">
        <f>VLOOKUP(VLOOKUP(3,F$138:$J$146,F$150,FALSE),$A$17:$G$25,F$149,FALSE)</f>
        <v>5606.9159661100011</v>
      </c>
      <c r="E43" s="5">
        <f>VLOOKUP(VLOOKUP(3,G$138:$J$146,G$150,FALSE),$A$17:$G$25,G$149,FALSE)</f>
        <v>9259.4716719999997</v>
      </c>
      <c r="F43" s="5">
        <f>VLOOKUP(VLOOKUP(3,H$138:$J$146,H$150,FALSE),$A$17:$G$25,H$149,FALSE)</f>
        <v>3931.4777806940001</v>
      </c>
      <c r="G43" s="5">
        <f>VLOOKUP(VLOOKUP(3,I$138:$J$146,I$150,FALSE),$A$17:$G$25,I$149,FALSE)</f>
        <v>26085.601428940001</v>
      </c>
      <c r="K43" s="54">
        <v>2013</v>
      </c>
      <c r="L43" s="7">
        <f>VLOOKUP(VLOOKUP(3,D$121:$J$129,D$133,FALSE),$K$17:$Q$25,D$132,FALSE)</f>
        <v>29847.466547192991</v>
      </c>
      <c r="M43" s="7">
        <f>VLOOKUP(VLOOKUP(3,E$121:$J$129,E$133,FALSE),$K$17:$Q$25,E$132,FALSE)</f>
        <v>39145.926430617998</v>
      </c>
      <c r="N43" s="7">
        <f>VLOOKUP(VLOOKUP(3,F$121:$J$129,F$133,FALSE),$K$17:$Q$25,F$132,FALSE)</f>
        <v>5437.5706806800017</v>
      </c>
      <c r="O43" s="7">
        <f>VLOOKUP(VLOOKUP(3,G$121:$J$129,G$133,FALSE),$K$17:$Q$25,G$132,FALSE)</f>
        <v>9259.4716719999997</v>
      </c>
      <c r="P43" s="7">
        <f>VLOOKUP(VLOOKUP(3,H$121:$J$129,H$133,FALSE),$K$17:$Q$25,H$132,FALSE)</f>
        <v>3931.4777806940001</v>
      </c>
      <c r="Q43" s="7">
        <f>VLOOKUP(VLOOKUP(3,I$121:$J$129,I$133,FALSE),$K$17:$Q$25,I$132,FALSE)</f>
        <v>26085.601428939972</v>
      </c>
      <c r="R43" s="17"/>
      <c r="S43" s="17"/>
      <c r="T43" s="17"/>
      <c r="V43" s="76"/>
      <c r="W43" s="17"/>
      <c r="X43" s="17"/>
      <c r="Y43" s="17"/>
      <c r="Z43" s="17"/>
      <c r="AA43" s="17"/>
      <c r="AB43" s="17"/>
      <c r="AC43" s="17"/>
      <c r="AD43" s="17"/>
      <c r="AE43" s="17"/>
      <c r="AF43" s="17"/>
      <c r="AG43" s="17"/>
      <c r="AH43" s="17"/>
      <c r="AI43" s="17"/>
      <c r="AJ43" s="17"/>
      <c r="AK43" s="17"/>
      <c r="AL43" s="17"/>
      <c r="AM43" s="17"/>
      <c r="AU43" s="17"/>
    </row>
    <row r="44" spans="1:56" x14ac:dyDescent="0.25">
      <c r="A44" s="32">
        <v>2014</v>
      </c>
      <c r="B44" s="5">
        <f>VLOOKUP(VLOOKUP(3,D$138:$J$146,D$150,FALSE),$A$17:$G$25,D$149,FALSE)</f>
        <v>29847.466547192998</v>
      </c>
      <c r="C44" s="5">
        <f>VLOOKUP(VLOOKUP(3,E$138:$J$146,E$150,FALSE),$A$17:$G$25,E$149,FALSE)</f>
        <v>39163.122402813002</v>
      </c>
      <c r="D44" s="5">
        <f>VLOOKUP(VLOOKUP(3,F$138:$J$146,F$150,FALSE),$A$17:$G$25,F$149,FALSE)</f>
        <v>5606.9159661100011</v>
      </c>
      <c r="E44" s="5">
        <f>VLOOKUP(VLOOKUP(3,G$138:$J$146,G$150,FALSE),$A$17:$G$25,G$149,FALSE)</f>
        <v>9259.4716719999997</v>
      </c>
      <c r="F44" s="5">
        <f>VLOOKUP(VLOOKUP(3,H$138:$J$146,H$150,FALSE),$A$17:$G$25,H$149,FALSE)</f>
        <v>3931.4777806940001</v>
      </c>
      <c r="G44" s="5">
        <f>VLOOKUP(VLOOKUP(3,I$138:$J$146,I$150,FALSE),$A$17:$G$25,I$149,FALSE)</f>
        <v>26085.601428940001</v>
      </c>
      <c r="K44" s="54">
        <v>2014</v>
      </c>
      <c r="L44" s="7">
        <f>VLOOKUP(VLOOKUP(3,D$121:$J$129,D$133,FALSE),$K$17:$Q$25,D$132,FALSE)</f>
        <v>29847.466547192991</v>
      </c>
      <c r="M44" s="7">
        <f>VLOOKUP(VLOOKUP(3,E$121:$J$129,E$133,FALSE),$K$17:$Q$25,E$132,FALSE)</f>
        <v>39145.926430617998</v>
      </c>
      <c r="N44" s="7">
        <f>VLOOKUP(VLOOKUP(3,F$121:$J$129,F$133,FALSE),$K$17:$Q$25,F$132,FALSE)</f>
        <v>5437.5706806800017</v>
      </c>
      <c r="O44" s="7">
        <f>VLOOKUP(VLOOKUP(3,G$121:$J$129,G$133,FALSE),$K$17:$Q$25,G$132,FALSE)</f>
        <v>9259.4716719999997</v>
      </c>
      <c r="P44" s="7">
        <f>VLOOKUP(VLOOKUP(3,H$121:$J$129,H$133,FALSE),$K$17:$Q$25,H$132,FALSE)</f>
        <v>3931.4777806940001</v>
      </c>
      <c r="Q44" s="7">
        <f>VLOOKUP(VLOOKUP(3,I$121:$J$129,I$133,FALSE),$K$17:$Q$25,I$132,FALSE)</f>
        <v>26085.601428939972</v>
      </c>
      <c r="R44" s="17"/>
      <c r="S44" s="17"/>
      <c r="T44" s="17"/>
      <c r="V44" s="76"/>
      <c r="W44" s="17"/>
      <c r="X44" s="17"/>
      <c r="Y44" s="17"/>
      <c r="Z44" s="17"/>
      <c r="AA44" s="17"/>
      <c r="AB44" s="17"/>
      <c r="AC44" s="17"/>
      <c r="AD44" s="17"/>
      <c r="AE44" s="17"/>
      <c r="AF44" s="17"/>
      <c r="AG44" s="17"/>
      <c r="AH44" s="17"/>
      <c r="AI44" s="17"/>
      <c r="AJ44" s="17"/>
      <c r="AK44" s="17"/>
      <c r="AL44" s="17"/>
      <c r="AM44" s="17"/>
      <c r="AU44" s="17"/>
    </row>
    <row r="45" spans="1:56" x14ac:dyDescent="0.25">
      <c r="A45" s="32">
        <v>2015</v>
      </c>
      <c r="B45" s="5">
        <f>$B$57</f>
        <v>45227.078735521201</v>
      </c>
      <c r="C45" s="5">
        <f>$C$57</f>
        <v>53592.424250917124</v>
      </c>
      <c r="D45" s="5">
        <f>VLOOKUP(VLOOKUP(3,F$138:$J$146,F$150,FALSE),$A$17:$G$25,F$149,FALSE)</f>
        <v>5606.9159661100011</v>
      </c>
      <c r="E45" s="5">
        <f>VLOOKUP(VLOOKUP(3,G$138:$J$146,G$150,FALSE),$A$17:$G$25,G$149,FALSE)</f>
        <v>9259.4716719999997</v>
      </c>
      <c r="F45" s="5">
        <f>VLOOKUP(VLOOKUP(3,H$138:$J$146,H$150,FALSE),$A$17:$G$25,H$149,FALSE)</f>
        <v>3931.4777806940001</v>
      </c>
      <c r="G45" s="5">
        <f>VLOOKUP(VLOOKUP(3,I$138:$J$146,I$150,FALSE),$A$17:$G$25,I$149,FALSE)</f>
        <v>26085.601428940001</v>
      </c>
      <c r="K45" s="54">
        <v>2015</v>
      </c>
      <c r="L45" s="7">
        <f>L$57</f>
        <v>45227.07873552118</v>
      </c>
      <c r="M45" s="7">
        <f>M$57</f>
        <v>51412.995504193743</v>
      </c>
      <c r="N45" s="7">
        <f>VLOOKUP(VLOOKUP(3,F$121:$J$129,F$133,FALSE),$K$17:$Q$25,F$132,FALSE)</f>
        <v>5437.5706806800017</v>
      </c>
      <c r="O45" s="7">
        <f>VLOOKUP(VLOOKUP(3,G$121:$J$129,G$133,FALSE),$K$17:$Q$25,G$132,FALSE)</f>
        <v>9259.4716719999997</v>
      </c>
      <c r="P45" s="7">
        <f>VLOOKUP(VLOOKUP(3,H$121:$J$129,H$133,FALSE),$K$17:$Q$25,H$132,FALSE)</f>
        <v>3931.4777806940001</v>
      </c>
      <c r="Q45" s="7">
        <f>VLOOKUP(VLOOKUP(3,I$121:$J$129,I$133,FALSE),$K$17:$Q$25,I$132,FALSE)</f>
        <v>26085.601428939972</v>
      </c>
      <c r="R45" s="17"/>
      <c r="S45" s="17"/>
      <c r="T45" s="17"/>
      <c r="V45" s="76"/>
      <c r="W45" s="17"/>
      <c r="X45" s="17"/>
      <c r="Y45" s="17"/>
      <c r="Z45" s="17"/>
      <c r="AA45" s="17"/>
      <c r="AB45" s="17"/>
      <c r="AC45" s="17"/>
      <c r="AD45" s="17"/>
      <c r="AE45" s="17"/>
      <c r="AF45" s="17"/>
      <c r="AG45" s="17"/>
      <c r="AH45" s="17"/>
      <c r="AI45" s="17"/>
      <c r="AJ45" s="17"/>
      <c r="AK45" s="17"/>
      <c r="AL45" s="17"/>
      <c r="AM45" s="17"/>
    </row>
    <row r="46" spans="1:56" x14ac:dyDescent="0.25">
      <c r="A46" s="32">
        <v>2016</v>
      </c>
      <c r="B46" s="5">
        <f t="shared" ref="B46:B47" si="57">$B$57</f>
        <v>45227.078735521201</v>
      </c>
      <c r="C46" s="5">
        <f t="shared" ref="C46:C47" si="58">$C$57</f>
        <v>53592.424250917124</v>
      </c>
      <c r="D46" s="5">
        <f>VLOOKUP(VLOOKUP(3,F$138:$J$146,F$150,FALSE),$A$17:$G$25,F$149,FALSE)</f>
        <v>5606.9159661100011</v>
      </c>
      <c r="E46" s="5">
        <f>VLOOKUP(VLOOKUP(3,G$138:$J$146,G$150,FALSE),$A$17:$G$25,G$149,FALSE)</f>
        <v>9259.4716719999997</v>
      </c>
      <c r="F46" s="5">
        <f>VLOOKUP(VLOOKUP(3,H$138:$J$146,H$150,FALSE),$A$17:$G$25,H$149,FALSE)</f>
        <v>3931.4777806940001</v>
      </c>
      <c r="G46" s="5">
        <f>VLOOKUP(VLOOKUP(3,I$138:$J$146,I$150,FALSE),$A$17:$G$25,I$149,FALSE)</f>
        <v>26085.601428940001</v>
      </c>
      <c r="K46" s="54">
        <v>2016</v>
      </c>
      <c r="L46" s="7">
        <f t="shared" ref="L46:M47" si="59">L$57</f>
        <v>45227.07873552118</v>
      </c>
      <c r="M46" s="7">
        <f t="shared" si="59"/>
        <v>51412.995504193743</v>
      </c>
      <c r="N46" s="7">
        <f>VLOOKUP(VLOOKUP(3,F$121:$J$129,F$133,FALSE),$K$17:$Q$25,F$132,FALSE)</f>
        <v>5437.5706806800017</v>
      </c>
      <c r="O46" s="7">
        <f>VLOOKUP(VLOOKUP(3,G$121:$J$129,G$133,FALSE),$K$17:$Q$25,G$132,FALSE)</f>
        <v>9259.4716719999997</v>
      </c>
      <c r="P46" s="7">
        <f>VLOOKUP(VLOOKUP(3,H$121:$J$129,H$133,FALSE),$K$17:$Q$25,H$132,FALSE)</f>
        <v>3931.4777806940001</v>
      </c>
      <c r="Q46" s="7">
        <f>VLOOKUP(VLOOKUP(3,I$121:$J$129,I$133,FALSE),$K$17:$Q$25,I$132,FALSE)</f>
        <v>26085.601428939972</v>
      </c>
      <c r="R46" s="17"/>
      <c r="S46" s="17"/>
      <c r="T46" s="17"/>
      <c r="V46" s="76"/>
      <c r="W46" s="17"/>
      <c r="X46" s="17"/>
      <c r="Y46" s="17"/>
      <c r="Z46" s="17"/>
      <c r="AA46" s="17"/>
      <c r="AB46" s="17"/>
      <c r="AC46" s="17"/>
      <c r="AD46" s="17"/>
      <c r="AE46" s="17"/>
      <c r="AF46" s="17"/>
      <c r="AG46" s="17"/>
      <c r="AH46" s="17"/>
      <c r="AI46" s="17"/>
      <c r="AJ46" s="17"/>
      <c r="AK46" s="17"/>
      <c r="AL46" s="17"/>
      <c r="AM46" s="17"/>
      <c r="AU46" s="17"/>
      <c r="AV46" s="17"/>
    </row>
    <row r="47" spans="1:56" x14ac:dyDescent="0.25">
      <c r="A47" s="32">
        <v>2017</v>
      </c>
      <c r="B47" s="5">
        <f t="shared" si="57"/>
        <v>45227.078735521201</v>
      </c>
      <c r="C47" s="5">
        <f t="shared" si="58"/>
        <v>53592.424250917124</v>
      </c>
      <c r="D47" s="5">
        <f>VLOOKUP(VLOOKUP(3,F$138:$J$146,F$150,FALSE),$A$17:$G$25,F$149,FALSE)</f>
        <v>5606.9159661100011</v>
      </c>
      <c r="E47" s="5">
        <f>VLOOKUP(VLOOKUP(3,G$138:$J$146,G$150,FALSE),$A$17:$G$25,G$149,FALSE)</f>
        <v>9259.4716719999997</v>
      </c>
      <c r="F47" s="5">
        <f>VLOOKUP(VLOOKUP(3,H$138:$J$146,H$150,FALSE),$A$17:$G$25,H$149,FALSE)</f>
        <v>3931.4777806940001</v>
      </c>
      <c r="G47" s="5">
        <f>VLOOKUP(VLOOKUP(3,I$138:$J$146,I$150,FALSE),$A$17:$G$25,I$149,FALSE)</f>
        <v>26085.601428940001</v>
      </c>
      <c r="K47" s="54">
        <v>2017</v>
      </c>
      <c r="L47" s="7">
        <f t="shared" si="59"/>
        <v>45227.07873552118</v>
      </c>
      <c r="M47" s="7">
        <f t="shared" si="59"/>
        <v>51412.995504193743</v>
      </c>
      <c r="N47" s="7">
        <f>VLOOKUP(VLOOKUP(3,F$121:$J$129,F$133,FALSE),$K$17:$Q$25,F$132,FALSE)</f>
        <v>5437.5706806800017</v>
      </c>
      <c r="O47" s="7">
        <f>VLOOKUP(VLOOKUP(3,G$121:$J$129,G$133,FALSE),$K$17:$Q$25,G$132,FALSE)</f>
        <v>9259.4716719999997</v>
      </c>
      <c r="P47" s="7">
        <f>VLOOKUP(VLOOKUP(3,H$121:$J$129,H$133,FALSE),$K$17:$Q$25,H$132,FALSE)</f>
        <v>3931.4777806940001</v>
      </c>
      <c r="Q47" s="7">
        <f>VLOOKUP(VLOOKUP(3,I$121:$J$129,I$133,FALSE),$K$17:$Q$25,I$132,FALSE)</f>
        <v>26085.601428939972</v>
      </c>
      <c r="R47" s="17"/>
      <c r="S47" s="17"/>
      <c r="T47" s="17"/>
      <c r="V47" s="76"/>
      <c r="W47" s="17"/>
      <c r="X47" s="17"/>
      <c r="Y47" s="17"/>
      <c r="Z47" s="17"/>
      <c r="AA47" s="17"/>
      <c r="AB47" s="17"/>
      <c r="AC47" s="17"/>
      <c r="AD47" s="17"/>
      <c r="AE47" s="17"/>
      <c r="AF47" s="17"/>
      <c r="AG47" s="17"/>
      <c r="AH47" s="17"/>
      <c r="AI47" s="17"/>
      <c r="AJ47" s="17"/>
      <c r="AK47" s="17"/>
      <c r="AL47" s="17"/>
      <c r="AM47" s="17"/>
      <c r="AU47" s="17"/>
      <c r="AV47" s="17"/>
    </row>
    <row r="48" spans="1:56" x14ac:dyDescent="0.25">
      <c r="A48" s="32"/>
      <c r="B48" s="5"/>
      <c r="C48" s="5"/>
      <c r="D48" s="5"/>
      <c r="E48" s="5"/>
      <c r="F48" s="5"/>
      <c r="G48" s="5"/>
      <c r="H48" s="17"/>
      <c r="I48" s="17"/>
      <c r="J48" s="17"/>
      <c r="K48" s="54"/>
      <c r="L48" s="7"/>
      <c r="M48" s="7"/>
      <c r="N48" s="7"/>
      <c r="O48" s="7"/>
      <c r="P48" s="7"/>
      <c r="Q48" s="7"/>
      <c r="R48" s="17"/>
      <c r="S48" s="17"/>
      <c r="T48" s="17"/>
      <c r="U48" s="17"/>
      <c r="V48" s="76"/>
      <c r="W48" s="17"/>
      <c r="X48" s="17"/>
      <c r="Y48" s="17"/>
      <c r="Z48" s="17"/>
      <c r="AA48" s="17"/>
      <c r="AB48" s="17"/>
      <c r="AC48" s="17"/>
      <c r="AD48" s="17"/>
      <c r="AE48" s="17"/>
      <c r="AF48" s="17"/>
      <c r="AG48" s="17"/>
      <c r="AH48" s="17"/>
      <c r="AI48" s="17"/>
      <c r="AJ48" s="17"/>
      <c r="AK48" s="17"/>
      <c r="AL48" s="17"/>
      <c r="AM48" s="17"/>
      <c r="AU48" s="17"/>
      <c r="AV48" s="17"/>
      <c r="AW48" s="17"/>
      <c r="AX48" s="17"/>
      <c r="AY48" s="17"/>
    </row>
    <row r="49" spans="1:51" x14ac:dyDescent="0.25">
      <c r="A49" s="367" t="s">
        <v>332</v>
      </c>
      <c r="B49" s="368"/>
      <c r="C49" s="369"/>
      <c r="D49" s="82"/>
      <c r="E49" s="80"/>
      <c r="F49" s="5"/>
      <c r="G49" s="5"/>
      <c r="H49" s="17"/>
      <c r="I49" s="17"/>
      <c r="J49" s="17"/>
      <c r="K49" s="367" t="s">
        <v>333</v>
      </c>
      <c r="L49" s="368"/>
      <c r="M49" s="369"/>
      <c r="N49" s="7"/>
      <c r="O49" s="7"/>
      <c r="P49" s="7"/>
      <c r="Q49" s="7"/>
      <c r="R49" s="17"/>
      <c r="S49" s="17"/>
      <c r="T49" s="17"/>
      <c r="U49" s="17"/>
      <c r="V49" s="17"/>
      <c r="W49" s="17"/>
      <c r="X49" s="17"/>
      <c r="Y49" s="76"/>
      <c r="Z49" s="17"/>
      <c r="AA49" s="17"/>
      <c r="AB49" s="17"/>
      <c r="AH49" s="17"/>
      <c r="AI49" s="17"/>
      <c r="AN49"/>
      <c r="AO49"/>
      <c r="AP49"/>
      <c r="AQ49"/>
      <c r="AR49"/>
      <c r="AU49" s="17"/>
      <c r="AV49" s="17"/>
      <c r="AW49" s="17"/>
      <c r="AX49" s="17"/>
      <c r="AY49" s="17"/>
    </row>
    <row r="50" spans="1:51" x14ac:dyDescent="0.25">
      <c r="A50" s="74" t="s">
        <v>56</v>
      </c>
      <c r="B50" s="57" t="s">
        <v>12</v>
      </c>
      <c r="C50" s="57" t="s">
        <v>13</v>
      </c>
      <c r="D50" s="83"/>
      <c r="E50" s="81"/>
      <c r="F50" s="5"/>
      <c r="G50" s="5"/>
      <c r="H50" s="17"/>
      <c r="I50" s="17"/>
      <c r="J50" s="17"/>
      <c r="K50" s="74" t="s">
        <v>56</v>
      </c>
      <c r="L50" s="57" t="s">
        <v>12</v>
      </c>
      <c r="M50" s="57" t="s">
        <v>13</v>
      </c>
      <c r="N50" s="56"/>
      <c r="Q50" s="17"/>
      <c r="R50" s="17"/>
      <c r="S50" s="17"/>
      <c r="T50" s="17"/>
      <c r="U50" s="17"/>
      <c r="V50" s="17"/>
      <c r="W50" s="17"/>
      <c r="X50" s="17"/>
      <c r="Y50" s="76"/>
      <c r="Z50" s="17"/>
      <c r="AA50" s="17"/>
      <c r="AB50" s="17"/>
      <c r="AH50" s="17"/>
      <c r="AI50" s="17"/>
      <c r="AN50"/>
      <c r="AO50"/>
      <c r="AP50"/>
      <c r="AQ50"/>
      <c r="AR50"/>
      <c r="AU50" s="17"/>
      <c r="AV50" s="17"/>
      <c r="AW50" s="17"/>
      <c r="AX50" s="17"/>
      <c r="AY50" s="17"/>
    </row>
    <row r="51" spans="1:51" x14ac:dyDescent="0.25">
      <c r="A51" s="49" t="s">
        <v>79</v>
      </c>
      <c r="B51" s="49" t="s">
        <v>78</v>
      </c>
      <c r="C51" s="79" t="s">
        <v>73</v>
      </c>
      <c r="D51" s="84"/>
      <c r="E51" s="64"/>
      <c r="F51" s="5"/>
      <c r="G51" s="5"/>
      <c r="H51" s="17"/>
      <c r="I51" s="17"/>
      <c r="J51" s="17"/>
      <c r="K51" s="49" t="s">
        <v>79</v>
      </c>
      <c r="L51" s="49" t="s">
        <v>78</v>
      </c>
      <c r="M51" s="49" t="s">
        <v>73</v>
      </c>
      <c r="Q51" s="17"/>
      <c r="R51" s="17"/>
      <c r="S51" s="17"/>
      <c r="T51" s="17"/>
      <c r="U51" s="17"/>
      <c r="V51" s="17"/>
      <c r="W51" s="17"/>
      <c r="X51" s="17"/>
      <c r="Y51" s="76"/>
      <c r="Z51" s="17"/>
      <c r="AA51" s="17"/>
      <c r="AB51" s="17"/>
      <c r="AH51" s="17"/>
      <c r="AI51" s="17"/>
      <c r="AN51"/>
      <c r="AO51"/>
      <c r="AP51"/>
      <c r="AQ51"/>
      <c r="AR51"/>
      <c r="AU51" s="17"/>
      <c r="AV51" s="17"/>
      <c r="AW51" s="17"/>
      <c r="AX51" s="17"/>
      <c r="AY51" s="17"/>
    </row>
    <row r="52" spans="1:51" x14ac:dyDescent="0.25">
      <c r="A52" s="49" t="s">
        <v>80</v>
      </c>
      <c r="B52" s="49">
        <f>VLOOKUP(B51,'ORCS Categories'!$A$5:$C$9,2,FALSE)</f>
        <v>1.5</v>
      </c>
      <c r="C52" s="79">
        <f>VLOOKUP(C51,'ORCS Categories'!$A$5:$C$9,2,FALSE)</f>
        <v>1.25</v>
      </c>
      <c r="D52" s="84"/>
      <c r="E52" s="64"/>
      <c r="F52" s="5"/>
      <c r="G52" s="5"/>
      <c r="H52" s="17"/>
      <c r="I52" s="17"/>
      <c r="J52" s="17"/>
      <c r="K52" s="49" t="s">
        <v>80</v>
      </c>
      <c r="L52" s="49">
        <f>VLOOKUP(L51,'ORCS Categories'!$A$5:$C$9,2,FALSE)</f>
        <v>1.5</v>
      </c>
      <c r="M52" s="49">
        <f>VLOOKUP(M51,'ORCS Categories'!$A$5:$C$9,2,FALSE)</f>
        <v>1.25</v>
      </c>
      <c r="Q52" s="17"/>
      <c r="R52" s="17"/>
      <c r="S52" s="17"/>
      <c r="T52" s="17"/>
      <c r="U52" s="17"/>
      <c r="V52" s="17"/>
      <c r="W52" s="17"/>
      <c r="X52" s="17"/>
      <c r="Y52" s="76"/>
      <c r="Z52" s="17"/>
      <c r="AA52" s="17"/>
      <c r="AB52" s="17"/>
      <c r="AH52" s="17"/>
      <c r="AI52" s="17"/>
      <c r="AN52"/>
      <c r="AO52"/>
      <c r="AP52"/>
      <c r="AQ52"/>
      <c r="AR52"/>
      <c r="AU52" s="17"/>
      <c r="AV52" s="17"/>
      <c r="AW52" s="17"/>
      <c r="AX52" s="17"/>
      <c r="AY52" s="17"/>
    </row>
    <row r="53" spans="1:51" x14ac:dyDescent="0.25">
      <c r="A53" s="49" t="s">
        <v>81</v>
      </c>
      <c r="B53" s="49" t="s">
        <v>54</v>
      </c>
      <c r="C53" s="79" t="s">
        <v>54</v>
      </c>
      <c r="D53" s="84"/>
      <c r="E53" s="64"/>
      <c r="F53" s="5"/>
      <c r="G53" s="5"/>
      <c r="H53" s="17"/>
      <c r="I53" s="17"/>
      <c r="J53" s="17"/>
      <c r="K53" s="49" t="s">
        <v>81</v>
      </c>
      <c r="L53" s="49" t="s">
        <v>54</v>
      </c>
      <c r="M53" s="49" t="s">
        <v>54</v>
      </c>
      <c r="Q53" s="17"/>
      <c r="R53" s="17"/>
      <c r="S53" s="17"/>
      <c r="T53" s="17"/>
      <c r="U53" s="17"/>
      <c r="V53" s="17"/>
      <c r="W53" s="17"/>
      <c r="X53" s="17"/>
      <c r="Y53" s="76"/>
      <c r="Z53" s="17"/>
      <c r="AA53" s="17"/>
      <c r="AB53" s="17"/>
      <c r="AH53" s="17"/>
      <c r="AI53" s="17"/>
      <c r="AN53"/>
      <c r="AO53"/>
      <c r="AP53"/>
      <c r="AQ53"/>
      <c r="AR53"/>
      <c r="AU53" s="17"/>
      <c r="AV53" s="17"/>
      <c r="AW53" s="17"/>
      <c r="AX53" s="17"/>
      <c r="AY53" s="17"/>
    </row>
    <row r="54" spans="1:51" x14ac:dyDescent="0.25">
      <c r="A54" s="49" t="s">
        <v>82</v>
      </c>
      <c r="B54" s="49">
        <f>VLOOKUP(MAX(B17:B25),B17:$K$25,10,FALSE)</f>
        <v>2002</v>
      </c>
      <c r="C54" s="79">
        <f>VLOOKUP(MAX(C17:C25),C17:$K$25,9,FALSE)</f>
        <v>2004</v>
      </c>
      <c r="D54" s="84"/>
      <c r="E54" s="64"/>
      <c r="F54" s="5"/>
      <c r="G54" s="5"/>
      <c r="H54" s="17"/>
      <c r="I54" s="17"/>
      <c r="J54" s="17"/>
      <c r="K54" s="49" t="s">
        <v>82</v>
      </c>
      <c r="L54" s="49">
        <f>VLOOKUP(L55,L17:$V$25,11,FALSE)</f>
        <v>2002</v>
      </c>
      <c r="M54" s="49">
        <f>VLOOKUP(M55,M17:$V$25,10,FALSE)</f>
        <v>2004</v>
      </c>
      <c r="Q54" s="17"/>
      <c r="R54" s="17"/>
      <c r="S54" s="17"/>
      <c r="T54" s="17"/>
      <c r="U54" s="17"/>
      <c r="V54" s="17"/>
      <c r="W54" s="17"/>
      <c r="X54" s="17"/>
      <c r="Y54" s="76"/>
      <c r="Z54" s="17"/>
      <c r="AA54" s="17"/>
      <c r="AB54" s="17"/>
      <c r="AH54" s="17"/>
      <c r="AI54" s="17"/>
      <c r="AN54"/>
      <c r="AO54"/>
      <c r="AP54"/>
      <c r="AQ54"/>
      <c r="AR54"/>
      <c r="AU54" s="17"/>
      <c r="AV54" s="17"/>
      <c r="AW54" s="17"/>
      <c r="AX54" s="17"/>
      <c r="AY54" s="17"/>
    </row>
    <row r="55" spans="1:51" x14ac:dyDescent="0.25">
      <c r="A55" s="49" t="s">
        <v>83</v>
      </c>
      <c r="B55" s="24">
        <f>MAX(B17:B25)</f>
        <v>37689.232279600998</v>
      </c>
      <c r="C55" s="24">
        <f>MAX(C17:C25)</f>
        <v>61248.484858190997</v>
      </c>
      <c r="D55" s="85"/>
      <c r="E55" s="37"/>
      <c r="F55" s="5"/>
      <c r="G55" s="5"/>
      <c r="H55" s="17"/>
      <c r="I55" s="17"/>
      <c r="J55" s="17"/>
      <c r="K55" s="49" t="s">
        <v>83</v>
      </c>
      <c r="L55" s="24">
        <f>MAX(L17:L25)</f>
        <v>37689.232279600983</v>
      </c>
      <c r="M55" s="24">
        <f>MAX(M17:M25)</f>
        <v>58757.709147649992</v>
      </c>
      <c r="Q55" s="17"/>
      <c r="R55" s="17"/>
      <c r="S55" s="17"/>
      <c r="T55" s="17"/>
      <c r="U55" s="17"/>
      <c r="V55" s="17"/>
      <c r="W55" s="17"/>
      <c r="X55" s="17"/>
      <c r="Z55" s="17"/>
      <c r="AA55" s="17"/>
      <c r="AB55" s="17"/>
      <c r="AH55" s="17"/>
      <c r="AI55" s="17"/>
      <c r="AN55"/>
      <c r="AO55"/>
      <c r="AP55"/>
      <c r="AQ55"/>
      <c r="AR55"/>
      <c r="AU55" s="17"/>
      <c r="AV55" s="17"/>
      <c r="AW55" s="17"/>
      <c r="AX55" s="17"/>
      <c r="AY55" s="17"/>
    </row>
    <row r="56" spans="1:51" x14ac:dyDescent="0.25">
      <c r="A56" s="49" t="s">
        <v>59</v>
      </c>
      <c r="B56" s="49">
        <f>VLOOKUP(B51,'ORCS Categories'!$A$5:$C$9,3,FALSE)</f>
        <v>0.8</v>
      </c>
      <c r="C56" s="79">
        <f>VLOOKUP(C51,'ORCS Categories'!$A$5:$C$9,3,FALSE)</f>
        <v>0.7</v>
      </c>
      <c r="D56" s="84"/>
      <c r="E56" s="64"/>
      <c r="F56" s="5"/>
      <c r="G56" s="5"/>
      <c r="H56" s="17"/>
      <c r="I56" s="17"/>
      <c r="J56" s="17"/>
      <c r="K56" s="49" t="s">
        <v>59</v>
      </c>
      <c r="L56" s="49">
        <f>VLOOKUP(L51,'ORCS Categories'!$A$5:$C$9,3,FALSE)</f>
        <v>0.8</v>
      </c>
      <c r="M56" s="49">
        <f>VLOOKUP(M51,'ORCS Categories'!$A$5:$C$9,3,FALSE)</f>
        <v>0.7</v>
      </c>
      <c r="Q56" s="17"/>
      <c r="R56" s="17"/>
      <c r="S56" s="17"/>
      <c r="T56" s="17"/>
      <c r="U56" s="17"/>
      <c r="V56" s="17"/>
      <c r="W56" s="17"/>
      <c r="X56" s="17"/>
      <c r="Z56" s="17"/>
      <c r="AA56" s="17"/>
      <c r="AB56" s="17"/>
      <c r="AH56" s="17"/>
      <c r="AI56" s="17"/>
      <c r="AN56"/>
      <c r="AO56"/>
      <c r="AP56"/>
      <c r="AQ56"/>
      <c r="AR56"/>
      <c r="AU56" s="17"/>
      <c r="AV56" s="17"/>
      <c r="AW56" s="17"/>
      <c r="AX56" s="17"/>
      <c r="AY56" s="17"/>
    </row>
    <row r="57" spans="1:51" x14ac:dyDescent="0.25">
      <c r="A57" s="49" t="s">
        <v>41</v>
      </c>
      <c r="B57" s="24">
        <f t="shared" ref="B57:C57" si="60">B55*B52*B56</f>
        <v>45227.078735521201</v>
      </c>
      <c r="C57" s="24">
        <f t="shared" si="60"/>
        <v>53592.424250917124</v>
      </c>
      <c r="D57" s="85"/>
      <c r="E57" s="37"/>
      <c r="F57" s="5"/>
      <c r="G57" s="5"/>
      <c r="H57" s="17"/>
      <c r="I57" s="17"/>
      <c r="J57" s="17"/>
      <c r="K57" s="49" t="s">
        <v>41</v>
      </c>
      <c r="L57" s="24">
        <f>L55*L52*L56</f>
        <v>45227.07873552118</v>
      </c>
      <c r="M57" s="24">
        <f t="shared" ref="M57" si="61">M55*M52*M56</f>
        <v>51412.995504193743</v>
      </c>
      <c r="Q57" s="17"/>
      <c r="R57" s="17"/>
      <c r="S57" s="17"/>
      <c r="T57" s="17"/>
      <c r="U57" s="17"/>
      <c r="V57" s="17"/>
      <c r="W57" s="17"/>
      <c r="X57" s="17"/>
      <c r="Y57" s="17"/>
      <c r="Z57" s="17"/>
      <c r="AA57" s="17"/>
      <c r="AB57" s="17"/>
      <c r="AH57" s="17"/>
      <c r="AI57" s="17"/>
      <c r="AN57"/>
      <c r="AO57"/>
      <c r="AP57"/>
      <c r="AQ57"/>
      <c r="AR57"/>
      <c r="AU57" s="17"/>
      <c r="AV57" s="17"/>
      <c r="AW57" s="17"/>
      <c r="AX57" s="17"/>
      <c r="AY57" s="17"/>
    </row>
    <row r="58" spans="1:51" x14ac:dyDescent="0.25">
      <c r="I58" s="28"/>
      <c r="J58" s="7"/>
      <c r="K58" s="7"/>
      <c r="L58" s="7"/>
      <c r="M58" s="7"/>
      <c r="Q58" s="17"/>
      <c r="R58" s="17"/>
      <c r="S58" s="17"/>
      <c r="T58" s="17"/>
      <c r="U58" s="17"/>
      <c r="V58" s="17"/>
      <c r="W58" s="17"/>
      <c r="X58" s="17"/>
      <c r="Y58" s="17"/>
      <c r="Z58" s="17"/>
      <c r="AA58" s="17"/>
      <c r="AB58" s="17"/>
      <c r="AH58" s="17"/>
      <c r="AI58" s="17"/>
      <c r="AN58"/>
      <c r="AO58"/>
      <c r="AP58"/>
      <c r="AQ58"/>
      <c r="AR58"/>
      <c r="AU58" s="17"/>
      <c r="AV58" s="17"/>
      <c r="AW58" s="17"/>
      <c r="AX58" s="17"/>
      <c r="AY58" s="17"/>
    </row>
    <row r="59" spans="1:51" x14ac:dyDescent="0.25">
      <c r="I59" s="28"/>
      <c r="J59" s="56"/>
      <c r="K59" s="56"/>
      <c r="L59" s="56"/>
      <c r="M59" s="56"/>
      <c r="Q59" s="17"/>
      <c r="R59" s="17"/>
      <c r="S59" s="17"/>
      <c r="T59" s="17"/>
      <c r="U59" s="17"/>
      <c r="V59" s="17"/>
      <c r="W59" s="17"/>
      <c r="X59" s="17"/>
      <c r="Y59" s="17"/>
      <c r="Z59" s="17"/>
      <c r="AA59" s="17"/>
      <c r="AB59" s="17"/>
      <c r="AH59" s="17"/>
      <c r="AI59" s="17"/>
      <c r="AN59"/>
      <c r="AO59"/>
      <c r="AP59"/>
      <c r="AQ59"/>
      <c r="AR59"/>
      <c r="AU59" s="17"/>
      <c r="AV59" s="17"/>
      <c r="AW59" s="17"/>
      <c r="AX59" s="17"/>
      <c r="AY59" s="17"/>
    </row>
    <row r="60" spans="1:51" x14ac:dyDescent="0.25">
      <c r="Q60" s="17"/>
      <c r="R60" s="17"/>
      <c r="S60" s="17"/>
      <c r="T60" s="17"/>
      <c r="U60" s="17"/>
      <c r="V60" s="17"/>
      <c r="W60" s="17"/>
      <c r="X60" s="17"/>
      <c r="Y60" s="17"/>
      <c r="Z60" s="17"/>
      <c r="AA60" s="17"/>
      <c r="AB60" s="17"/>
      <c r="AH60" s="17"/>
      <c r="AI60" s="17"/>
      <c r="AN60"/>
      <c r="AO60"/>
      <c r="AP60"/>
      <c r="AQ60"/>
      <c r="AR60"/>
      <c r="AU60" s="17"/>
      <c r="AV60" s="17"/>
      <c r="AW60" s="17"/>
      <c r="AX60" s="17"/>
      <c r="AY60" s="17"/>
    </row>
    <row r="61" spans="1:51" x14ac:dyDescent="0.25">
      <c r="Q61" s="17"/>
      <c r="R61" s="17"/>
      <c r="S61" s="17"/>
      <c r="T61" s="17"/>
      <c r="U61" s="17"/>
      <c r="V61" s="17"/>
      <c r="W61" s="17"/>
      <c r="X61" s="17"/>
      <c r="Y61" s="17"/>
      <c r="Z61" s="17"/>
      <c r="AA61" s="17"/>
      <c r="AB61" s="17"/>
      <c r="AH61" s="17"/>
      <c r="AI61" s="17"/>
      <c r="AN61"/>
      <c r="AO61"/>
      <c r="AP61"/>
      <c r="AQ61"/>
      <c r="AR61"/>
      <c r="AU61" s="17"/>
      <c r="AV61" s="17"/>
      <c r="AW61" s="17"/>
      <c r="AX61" s="17"/>
      <c r="AY61" s="17"/>
    </row>
    <row r="62" spans="1:51" x14ac:dyDescent="0.25">
      <c r="Q62" s="17"/>
      <c r="R62" s="17"/>
      <c r="S62" s="17"/>
      <c r="T62" s="17"/>
      <c r="U62" s="17"/>
      <c r="V62" s="17"/>
      <c r="W62" s="17"/>
      <c r="X62" s="17"/>
      <c r="Y62" s="17"/>
      <c r="Z62" s="17"/>
      <c r="AA62" s="17"/>
      <c r="AB62" s="17"/>
      <c r="AH62" s="17"/>
      <c r="AI62" s="17"/>
      <c r="AN62"/>
      <c r="AO62"/>
      <c r="AP62"/>
      <c r="AQ62"/>
      <c r="AR62"/>
      <c r="AU62" s="17"/>
      <c r="AV62" s="17"/>
      <c r="AW62" s="17"/>
      <c r="AX62" s="17"/>
      <c r="AY62" s="17"/>
    </row>
    <row r="63" spans="1:51" x14ac:dyDescent="0.25">
      <c r="Q63" s="17"/>
      <c r="R63" s="17"/>
      <c r="S63" s="17"/>
      <c r="T63" s="17"/>
      <c r="U63" s="17"/>
      <c r="V63" s="17"/>
      <c r="W63" s="17"/>
      <c r="X63" s="17"/>
      <c r="Y63" s="17"/>
      <c r="Z63" s="17"/>
      <c r="AA63" s="17"/>
      <c r="AB63" s="17"/>
      <c r="AH63" s="17"/>
      <c r="AI63" s="17"/>
      <c r="AN63"/>
      <c r="AO63"/>
      <c r="AP63"/>
      <c r="AQ63"/>
      <c r="AR63"/>
      <c r="AU63" s="17"/>
      <c r="AV63" s="17"/>
      <c r="AW63" s="17"/>
      <c r="AX63" s="17"/>
      <c r="AY63" s="17"/>
    </row>
    <row r="64" spans="1:51" x14ac:dyDescent="0.25">
      <c r="Q64" s="17"/>
      <c r="R64" s="17"/>
      <c r="S64" s="17"/>
      <c r="T64" s="17"/>
      <c r="U64" s="17"/>
      <c r="V64" s="17"/>
      <c r="W64" s="17"/>
      <c r="X64" s="17"/>
      <c r="Y64" s="17"/>
      <c r="Z64" s="17"/>
      <c r="AA64" s="17"/>
      <c r="AB64" s="17"/>
      <c r="AH64" s="17"/>
      <c r="AI64" s="17"/>
      <c r="AN64"/>
      <c r="AO64"/>
      <c r="AP64"/>
      <c r="AQ64"/>
      <c r="AR64"/>
      <c r="AU64" s="17"/>
      <c r="AV64" s="17"/>
      <c r="AW64" s="17"/>
      <c r="AX64" s="17"/>
      <c r="AY64" s="17"/>
    </row>
    <row r="65" spans="15:51" x14ac:dyDescent="0.25">
      <c r="Q65" s="17"/>
      <c r="R65" s="17"/>
      <c r="S65" s="17"/>
      <c r="T65" s="17"/>
      <c r="U65" s="17"/>
      <c r="V65" s="17"/>
      <c r="W65" s="17"/>
      <c r="X65" s="17"/>
      <c r="Y65" s="17"/>
      <c r="Z65" s="17"/>
      <c r="AA65" s="17"/>
      <c r="AB65" s="17"/>
      <c r="AH65" s="17"/>
      <c r="AI65" s="17"/>
      <c r="AN65"/>
      <c r="AO65"/>
      <c r="AP65"/>
      <c r="AQ65"/>
      <c r="AR65"/>
      <c r="AU65" s="17"/>
      <c r="AV65" s="17"/>
      <c r="AW65" s="17"/>
      <c r="AX65" s="17"/>
      <c r="AY65" s="17"/>
    </row>
    <row r="66" spans="15:51" x14ac:dyDescent="0.25">
      <c r="Q66" s="17"/>
      <c r="R66" s="17"/>
      <c r="S66" s="17"/>
      <c r="T66" s="17"/>
      <c r="U66" s="17"/>
      <c r="V66" s="17"/>
      <c r="W66" s="17"/>
      <c r="X66" s="17"/>
      <c r="Y66" s="17"/>
      <c r="Z66" s="17"/>
      <c r="AA66" s="17"/>
      <c r="AB66" s="17"/>
      <c r="AH66" s="17"/>
      <c r="AI66" s="17"/>
      <c r="AN66"/>
      <c r="AO66"/>
      <c r="AP66"/>
      <c r="AQ66"/>
      <c r="AR66"/>
      <c r="AU66" s="17"/>
      <c r="AV66" s="17"/>
      <c r="AW66" s="17"/>
      <c r="AX66" s="17"/>
      <c r="AY66" s="17"/>
    </row>
    <row r="67" spans="15:51" x14ac:dyDescent="0.25">
      <c r="Q67" s="17"/>
      <c r="R67" s="17"/>
      <c r="S67" s="17"/>
      <c r="T67" s="17"/>
      <c r="U67" s="17"/>
      <c r="V67" s="17"/>
      <c r="W67" s="17"/>
      <c r="X67" s="17"/>
      <c r="Y67" s="17"/>
      <c r="Z67" s="17"/>
      <c r="AA67" s="17"/>
      <c r="AB67" s="17"/>
      <c r="AH67" s="17"/>
      <c r="AI67" s="17"/>
      <c r="AN67"/>
      <c r="AO67"/>
      <c r="AP67"/>
      <c r="AQ67"/>
      <c r="AR67"/>
      <c r="AU67" s="17"/>
      <c r="AV67" s="17"/>
      <c r="AW67" s="17"/>
      <c r="AX67" s="17"/>
      <c r="AY67" s="17"/>
    </row>
    <row r="68" spans="15:51" x14ac:dyDescent="0.25">
      <c r="Q68" s="17"/>
      <c r="R68" s="17"/>
      <c r="S68" s="17"/>
      <c r="T68" s="17"/>
      <c r="U68" s="17"/>
      <c r="V68" s="17"/>
      <c r="W68" s="17"/>
      <c r="X68" s="17"/>
      <c r="Y68" s="17"/>
      <c r="Z68" s="17"/>
      <c r="AA68" s="17"/>
      <c r="AB68" s="17"/>
      <c r="AH68" s="17"/>
      <c r="AI68" s="17"/>
      <c r="AN68"/>
      <c r="AO68"/>
      <c r="AP68"/>
      <c r="AQ68"/>
      <c r="AR68"/>
      <c r="AU68" s="17"/>
      <c r="AV68" s="17"/>
      <c r="AW68" s="17"/>
      <c r="AX68" s="17"/>
      <c r="AY68" s="17"/>
    </row>
    <row r="69" spans="15:51" x14ac:dyDescent="0.25">
      <c r="Q69" s="17"/>
      <c r="R69" s="17"/>
      <c r="S69" s="17"/>
      <c r="T69" s="17"/>
      <c r="U69" s="17"/>
      <c r="V69" s="17"/>
      <c r="W69" s="17"/>
      <c r="X69" s="17"/>
      <c r="Y69" s="17"/>
      <c r="Z69" s="17"/>
      <c r="AA69" s="17"/>
      <c r="AB69" s="17"/>
      <c r="AH69" s="17"/>
      <c r="AI69" s="17"/>
      <c r="AN69"/>
      <c r="AO69"/>
      <c r="AP69"/>
      <c r="AQ69"/>
      <c r="AR69"/>
      <c r="AU69" s="17"/>
      <c r="AV69" s="17"/>
      <c r="AW69" s="17"/>
      <c r="AX69" s="17"/>
      <c r="AY69" s="17"/>
    </row>
    <row r="70" spans="15:51" x14ac:dyDescent="0.25">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U70" s="17"/>
      <c r="AV70" s="17"/>
      <c r="AW70" s="17"/>
      <c r="AX70" s="17"/>
      <c r="AY70" s="17"/>
    </row>
    <row r="71" spans="15:51" x14ac:dyDescent="0.25">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U71" s="17"/>
      <c r="AV71" s="17"/>
      <c r="AW71" s="17"/>
      <c r="AX71" s="17"/>
      <c r="AY71" s="17"/>
    </row>
    <row r="72" spans="15:51" x14ac:dyDescent="0.25">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U72" s="17"/>
      <c r="AV72" s="17"/>
      <c r="AW72" s="17"/>
      <c r="AX72" s="17"/>
      <c r="AY72" s="17"/>
    </row>
    <row r="73" spans="15:51" x14ac:dyDescent="0.25">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U73" s="17"/>
      <c r="AV73" s="17"/>
      <c r="AW73" s="17"/>
      <c r="AX73" s="17"/>
      <c r="AY73" s="17"/>
    </row>
    <row r="74" spans="15:51" x14ac:dyDescent="0.25">
      <c r="Q74" s="17"/>
      <c r="R74" s="17"/>
      <c r="S74" s="17"/>
      <c r="T74" s="17"/>
      <c r="U74" s="17"/>
      <c r="V74" s="17"/>
      <c r="W74" s="17"/>
      <c r="X74" s="17"/>
      <c r="Y74" s="17"/>
      <c r="Z74" s="17"/>
      <c r="AA74" s="17"/>
      <c r="AB74" s="17"/>
      <c r="AH74" s="17"/>
      <c r="AI74" s="17"/>
      <c r="AN74"/>
      <c r="AO74"/>
      <c r="AP74"/>
      <c r="AQ74"/>
      <c r="AR74"/>
      <c r="AU74" s="17"/>
      <c r="AV74" s="17"/>
      <c r="AW74" s="17"/>
      <c r="AX74" s="17"/>
      <c r="AY74" s="17"/>
    </row>
    <row r="75" spans="15:51" x14ac:dyDescent="0.25">
      <c r="V75" s="17"/>
      <c r="W75" s="17"/>
      <c r="X75" s="17"/>
      <c r="Y75" s="17"/>
      <c r="AH75" s="17"/>
      <c r="AI75" s="17"/>
      <c r="AN75"/>
      <c r="AO75"/>
      <c r="AP75"/>
      <c r="AQ75"/>
      <c r="AR75"/>
      <c r="AU75" s="17"/>
      <c r="AV75" s="17"/>
      <c r="AW75" s="17"/>
      <c r="AX75" s="17"/>
      <c r="AY75" s="17"/>
    </row>
    <row r="76" spans="15:51" x14ac:dyDescent="0.25">
      <c r="V76" s="17"/>
      <c r="W76" s="17"/>
      <c r="X76" s="17"/>
      <c r="Y76" s="17"/>
      <c r="AH76" s="17"/>
      <c r="AI76" s="17"/>
      <c r="AN76"/>
      <c r="AO76"/>
      <c r="AP76"/>
      <c r="AQ76"/>
      <c r="AR76"/>
      <c r="AU76" s="17"/>
      <c r="AV76" s="17"/>
      <c r="AW76" s="17"/>
      <c r="AX76" s="17"/>
      <c r="AY76" s="17"/>
    </row>
    <row r="77" spans="15:51" x14ac:dyDescent="0.25">
      <c r="V77" s="17"/>
      <c r="W77" s="17"/>
      <c r="X77" s="17"/>
      <c r="Y77" s="17"/>
      <c r="AH77" s="17"/>
      <c r="AI77" s="17"/>
      <c r="AN77"/>
      <c r="AO77"/>
      <c r="AP77"/>
      <c r="AQ77"/>
      <c r="AR77"/>
      <c r="AU77" s="17"/>
      <c r="AV77" s="17"/>
      <c r="AW77" s="17"/>
      <c r="AX77" s="17"/>
      <c r="AY77" s="17"/>
    </row>
    <row r="78" spans="15:51" x14ac:dyDescent="0.25">
      <c r="V78" s="17"/>
      <c r="W78" s="17"/>
      <c r="X78" s="17"/>
      <c r="Y78" s="17"/>
      <c r="AH78" s="17"/>
      <c r="AI78" s="17"/>
      <c r="AN78"/>
      <c r="AO78"/>
      <c r="AP78"/>
      <c r="AQ78"/>
      <c r="AR78"/>
      <c r="AU78" s="17"/>
      <c r="AV78" s="17"/>
      <c r="AW78" s="17"/>
      <c r="AX78" s="17"/>
      <c r="AY78" s="17"/>
    </row>
    <row r="79" spans="15:51" x14ac:dyDescent="0.25">
      <c r="V79" s="17"/>
      <c r="W79" s="17"/>
      <c r="X79" s="17"/>
      <c r="Y79" s="17"/>
      <c r="AH79" s="17"/>
      <c r="AI79" s="17"/>
      <c r="AN79"/>
      <c r="AO79"/>
      <c r="AP79"/>
      <c r="AQ79"/>
      <c r="AR79"/>
      <c r="AU79" s="17"/>
      <c r="AV79" s="17"/>
      <c r="AW79" s="17"/>
      <c r="AX79" s="17"/>
      <c r="AY79" s="17"/>
    </row>
    <row r="80" spans="15:51" x14ac:dyDescent="0.25">
      <c r="V80" s="17"/>
      <c r="W80" s="17"/>
      <c r="X80" s="17"/>
      <c r="Y80" s="17"/>
      <c r="AH80" s="17"/>
      <c r="AI80" s="17"/>
      <c r="AN80"/>
      <c r="AO80"/>
      <c r="AP80"/>
      <c r="AQ80"/>
      <c r="AR80"/>
      <c r="AU80" s="17"/>
      <c r="AV80" s="17"/>
      <c r="AW80" s="17"/>
      <c r="AX80" s="17"/>
      <c r="AY80" s="17"/>
    </row>
    <row r="81" spans="15:51" x14ac:dyDescent="0.25">
      <c r="V81" s="17"/>
      <c r="W81" s="17"/>
      <c r="X81" s="17"/>
      <c r="Y81" s="17"/>
      <c r="AH81" s="17"/>
      <c r="AI81" s="17"/>
      <c r="AN81"/>
      <c r="AO81"/>
      <c r="AP81"/>
      <c r="AQ81"/>
      <c r="AR81"/>
      <c r="AU81" s="17"/>
      <c r="AV81" s="17"/>
      <c r="AW81" s="17"/>
      <c r="AX81" s="17"/>
      <c r="AY81" s="17"/>
    </row>
    <row r="82" spans="15:51" x14ac:dyDescent="0.25">
      <c r="V82" s="17"/>
      <c r="W82" s="17"/>
      <c r="X82" s="17"/>
      <c r="Y82" s="17"/>
      <c r="AH82" s="17"/>
      <c r="AI82" s="17"/>
      <c r="AN82"/>
      <c r="AO82"/>
      <c r="AP82"/>
      <c r="AQ82"/>
      <c r="AR82"/>
      <c r="AU82" s="17"/>
      <c r="AV82" s="17"/>
      <c r="AW82" s="17"/>
      <c r="AX82" s="17"/>
      <c r="AY82" s="17"/>
    </row>
    <row r="83" spans="15:51" x14ac:dyDescent="0.25">
      <c r="V83" s="17"/>
      <c r="W83" s="17"/>
      <c r="X83" s="17"/>
      <c r="AH83" s="17"/>
      <c r="AI83" s="17"/>
      <c r="AN83"/>
      <c r="AO83"/>
      <c r="AP83"/>
      <c r="AQ83"/>
      <c r="AR83"/>
      <c r="AU83" s="17"/>
      <c r="AV83" s="17"/>
      <c r="AW83" s="17"/>
      <c r="AX83" s="17"/>
      <c r="AY83" s="17"/>
    </row>
    <row r="84" spans="15:51" x14ac:dyDescent="0.25">
      <c r="V84" s="17"/>
      <c r="W84" s="17"/>
      <c r="X84" s="17"/>
      <c r="AH84" s="17"/>
      <c r="AI84" s="17"/>
      <c r="AN84"/>
      <c r="AO84"/>
      <c r="AP84"/>
      <c r="AQ84"/>
      <c r="AR84"/>
      <c r="AU84" s="17"/>
      <c r="AV84" s="17"/>
      <c r="AW84" s="17"/>
      <c r="AX84" s="17"/>
      <c r="AY84" s="17"/>
    </row>
    <row r="85" spans="15:51" x14ac:dyDescent="0.25">
      <c r="V85" s="17"/>
      <c r="W85" s="17"/>
      <c r="X85" s="17"/>
      <c r="AH85" s="17"/>
      <c r="AI85" s="17"/>
      <c r="AN85"/>
      <c r="AO85"/>
      <c r="AP85"/>
      <c r="AQ85"/>
      <c r="AR85"/>
      <c r="AU85" s="17"/>
      <c r="AV85" s="17"/>
      <c r="AW85" s="17"/>
      <c r="AX85" s="17"/>
      <c r="AY85" s="17"/>
    </row>
    <row r="86" spans="15:51" x14ac:dyDescent="0.25">
      <c r="V86" s="17"/>
      <c r="W86" s="17"/>
      <c r="X86" s="17"/>
      <c r="AH86" s="17"/>
      <c r="AI86" s="17"/>
      <c r="AN86"/>
      <c r="AO86"/>
      <c r="AP86"/>
      <c r="AQ86"/>
      <c r="AR86"/>
      <c r="AU86" s="17"/>
      <c r="AV86" s="17"/>
      <c r="AW86" s="17"/>
      <c r="AX86" s="17"/>
      <c r="AY86" s="17"/>
    </row>
    <row r="87" spans="15:51" x14ac:dyDescent="0.25">
      <c r="V87" s="17"/>
      <c r="W87" s="17"/>
      <c r="X87" s="17"/>
      <c r="AH87" s="17"/>
      <c r="AI87" s="17"/>
      <c r="AN87"/>
      <c r="AO87"/>
      <c r="AP87"/>
      <c r="AQ87"/>
      <c r="AR87"/>
      <c r="AU87" s="17"/>
      <c r="AV87" s="17"/>
      <c r="AW87" s="17"/>
      <c r="AX87" s="17"/>
      <c r="AY87" s="17"/>
    </row>
    <row r="88" spans="15:51" x14ac:dyDescent="0.25">
      <c r="V88" s="17"/>
      <c r="W88" s="17"/>
      <c r="X88" s="17"/>
      <c r="AH88" s="17"/>
      <c r="AI88" s="17"/>
      <c r="AN88"/>
      <c r="AO88"/>
      <c r="AP88"/>
      <c r="AQ88"/>
      <c r="AR88"/>
      <c r="AU88" s="17"/>
      <c r="AV88" s="17"/>
      <c r="AW88" s="17"/>
      <c r="AX88" s="17"/>
      <c r="AY88" s="17"/>
    </row>
    <row r="89" spans="15:51" x14ac:dyDescent="0.25">
      <c r="V89" s="17"/>
      <c r="W89" s="17"/>
      <c r="X89" s="17"/>
      <c r="AH89" s="17"/>
      <c r="AI89" s="17"/>
      <c r="AN89"/>
      <c r="AO89"/>
      <c r="AP89"/>
      <c r="AQ89"/>
      <c r="AR89"/>
      <c r="AU89" s="17"/>
      <c r="AV89" s="17"/>
      <c r="AW89" s="17"/>
      <c r="AX89" s="17"/>
      <c r="AY89" s="17"/>
    </row>
    <row r="90" spans="15:51" x14ac:dyDescent="0.25">
      <c r="V90" s="17"/>
      <c r="W90" s="17"/>
      <c r="X90" s="17"/>
      <c r="AH90" s="17"/>
      <c r="AI90" s="17"/>
      <c r="AN90"/>
      <c r="AO90"/>
      <c r="AP90"/>
      <c r="AQ90"/>
      <c r="AR90"/>
      <c r="AU90" s="17"/>
      <c r="AV90" s="17"/>
      <c r="AW90" s="17"/>
    </row>
    <row r="91" spans="15:51" x14ac:dyDescent="0.25">
      <c r="V91" s="17"/>
      <c r="W91" s="17"/>
      <c r="X91" s="17"/>
      <c r="AH91" s="17"/>
      <c r="AI91" s="17"/>
      <c r="AN91"/>
      <c r="AO91"/>
      <c r="AP91"/>
      <c r="AQ91"/>
      <c r="AR91"/>
      <c r="AU91" s="17"/>
      <c r="AV91" s="17"/>
      <c r="AW91" s="17"/>
    </row>
    <row r="92" spans="15:51" x14ac:dyDescent="0.25">
      <c r="V92" s="17"/>
      <c r="W92" s="17"/>
      <c r="X92" s="17"/>
      <c r="AH92" s="17"/>
      <c r="AI92" s="17"/>
      <c r="AN92"/>
      <c r="AO92"/>
      <c r="AP92"/>
      <c r="AQ92"/>
      <c r="AR92"/>
      <c r="AU92" s="17"/>
      <c r="AV92" s="17"/>
      <c r="AW92" s="17"/>
    </row>
    <row r="93" spans="15:51" x14ac:dyDescent="0.25">
      <c r="V93" s="17"/>
      <c r="W93" s="17"/>
      <c r="X93" s="17"/>
      <c r="AH93" s="17"/>
      <c r="AI93" s="17"/>
      <c r="AN93"/>
      <c r="AO93"/>
      <c r="AP93"/>
      <c r="AQ93"/>
      <c r="AR93"/>
      <c r="AU93" s="17"/>
      <c r="AV93" s="17"/>
      <c r="AW93" s="17"/>
    </row>
    <row r="94" spans="15:51" x14ac:dyDescent="0.25">
      <c r="V94" s="17"/>
      <c r="W94" s="17"/>
      <c r="X94" s="17"/>
      <c r="AH94" s="17"/>
      <c r="AI94" s="17"/>
      <c r="AN94"/>
      <c r="AO94"/>
      <c r="AP94"/>
      <c r="AQ94"/>
      <c r="AR94"/>
      <c r="AU94" s="17"/>
      <c r="AV94" s="17"/>
    </row>
    <row r="95" spans="15:51" x14ac:dyDescent="0.25">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U95" s="17"/>
      <c r="AV95" s="17"/>
    </row>
    <row r="96" spans="15:51" x14ac:dyDescent="0.25">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U96" s="17"/>
      <c r="AV96" s="17"/>
    </row>
    <row r="97" spans="15:48" x14ac:dyDescent="0.25">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U97" s="17"/>
      <c r="AV97" s="17"/>
    </row>
    <row r="98" spans="15:48" x14ac:dyDescent="0.25">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U98" s="17"/>
      <c r="AV98" s="17"/>
    </row>
    <row r="99" spans="15:48" x14ac:dyDescent="0.25">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U99" s="17"/>
      <c r="AV99" s="17"/>
    </row>
    <row r="100" spans="15:48" x14ac:dyDescent="0.25">
      <c r="AH100" s="17"/>
      <c r="AI100" s="17"/>
      <c r="AN100"/>
      <c r="AU100" s="17"/>
    </row>
    <row r="101" spans="15:48" x14ac:dyDescent="0.25">
      <c r="O101" s="370" t="s">
        <v>12</v>
      </c>
      <c r="P101" s="371"/>
      <c r="Q101" s="371"/>
      <c r="R101" s="371"/>
      <c r="S101" s="371"/>
      <c r="T101" s="371"/>
      <c r="U101" s="371"/>
      <c r="V101" s="371"/>
      <c r="W101" s="371"/>
      <c r="X101" s="372"/>
      <c r="Z101" s="370" t="s">
        <v>13</v>
      </c>
      <c r="AA101" s="371"/>
      <c r="AB101" s="371"/>
      <c r="AC101" s="371"/>
      <c r="AD101" s="371"/>
      <c r="AE101" s="371"/>
      <c r="AF101" s="371"/>
      <c r="AG101" s="371"/>
      <c r="AH101" s="371"/>
      <c r="AI101" s="372"/>
      <c r="AK101" s="370" t="s">
        <v>27</v>
      </c>
      <c r="AL101" s="371"/>
      <c r="AM101" s="371"/>
      <c r="AN101" s="371"/>
      <c r="AO101" s="371"/>
      <c r="AP101" s="371"/>
      <c r="AQ101" s="371"/>
      <c r="AR101" s="371"/>
      <c r="AS101" s="371"/>
      <c r="AT101" s="372"/>
    </row>
    <row r="102" spans="15:48" x14ac:dyDescent="0.25">
      <c r="O102" s="111" t="s">
        <v>20</v>
      </c>
      <c r="P102" s="112" t="s">
        <v>94</v>
      </c>
      <c r="Q102" s="112" t="s">
        <v>95</v>
      </c>
      <c r="R102" s="112" t="s">
        <v>101</v>
      </c>
      <c r="S102" s="113" t="s">
        <v>50</v>
      </c>
      <c r="T102" s="112" t="s">
        <v>45</v>
      </c>
      <c r="U102" s="112" t="s">
        <v>98</v>
      </c>
      <c r="V102" s="112" t="s">
        <v>97</v>
      </c>
      <c r="W102" s="112" t="s">
        <v>99</v>
      </c>
      <c r="X102" s="114" t="s">
        <v>103</v>
      </c>
      <c r="Z102" s="111" t="s">
        <v>20</v>
      </c>
      <c r="AA102" s="112" t="s">
        <v>94</v>
      </c>
      <c r="AB102" s="112" t="s">
        <v>95</v>
      </c>
      <c r="AC102" s="112" t="s">
        <v>101</v>
      </c>
      <c r="AD102" s="113" t="s">
        <v>50</v>
      </c>
      <c r="AE102" s="112" t="s">
        <v>45</v>
      </c>
      <c r="AF102" s="112" t="s">
        <v>98</v>
      </c>
      <c r="AG102" s="112" t="s">
        <v>97</v>
      </c>
      <c r="AH102" s="112" t="s">
        <v>99</v>
      </c>
      <c r="AI102" s="114" t="s">
        <v>103</v>
      </c>
      <c r="AK102" s="111" t="s">
        <v>20</v>
      </c>
      <c r="AL102" s="112" t="s">
        <v>94</v>
      </c>
      <c r="AM102" s="112" t="s">
        <v>95</v>
      </c>
      <c r="AN102" s="112" t="s">
        <v>101</v>
      </c>
      <c r="AO102" s="113" t="s">
        <v>50</v>
      </c>
      <c r="AP102" s="112" t="s">
        <v>45</v>
      </c>
      <c r="AQ102" s="112" t="s">
        <v>98</v>
      </c>
      <c r="AR102" s="112" t="s">
        <v>97</v>
      </c>
      <c r="AS102" s="112" t="s">
        <v>99</v>
      </c>
      <c r="AT102" s="114" t="s">
        <v>103</v>
      </c>
      <c r="AU102" s="132" t="s">
        <v>111</v>
      </c>
    </row>
    <row r="103" spans="15:48" x14ac:dyDescent="0.25">
      <c r="O103" s="115">
        <v>1986</v>
      </c>
      <c r="P103" s="37">
        <v>5</v>
      </c>
      <c r="Q103" s="37">
        <v>0</v>
      </c>
      <c r="R103" s="37">
        <v>2049.3472121411569</v>
      </c>
      <c r="S103" s="94">
        <v>1226.1672150899999</v>
      </c>
      <c r="T103" s="37">
        <v>414.20465720000004</v>
      </c>
      <c r="U103" s="37">
        <f t="shared" ref="U103" si="62">R103+T103</f>
        <v>2463.5518693411568</v>
      </c>
      <c r="V103" s="37">
        <f t="shared" ref="V103" si="63">S103-U103</f>
        <v>-1237.3846542511569</v>
      </c>
      <c r="W103" s="116">
        <f t="shared" ref="W103" si="64">V103/U103</f>
        <v>-0.50227668012611337</v>
      </c>
      <c r="X103" s="117">
        <f t="shared" ref="X103:X134" si="65">V103/$U$135</f>
        <v>-0.16874883038436472</v>
      </c>
      <c r="Z103" s="115">
        <v>1986</v>
      </c>
      <c r="AA103" s="37">
        <v>0</v>
      </c>
      <c r="AB103" s="37">
        <v>0</v>
      </c>
      <c r="AC103" s="37">
        <v>0</v>
      </c>
      <c r="AD103" s="94">
        <v>4954.2366442000039</v>
      </c>
      <c r="AE103" s="37">
        <v>4954.2366442000039</v>
      </c>
      <c r="AF103" s="37">
        <f t="shared" ref="AF103:AF134" si="66">AC103+AE103</f>
        <v>4954.2366442000039</v>
      </c>
      <c r="AG103" s="37">
        <f t="shared" ref="AG103:AG134" si="67">AD103-AF103</f>
        <v>0</v>
      </c>
      <c r="AH103" s="116">
        <f t="shared" ref="AH103:AH134" si="68">AG103/AF103</f>
        <v>0</v>
      </c>
      <c r="AI103" s="117">
        <f>AG103/$AF$135</f>
        <v>0</v>
      </c>
      <c r="AK103" s="115">
        <v>1986</v>
      </c>
      <c r="AL103" s="37"/>
      <c r="AM103" s="37"/>
      <c r="AN103" s="37"/>
      <c r="AO103" s="94">
        <v>213.66542279999999</v>
      </c>
      <c r="AP103" s="37">
        <v>213.66542279999999</v>
      </c>
      <c r="AQ103" s="37">
        <f t="shared" ref="AQ103:AQ134" si="69">AN103+AP103</f>
        <v>213.66542279999999</v>
      </c>
      <c r="AR103" s="37">
        <f t="shared" ref="AR103:AR134" si="70">AO103-AQ103</f>
        <v>0</v>
      </c>
      <c r="AS103" s="116">
        <f t="shared" ref="AS103:AS134" si="71">AR103/AQ103</f>
        <v>0</v>
      </c>
      <c r="AT103" s="117">
        <f>AR103/$AQ$135</f>
        <v>0</v>
      </c>
      <c r="AU103" s="5">
        <f>AQ103+Y4</f>
        <v>213.66542279999999</v>
      </c>
    </row>
    <row r="104" spans="15:48" x14ac:dyDescent="0.25">
      <c r="O104" s="115">
        <v>1987</v>
      </c>
      <c r="P104" s="37">
        <v>1</v>
      </c>
      <c r="Q104" s="37">
        <v>0</v>
      </c>
      <c r="R104" s="37">
        <v>1792.7233691342735</v>
      </c>
      <c r="S104" s="94">
        <v>6105.5810914000003</v>
      </c>
      <c r="T104" s="37">
        <v>2150.7636680000005</v>
      </c>
      <c r="U104" s="37">
        <f t="shared" ref="U104:U134" si="72">R104+T104</f>
        <v>3943.487037134274</v>
      </c>
      <c r="V104" s="37">
        <f t="shared" ref="V104:V134" si="73">S104-U104</f>
        <v>2162.0940542657263</v>
      </c>
      <c r="W104" s="116">
        <f t="shared" ref="W104:W134" si="74">V104/U104</f>
        <v>0.54826959843055978</v>
      </c>
      <c r="X104" s="117">
        <f t="shared" si="65"/>
        <v>0.29485644709173459</v>
      </c>
      <c r="Z104" s="115">
        <v>1987</v>
      </c>
      <c r="AA104" s="37"/>
      <c r="AB104" s="37"/>
      <c r="AC104" s="37"/>
      <c r="AD104" s="94">
        <v>6885.4926993999989</v>
      </c>
      <c r="AE104" s="37">
        <v>6885.4926993999989</v>
      </c>
      <c r="AF104" s="37">
        <f t="shared" si="66"/>
        <v>6885.4926993999989</v>
      </c>
      <c r="AG104" s="37">
        <f t="shared" si="67"/>
        <v>0</v>
      </c>
      <c r="AH104" s="116">
        <f t="shared" si="68"/>
        <v>0</v>
      </c>
      <c r="AI104" s="117">
        <f t="shared" ref="AI104:AI134" si="75">AG104/$AF$135</f>
        <v>0</v>
      </c>
      <c r="AK104" s="115">
        <v>1987</v>
      </c>
      <c r="AL104" s="37"/>
      <c r="AM104" s="37"/>
      <c r="AN104" s="37"/>
      <c r="AO104" s="94">
        <v>262.40692420000005</v>
      </c>
      <c r="AP104" s="37">
        <v>262.40692420000005</v>
      </c>
      <c r="AQ104" s="37">
        <f t="shared" si="69"/>
        <v>262.40692420000005</v>
      </c>
      <c r="AR104" s="37">
        <f t="shared" si="70"/>
        <v>0</v>
      </c>
      <c r="AS104" s="116">
        <f t="shared" si="71"/>
        <v>0</v>
      </c>
      <c r="AT104" s="117">
        <f t="shared" ref="AT104:AT134" si="76">AR104/$AQ$135</f>
        <v>0</v>
      </c>
      <c r="AU104" s="5">
        <f>AQ104+Y5</f>
        <v>262.40692420000005</v>
      </c>
    </row>
    <row r="105" spans="15:48" x14ac:dyDescent="0.25">
      <c r="O105" s="118">
        <v>1988</v>
      </c>
      <c r="P105" s="128">
        <v>5</v>
      </c>
      <c r="Q105" s="128">
        <v>0</v>
      </c>
      <c r="R105" s="128">
        <v>7278.6022060335799</v>
      </c>
      <c r="S105" s="94">
        <v>5504.0680540299973</v>
      </c>
      <c r="T105" s="128">
        <v>1366.0164565999996</v>
      </c>
      <c r="U105" s="128"/>
      <c r="V105" s="128"/>
      <c r="W105" s="129" t="e">
        <f t="shared" si="74"/>
        <v>#DIV/0!</v>
      </c>
      <c r="X105" s="130">
        <f t="shared" si="65"/>
        <v>0</v>
      </c>
      <c r="Y105" t="s">
        <v>110</v>
      </c>
      <c r="Z105" s="115">
        <v>1988</v>
      </c>
      <c r="AA105" s="37">
        <v>1</v>
      </c>
      <c r="AB105" s="37">
        <v>0</v>
      </c>
      <c r="AC105" s="37">
        <v>0</v>
      </c>
      <c r="AD105" s="94">
        <v>5709.7463228700017</v>
      </c>
      <c r="AE105" s="37">
        <v>5593.5838718000014</v>
      </c>
      <c r="AF105" s="37"/>
      <c r="AG105" s="37"/>
      <c r="AH105" s="116" t="e">
        <f t="shared" si="68"/>
        <v>#DIV/0!</v>
      </c>
      <c r="AI105" s="117">
        <f t="shared" si="75"/>
        <v>0</v>
      </c>
      <c r="AJ105" s="17" t="s">
        <v>110</v>
      </c>
      <c r="AK105" s="115">
        <v>1988</v>
      </c>
      <c r="AL105" s="37">
        <v>2</v>
      </c>
      <c r="AM105" s="37">
        <v>0</v>
      </c>
      <c r="AN105" s="37">
        <v>0</v>
      </c>
      <c r="AO105" s="94">
        <v>956.41537245000029</v>
      </c>
      <c r="AP105" s="37">
        <v>329.13796159999998</v>
      </c>
      <c r="AQ105" s="37"/>
      <c r="AR105" s="37"/>
      <c r="AS105" s="116" t="e">
        <f t="shared" si="71"/>
        <v>#DIV/0!</v>
      </c>
      <c r="AT105" s="117">
        <f t="shared" si="76"/>
        <v>0</v>
      </c>
      <c r="AU105" s="5"/>
      <c r="AV105" s="17" t="s">
        <v>110</v>
      </c>
    </row>
    <row r="106" spans="15:48" x14ac:dyDescent="0.25">
      <c r="O106" s="115">
        <v>1989</v>
      </c>
      <c r="P106" s="37">
        <v>1</v>
      </c>
      <c r="Q106" s="37">
        <v>0</v>
      </c>
      <c r="R106" s="37">
        <v>296.67015715013019</v>
      </c>
      <c r="S106" s="94">
        <v>1215.4147305499996</v>
      </c>
      <c r="T106" s="37">
        <v>758.15753080000002</v>
      </c>
      <c r="U106" s="37">
        <f t="shared" si="72"/>
        <v>1054.8276879501302</v>
      </c>
      <c r="V106" s="37">
        <f t="shared" si="73"/>
        <v>160.58704259986939</v>
      </c>
      <c r="W106" s="116">
        <f t="shared" si="74"/>
        <v>0.15224007146792071</v>
      </c>
      <c r="X106" s="117">
        <f t="shared" si="65"/>
        <v>2.1900122585576973E-2</v>
      </c>
      <c r="Z106" s="115">
        <v>1989</v>
      </c>
      <c r="AA106" s="37">
        <v>2</v>
      </c>
      <c r="AB106" s="37">
        <v>0</v>
      </c>
      <c r="AC106" s="37">
        <v>772.37061234796397</v>
      </c>
      <c r="AD106" s="94">
        <v>4340.3450315000009</v>
      </c>
      <c r="AE106" s="37">
        <v>2842.7633574000001</v>
      </c>
      <c r="AF106" s="37">
        <f t="shared" si="66"/>
        <v>3615.1339697479643</v>
      </c>
      <c r="AG106" s="37">
        <f t="shared" si="67"/>
        <v>725.21106175203658</v>
      </c>
      <c r="AH106" s="116">
        <f t="shared" si="68"/>
        <v>0.20060420106715879</v>
      </c>
      <c r="AI106" s="117">
        <f t="shared" si="75"/>
        <v>5.2835450700969559E-2</v>
      </c>
      <c r="AK106" s="125">
        <v>1989</v>
      </c>
      <c r="AL106" s="107">
        <v>1</v>
      </c>
      <c r="AM106" s="107">
        <v>0</v>
      </c>
      <c r="AN106" s="107">
        <v>449.60951241309459</v>
      </c>
      <c r="AO106" s="107">
        <v>2498.5847723000006</v>
      </c>
      <c r="AP106" s="107">
        <v>437.20524900000004</v>
      </c>
      <c r="AQ106" s="107">
        <f t="shared" si="69"/>
        <v>886.81476141309463</v>
      </c>
      <c r="AR106" s="107">
        <f t="shared" si="70"/>
        <v>1611.770010886906</v>
      </c>
      <c r="AS106" s="126">
        <f t="shared" si="71"/>
        <v>1.8174821631505453</v>
      </c>
      <c r="AT106" s="127">
        <f t="shared" si="76"/>
        <v>0.84153072246438132</v>
      </c>
      <c r="AU106" s="5">
        <f t="shared" ref="AU106:AU115" si="77">AQ106+Y7</f>
        <v>886.81476141309463</v>
      </c>
      <c r="AV106" s="17"/>
    </row>
    <row r="107" spans="15:48" x14ac:dyDescent="0.25">
      <c r="O107" s="125">
        <v>1990</v>
      </c>
      <c r="P107" s="107">
        <v>5</v>
      </c>
      <c r="Q107" s="107">
        <v>0</v>
      </c>
      <c r="R107" s="107">
        <v>13492.861059985382</v>
      </c>
      <c r="S107" s="107">
        <v>5659.3813449999989</v>
      </c>
      <c r="T107" s="107">
        <v>1679.3540500000001</v>
      </c>
      <c r="U107" s="107">
        <f t="shared" si="72"/>
        <v>15172.215109985382</v>
      </c>
      <c r="V107" s="107">
        <f t="shared" si="73"/>
        <v>-9512.833764985382</v>
      </c>
      <c r="W107" s="126">
        <f t="shared" si="74"/>
        <v>-0.62699043587410275</v>
      </c>
      <c r="X107" s="127">
        <f t="shared" si="65"/>
        <v>-1.2973165344883499</v>
      </c>
      <c r="Z107" s="115">
        <v>1990</v>
      </c>
      <c r="AA107" s="37">
        <v>5</v>
      </c>
      <c r="AB107" s="37">
        <v>0</v>
      </c>
      <c r="AC107" s="37">
        <v>8982.0197590297448</v>
      </c>
      <c r="AD107" s="94">
        <v>14783.496607630002</v>
      </c>
      <c r="AE107" s="37">
        <v>5244.8315839999987</v>
      </c>
      <c r="AF107" s="37">
        <f t="shared" si="66"/>
        <v>14226.851343029743</v>
      </c>
      <c r="AG107" s="37">
        <f t="shared" si="67"/>
        <v>556.64526460025991</v>
      </c>
      <c r="AH107" s="116">
        <f t="shared" si="68"/>
        <v>3.912638511352555E-2</v>
      </c>
      <c r="AI107" s="117">
        <f t="shared" si="75"/>
        <v>4.0554543341716466E-2</v>
      </c>
      <c r="AK107" s="115">
        <v>1990</v>
      </c>
      <c r="AL107" s="37"/>
      <c r="AM107" s="37"/>
      <c r="AN107" s="37"/>
      <c r="AO107" s="94">
        <v>1021.2368579999999</v>
      </c>
      <c r="AP107" s="37">
        <v>1021.2368579999999</v>
      </c>
      <c r="AQ107" s="37">
        <f t="shared" si="69"/>
        <v>1021.2368579999999</v>
      </c>
      <c r="AR107" s="37">
        <f t="shared" si="70"/>
        <v>0</v>
      </c>
      <c r="AS107" s="116">
        <f t="shared" si="71"/>
        <v>0</v>
      </c>
      <c r="AT107" s="117">
        <f t="shared" si="76"/>
        <v>0</v>
      </c>
      <c r="AU107" s="5">
        <f t="shared" si="77"/>
        <v>1021.2368579999999</v>
      </c>
      <c r="AV107" s="17"/>
    </row>
    <row r="108" spans="15:48" x14ac:dyDescent="0.25">
      <c r="O108" s="115">
        <v>1991</v>
      </c>
      <c r="P108" s="37">
        <v>6</v>
      </c>
      <c r="Q108" s="37">
        <v>0</v>
      </c>
      <c r="R108" s="37">
        <v>1045.047375206545</v>
      </c>
      <c r="S108" s="94">
        <v>4836.1840379100013</v>
      </c>
      <c r="T108" s="37">
        <v>2487.6265480000006</v>
      </c>
      <c r="U108" s="37">
        <f t="shared" si="72"/>
        <v>3532.6739232065456</v>
      </c>
      <c r="V108" s="37">
        <f t="shared" si="73"/>
        <v>1303.5101147034557</v>
      </c>
      <c r="W108" s="116">
        <f t="shared" si="74"/>
        <v>0.36898681934399497</v>
      </c>
      <c r="X108" s="117">
        <f t="shared" si="65"/>
        <v>0.17776671667511235</v>
      </c>
      <c r="Z108" s="115">
        <v>1991</v>
      </c>
      <c r="AA108" s="37">
        <v>3</v>
      </c>
      <c r="AB108" s="37">
        <v>0</v>
      </c>
      <c r="AC108" s="37">
        <v>1074.1646289450227</v>
      </c>
      <c r="AD108" s="94">
        <v>4629.2960041799988</v>
      </c>
      <c r="AE108" s="37">
        <v>3148.7640420000012</v>
      </c>
      <c r="AF108" s="37">
        <f t="shared" si="66"/>
        <v>4222.9286709450244</v>
      </c>
      <c r="AG108" s="37">
        <f t="shared" si="67"/>
        <v>406.36733323497447</v>
      </c>
      <c r="AH108" s="116">
        <f t="shared" si="68"/>
        <v>9.6228794019396949E-2</v>
      </c>
      <c r="AI108" s="117">
        <f t="shared" si="75"/>
        <v>2.960600345746266E-2</v>
      </c>
      <c r="AK108" s="125">
        <v>1991</v>
      </c>
      <c r="AL108" s="107">
        <v>1</v>
      </c>
      <c r="AM108" s="107">
        <v>0</v>
      </c>
      <c r="AN108" s="107">
        <v>824.68497977600464</v>
      </c>
      <c r="AO108" s="107">
        <v>2285.7813498</v>
      </c>
      <c r="AP108" s="107">
        <v>140.80780200000001</v>
      </c>
      <c r="AQ108" s="107">
        <f t="shared" si="69"/>
        <v>965.49278177600468</v>
      </c>
      <c r="AR108" s="107">
        <f t="shared" si="70"/>
        <v>1320.2885680239954</v>
      </c>
      <c r="AS108" s="126">
        <f t="shared" si="71"/>
        <v>1.3674763736662545</v>
      </c>
      <c r="AT108" s="127">
        <f t="shared" si="76"/>
        <v>0.68934363153916323</v>
      </c>
      <c r="AU108" s="5">
        <f t="shared" si="77"/>
        <v>1051.4927817760047</v>
      </c>
      <c r="AV108" s="17"/>
    </row>
    <row r="109" spans="15:48" x14ac:dyDescent="0.25">
      <c r="O109" s="115">
        <v>1992</v>
      </c>
      <c r="P109" s="37">
        <v>12</v>
      </c>
      <c r="Q109" s="37">
        <v>0</v>
      </c>
      <c r="R109" s="37">
        <v>5522.2580625446562</v>
      </c>
      <c r="S109" s="94">
        <v>7342.1519558939999</v>
      </c>
      <c r="T109" s="37">
        <v>2250.0588520000001</v>
      </c>
      <c r="U109" s="37">
        <f t="shared" si="72"/>
        <v>7772.3169145446564</v>
      </c>
      <c r="V109" s="37">
        <f t="shared" si="73"/>
        <v>-430.16495865065644</v>
      </c>
      <c r="W109" s="116">
        <f t="shared" si="74"/>
        <v>-5.5345782136813161E-2</v>
      </c>
      <c r="X109" s="117">
        <f t="shared" si="65"/>
        <v>-5.8663919416850181E-2</v>
      </c>
      <c r="Z109" s="115">
        <v>1992</v>
      </c>
      <c r="AA109" s="37">
        <v>18</v>
      </c>
      <c r="AB109" s="37">
        <v>0</v>
      </c>
      <c r="AC109" s="37">
        <v>966.78892775921258</v>
      </c>
      <c r="AD109" s="94">
        <v>12323.398041589997</v>
      </c>
      <c r="AE109" s="37">
        <v>5816.3300420000023</v>
      </c>
      <c r="AF109" s="37"/>
      <c r="AG109" s="37"/>
      <c r="AH109" s="116" t="e">
        <f t="shared" si="68"/>
        <v>#DIV/0!</v>
      </c>
      <c r="AI109" s="117">
        <f t="shared" si="75"/>
        <v>0</v>
      </c>
      <c r="AJ109" s="17" t="s">
        <v>110</v>
      </c>
      <c r="AK109" s="115">
        <v>1992</v>
      </c>
      <c r="AL109" s="37">
        <v>3</v>
      </c>
      <c r="AM109" s="37">
        <v>0</v>
      </c>
      <c r="AN109" s="37">
        <v>2413.7775935626955</v>
      </c>
      <c r="AO109" s="94">
        <v>3280.4377290500011</v>
      </c>
      <c r="AP109" s="37">
        <v>391.22831600000001</v>
      </c>
      <c r="AQ109" s="37">
        <f t="shared" si="69"/>
        <v>2805.0059095626957</v>
      </c>
      <c r="AR109" s="37">
        <f t="shared" si="70"/>
        <v>475.43181948730535</v>
      </c>
      <c r="AS109" s="116">
        <f t="shared" si="71"/>
        <v>0.16949405271000867</v>
      </c>
      <c r="AT109" s="117">
        <f t="shared" si="76"/>
        <v>0.24823050424889734</v>
      </c>
      <c r="AU109" s="5">
        <f t="shared" si="77"/>
        <v>2805.0059095626957</v>
      </c>
      <c r="AV109" s="17"/>
    </row>
    <row r="110" spans="15:48" x14ac:dyDescent="0.25">
      <c r="O110" s="125">
        <v>1993</v>
      </c>
      <c r="P110" s="107">
        <v>25</v>
      </c>
      <c r="Q110" s="107">
        <v>1</v>
      </c>
      <c r="R110" s="107">
        <v>24846.112493070163</v>
      </c>
      <c r="S110" s="107">
        <v>43744.609952299987</v>
      </c>
      <c r="T110" s="107">
        <v>5530.2390999999998</v>
      </c>
      <c r="U110" s="107">
        <f t="shared" si="72"/>
        <v>30376.351593070161</v>
      </c>
      <c r="V110" s="107">
        <f t="shared" si="73"/>
        <v>13368.258359229825</v>
      </c>
      <c r="W110" s="126">
        <f t="shared" si="74"/>
        <v>0.44008768855176017</v>
      </c>
      <c r="X110" s="127">
        <f t="shared" si="65"/>
        <v>1.823101615690601</v>
      </c>
      <c r="Z110" s="115">
        <v>1993</v>
      </c>
      <c r="AA110" s="37">
        <v>36</v>
      </c>
      <c r="AB110" s="37">
        <v>0</v>
      </c>
      <c r="AC110" s="37">
        <v>16756.718656601079</v>
      </c>
      <c r="AD110" s="94">
        <v>33620.596765999988</v>
      </c>
      <c r="AE110" s="37">
        <v>13215.540838000003</v>
      </c>
      <c r="AF110" s="37">
        <f t="shared" si="66"/>
        <v>29972.259494601079</v>
      </c>
      <c r="AG110" s="37">
        <f t="shared" si="67"/>
        <v>3648.3372713989083</v>
      </c>
      <c r="AH110" s="116">
        <f t="shared" si="68"/>
        <v>0.12172379836949181</v>
      </c>
      <c r="AI110" s="117">
        <f t="shared" si="75"/>
        <v>0.26580061200089034</v>
      </c>
      <c r="AK110" s="115">
        <v>1993</v>
      </c>
      <c r="AL110" s="37"/>
      <c r="AM110" s="37"/>
      <c r="AN110" s="37"/>
      <c r="AO110" s="94">
        <v>377.14092199999993</v>
      </c>
      <c r="AP110" s="37">
        <v>377.14092199999993</v>
      </c>
      <c r="AQ110" s="37">
        <f t="shared" si="69"/>
        <v>377.14092199999993</v>
      </c>
      <c r="AR110" s="37">
        <f t="shared" si="70"/>
        <v>0</v>
      </c>
      <c r="AS110" s="116">
        <f t="shared" si="71"/>
        <v>0</v>
      </c>
      <c r="AT110" s="117">
        <f t="shared" si="76"/>
        <v>0</v>
      </c>
      <c r="AU110" s="5">
        <f t="shared" si="77"/>
        <v>377.14092199999993</v>
      </c>
      <c r="AV110" s="17"/>
    </row>
    <row r="111" spans="15:48" x14ac:dyDescent="0.25">
      <c r="O111" s="125">
        <v>1994</v>
      </c>
      <c r="P111" s="107">
        <v>26</v>
      </c>
      <c r="Q111" s="107">
        <v>1</v>
      </c>
      <c r="R111" s="107">
        <v>3891.4302444983432</v>
      </c>
      <c r="S111" s="107">
        <v>11407.118573589998</v>
      </c>
      <c r="T111" s="107">
        <v>1083.2743019999998</v>
      </c>
      <c r="U111" s="107">
        <f t="shared" si="72"/>
        <v>4974.704546498343</v>
      </c>
      <c r="V111" s="107">
        <f t="shared" si="73"/>
        <v>6432.414027091655</v>
      </c>
      <c r="W111" s="126">
        <f t="shared" si="74"/>
        <v>1.2930243327956799</v>
      </c>
      <c r="X111" s="127">
        <f t="shared" si="65"/>
        <v>0.87722305258149547</v>
      </c>
      <c r="Z111" s="115">
        <v>1994</v>
      </c>
      <c r="AA111" s="37">
        <v>35</v>
      </c>
      <c r="AB111" s="37">
        <v>0</v>
      </c>
      <c r="AC111" s="37">
        <v>4809.4136601824503</v>
      </c>
      <c r="AD111" s="94">
        <v>14489.676269449998</v>
      </c>
      <c r="AE111" s="37">
        <v>6043.8006699999987</v>
      </c>
      <c r="AF111" s="37">
        <f t="shared" si="66"/>
        <v>10853.214330182449</v>
      </c>
      <c r="AG111" s="37">
        <f t="shared" si="67"/>
        <v>3636.4619392675486</v>
      </c>
      <c r="AH111" s="116">
        <f t="shared" si="68"/>
        <v>0.33505852078813758</v>
      </c>
      <c r="AI111" s="117">
        <f t="shared" si="75"/>
        <v>0.26493543142315856</v>
      </c>
      <c r="AK111" s="115">
        <v>1994</v>
      </c>
      <c r="AL111" s="37"/>
      <c r="AM111" s="37"/>
      <c r="AN111" s="37"/>
      <c r="AO111" s="94">
        <v>855.18638599999997</v>
      </c>
      <c r="AP111" s="37">
        <v>855.18638599999997</v>
      </c>
      <c r="AQ111" s="37">
        <f t="shared" si="69"/>
        <v>855.18638599999997</v>
      </c>
      <c r="AR111" s="37">
        <f t="shared" si="70"/>
        <v>0</v>
      </c>
      <c r="AS111" s="116">
        <f t="shared" si="71"/>
        <v>0</v>
      </c>
      <c r="AT111" s="117">
        <f t="shared" si="76"/>
        <v>0</v>
      </c>
      <c r="AU111" s="5">
        <f t="shared" si="77"/>
        <v>867.18638599999997</v>
      </c>
      <c r="AV111" s="17"/>
    </row>
    <row r="112" spans="15:48" x14ac:dyDescent="0.25">
      <c r="O112" s="125">
        <v>1995</v>
      </c>
      <c r="P112" s="107">
        <v>10</v>
      </c>
      <c r="Q112" s="107">
        <v>9</v>
      </c>
      <c r="R112" s="107">
        <v>11466.670883806533</v>
      </c>
      <c r="S112" s="107">
        <v>20948.613003400005</v>
      </c>
      <c r="T112" s="107">
        <v>2766.8170919999998</v>
      </c>
      <c r="U112" s="107">
        <f t="shared" si="72"/>
        <v>14233.487975806533</v>
      </c>
      <c r="V112" s="107">
        <f t="shared" si="73"/>
        <v>6715.1250275934726</v>
      </c>
      <c r="W112" s="126">
        <f t="shared" si="74"/>
        <v>0.4717835177861921</v>
      </c>
      <c r="X112" s="127">
        <f t="shared" si="65"/>
        <v>0.91577787909204955</v>
      </c>
      <c r="Z112" s="115">
        <v>1995</v>
      </c>
      <c r="AA112" s="37">
        <v>9</v>
      </c>
      <c r="AB112" s="37">
        <v>0</v>
      </c>
      <c r="AC112" s="37">
        <v>3506.7346275092764</v>
      </c>
      <c r="AD112" s="94">
        <v>14684.497974740005</v>
      </c>
      <c r="AE112" s="37">
        <v>7415.6130199999998</v>
      </c>
      <c r="AF112" s="37">
        <f t="shared" si="66"/>
        <v>10922.347647509276</v>
      </c>
      <c r="AG112" s="37">
        <f t="shared" si="67"/>
        <v>3762.1503272307291</v>
      </c>
      <c r="AH112" s="116">
        <f t="shared" si="68"/>
        <v>0.3444452098252565</v>
      </c>
      <c r="AI112" s="117">
        <f t="shared" si="75"/>
        <v>0.27409249338229286</v>
      </c>
      <c r="AK112" s="115">
        <v>1995</v>
      </c>
      <c r="AL112" s="37"/>
      <c r="AM112" s="37"/>
      <c r="AN112" s="37"/>
      <c r="AO112" s="94">
        <v>648.725596</v>
      </c>
      <c r="AP112" s="37">
        <v>648.725596</v>
      </c>
      <c r="AQ112" s="37">
        <f t="shared" si="69"/>
        <v>648.725596</v>
      </c>
      <c r="AR112" s="37">
        <f t="shared" si="70"/>
        <v>0</v>
      </c>
      <c r="AS112" s="116">
        <f t="shared" si="71"/>
        <v>0</v>
      </c>
      <c r="AT112" s="117">
        <f t="shared" si="76"/>
        <v>0</v>
      </c>
      <c r="AU112" s="5">
        <f t="shared" si="77"/>
        <v>666.725596</v>
      </c>
      <c r="AV112" s="17"/>
    </row>
    <row r="113" spans="4:48" x14ac:dyDescent="0.25">
      <c r="O113" s="115">
        <v>1996</v>
      </c>
      <c r="P113" s="37">
        <v>3</v>
      </c>
      <c r="Q113" s="37">
        <v>4</v>
      </c>
      <c r="R113" s="37">
        <v>11478.628680051233</v>
      </c>
      <c r="S113" s="94">
        <v>11901.081966060003</v>
      </c>
      <c r="T113" s="37">
        <v>1734.601326</v>
      </c>
      <c r="U113" s="37">
        <f t="shared" si="72"/>
        <v>13213.230006051233</v>
      </c>
      <c r="V113" s="37">
        <f t="shared" si="73"/>
        <v>-1312.1480399912307</v>
      </c>
      <c r="W113" s="116">
        <f t="shared" si="74"/>
        <v>-9.9305623181486224E-2</v>
      </c>
      <c r="X113" s="117">
        <f t="shared" si="65"/>
        <v>-0.17894471721379018</v>
      </c>
      <c r="Z113" s="115">
        <v>1996</v>
      </c>
      <c r="AA113" s="37">
        <v>4</v>
      </c>
      <c r="AB113" s="37">
        <v>0</v>
      </c>
      <c r="AC113" s="37">
        <v>5699.0998141800746</v>
      </c>
      <c r="AD113" s="94">
        <v>18431.087157999995</v>
      </c>
      <c r="AE113" s="37">
        <v>6593.7381399999986</v>
      </c>
      <c r="AF113" s="37">
        <f t="shared" si="66"/>
        <v>12292.837954180073</v>
      </c>
      <c r="AG113" s="37">
        <f t="shared" si="67"/>
        <v>6138.2492038199216</v>
      </c>
      <c r="AH113" s="116">
        <f t="shared" si="68"/>
        <v>0.49933540380987962</v>
      </c>
      <c r="AI113" s="117">
        <f t="shared" si="75"/>
        <v>0.44720382837952805</v>
      </c>
      <c r="AK113" s="115">
        <v>1996</v>
      </c>
      <c r="AL113" s="37"/>
      <c r="AM113" s="37"/>
      <c r="AN113" s="37"/>
      <c r="AO113" s="94">
        <v>398.30508200000003</v>
      </c>
      <c r="AP113" s="37">
        <v>398.30508200000003</v>
      </c>
      <c r="AQ113" s="37">
        <f t="shared" si="69"/>
        <v>398.30508200000003</v>
      </c>
      <c r="AR113" s="37">
        <f t="shared" si="70"/>
        <v>0</v>
      </c>
      <c r="AS113" s="116">
        <f t="shared" si="71"/>
        <v>0</v>
      </c>
      <c r="AT113" s="117">
        <f t="shared" si="76"/>
        <v>0</v>
      </c>
      <c r="AU113" s="5">
        <f t="shared" si="77"/>
        <v>409.30508200000003</v>
      </c>
      <c r="AV113" s="17"/>
    </row>
    <row r="114" spans="4:48" x14ac:dyDescent="0.25">
      <c r="O114" s="115">
        <v>1997</v>
      </c>
      <c r="P114" s="37">
        <v>3</v>
      </c>
      <c r="Q114" s="37">
        <v>0</v>
      </c>
      <c r="R114" s="37">
        <v>492.62357954566119</v>
      </c>
      <c r="S114" s="94">
        <v>2931.2789335300004</v>
      </c>
      <c r="T114" s="37">
        <v>2264.8296719999998</v>
      </c>
      <c r="U114" s="37">
        <f t="shared" si="72"/>
        <v>2757.4532515456613</v>
      </c>
      <c r="V114" s="37">
        <f t="shared" si="73"/>
        <v>173.8256819843391</v>
      </c>
      <c r="W114" s="116">
        <f t="shared" si="74"/>
        <v>6.3038487374864088E-2</v>
      </c>
      <c r="X114" s="117">
        <f t="shared" si="65"/>
        <v>2.3705547361401132E-2</v>
      </c>
      <c r="Z114" s="115">
        <v>1997</v>
      </c>
      <c r="AA114" s="37">
        <v>11</v>
      </c>
      <c r="AB114" s="37">
        <v>1</v>
      </c>
      <c r="AC114" s="37">
        <v>15571.140480928061</v>
      </c>
      <c r="AD114" s="94">
        <v>20509.654734519994</v>
      </c>
      <c r="AE114" s="37">
        <v>11309.002757999999</v>
      </c>
      <c r="AF114" s="37">
        <f t="shared" si="66"/>
        <v>26880.14323892806</v>
      </c>
      <c r="AG114" s="37">
        <f t="shared" si="67"/>
        <v>-6370.4885044080656</v>
      </c>
      <c r="AH114" s="116">
        <f t="shared" si="68"/>
        <v>-0.23699607728214292</v>
      </c>
      <c r="AI114" s="117">
        <f t="shared" si="75"/>
        <v>-0.46412368628600886</v>
      </c>
      <c r="AK114" s="115">
        <v>1997</v>
      </c>
      <c r="AL114" s="37"/>
      <c r="AM114" s="37"/>
      <c r="AN114" s="37"/>
      <c r="AO114" s="94">
        <v>487.34887599999996</v>
      </c>
      <c r="AP114" s="37">
        <v>487.34887599999996</v>
      </c>
      <c r="AQ114" s="37">
        <f t="shared" si="69"/>
        <v>487.34887599999996</v>
      </c>
      <c r="AR114" s="37">
        <f t="shared" si="70"/>
        <v>0</v>
      </c>
      <c r="AS114" s="116">
        <f t="shared" si="71"/>
        <v>0</v>
      </c>
      <c r="AT114" s="117">
        <f t="shared" si="76"/>
        <v>0</v>
      </c>
      <c r="AU114" s="5">
        <f t="shared" si="77"/>
        <v>489.34887599999996</v>
      </c>
      <c r="AV114" s="17"/>
    </row>
    <row r="115" spans="4:48" x14ac:dyDescent="0.25">
      <c r="O115" s="125">
        <v>1998</v>
      </c>
      <c r="P115" s="107">
        <v>11</v>
      </c>
      <c r="Q115" s="107">
        <v>1</v>
      </c>
      <c r="R115" s="107">
        <v>4971.8010471340158</v>
      </c>
      <c r="S115" s="107">
        <v>13261.271814700005</v>
      </c>
      <c r="T115" s="107">
        <v>1772.1677100000002</v>
      </c>
      <c r="U115" s="107">
        <f t="shared" si="72"/>
        <v>6743.9687571340164</v>
      </c>
      <c r="V115" s="107">
        <f t="shared" si="73"/>
        <v>6517.3030575659886</v>
      </c>
      <c r="W115" s="126">
        <f t="shared" si="74"/>
        <v>0.96638986511788738</v>
      </c>
      <c r="X115" s="127">
        <f t="shared" si="65"/>
        <v>0.8887998282880567</v>
      </c>
      <c r="Z115" s="115">
        <v>1998</v>
      </c>
      <c r="AA115" s="37">
        <v>7</v>
      </c>
      <c r="AB115" s="37">
        <v>5</v>
      </c>
      <c r="AC115" s="37">
        <v>17729.97973361699</v>
      </c>
      <c r="AD115" s="94">
        <v>29392.208093059999</v>
      </c>
      <c r="AE115" s="37">
        <v>9089.5437539999966</v>
      </c>
      <c r="AF115" s="37">
        <f t="shared" si="66"/>
        <v>26819.523487616985</v>
      </c>
      <c r="AG115" s="37">
        <f t="shared" si="67"/>
        <v>2572.6846054430134</v>
      </c>
      <c r="AH115" s="116">
        <f t="shared" si="68"/>
        <v>9.5925813396008475E-2</v>
      </c>
      <c r="AI115" s="117">
        <f t="shared" si="75"/>
        <v>0.18743364216154818</v>
      </c>
      <c r="AK115" s="115">
        <v>1998</v>
      </c>
      <c r="AL115" s="37"/>
      <c r="AM115" s="37"/>
      <c r="AN115" s="37"/>
      <c r="AO115" s="94">
        <v>998.68380000000036</v>
      </c>
      <c r="AP115" s="37">
        <v>998.68380000000036</v>
      </c>
      <c r="AQ115" s="37">
        <f t="shared" si="69"/>
        <v>998.68380000000036</v>
      </c>
      <c r="AR115" s="37">
        <f t="shared" si="70"/>
        <v>0</v>
      </c>
      <c r="AS115" s="116">
        <f t="shared" si="71"/>
        <v>0</v>
      </c>
      <c r="AT115" s="117">
        <f t="shared" si="76"/>
        <v>0</v>
      </c>
      <c r="AU115" s="5">
        <f t="shared" si="77"/>
        <v>1153.6838000000002</v>
      </c>
      <c r="AV115" s="17"/>
    </row>
    <row r="116" spans="4:48" x14ac:dyDescent="0.25">
      <c r="O116" s="115">
        <v>1999</v>
      </c>
      <c r="P116" s="37">
        <v>6</v>
      </c>
      <c r="Q116" s="37">
        <v>0</v>
      </c>
      <c r="R116" s="37">
        <v>5150.2124877572342</v>
      </c>
      <c r="S116" s="94">
        <v>9306.4665471929929</v>
      </c>
      <c r="T116" s="37">
        <v>1933.235786</v>
      </c>
      <c r="U116" s="37">
        <f t="shared" si="72"/>
        <v>7083.4482737572343</v>
      </c>
      <c r="V116" s="37">
        <f t="shared" si="73"/>
        <v>2223.0182734357586</v>
      </c>
      <c r="W116" s="116">
        <f t="shared" si="74"/>
        <v>0.31383278136887066</v>
      </c>
      <c r="X116" s="117">
        <f t="shared" si="65"/>
        <v>0.30316501200863621</v>
      </c>
      <c r="Z116" s="115">
        <v>1999</v>
      </c>
      <c r="AA116" s="37">
        <v>2</v>
      </c>
      <c r="AB116" s="37">
        <v>0</v>
      </c>
      <c r="AC116" s="37">
        <v>1103.0034752667907</v>
      </c>
      <c r="AD116" s="94">
        <v>9057.5692067</v>
      </c>
      <c r="AE116" s="37">
        <v>7544.9569019999999</v>
      </c>
      <c r="AF116" s="37">
        <f t="shared" si="66"/>
        <v>8647.9603772667906</v>
      </c>
      <c r="AG116" s="37">
        <f t="shared" si="67"/>
        <v>409.60882943320939</v>
      </c>
      <c r="AH116" s="116">
        <f t="shared" si="68"/>
        <v>4.7364790258517267E-2</v>
      </c>
      <c r="AI116" s="117">
        <f t="shared" si="75"/>
        <v>2.9842163551553696E-2</v>
      </c>
      <c r="AK116" s="115">
        <v>1999</v>
      </c>
      <c r="AL116" s="37">
        <v>0</v>
      </c>
      <c r="AM116" s="37">
        <v>4</v>
      </c>
      <c r="AN116" s="37">
        <v>0</v>
      </c>
      <c r="AO116" s="94">
        <v>2083.7615854699998</v>
      </c>
      <c r="AP116" s="37">
        <v>1108.80357</v>
      </c>
      <c r="AQ116" s="37"/>
      <c r="AR116" s="37"/>
      <c r="AS116" s="116" t="e">
        <f t="shared" si="71"/>
        <v>#DIV/0!</v>
      </c>
      <c r="AT116" s="117">
        <f t="shared" si="76"/>
        <v>0</v>
      </c>
      <c r="AU116" s="5"/>
      <c r="AV116" s="17" t="s">
        <v>110</v>
      </c>
    </row>
    <row r="117" spans="4:48" x14ac:dyDescent="0.25">
      <c r="O117" s="115">
        <v>2000</v>
      </c>
      <c r="P117" s="37">
        <v>16</v>
      </c>
      <c r="Q117" s="37">
        <v>10</v>
      </c>
      <c r="R117" s="37">
        <v>9995.4571549529119</v>
      </c>
      <c r="S117" s="94">
        <v>7884.3872460309976</v>
      </c>
      <c r="T117" s="37">
        <v>1473.8853299999998</v>
      </c>
      <c r="U117" s="37">
        <f t="shared" si="72"/>
        <v>11469.342484952911</v>
      </c>
      <c r="V117" s="37">
        <f t="shared" si="73"/>
        <v>-3584.9552389219134</v>
      </c>
      <c r="W117" s="116">
        <f t="shared" si="74"/>
        <v>-0.31256850544180365</v>
      </c>
      <c r="X117" s="117">
        <f t="shared" si="65"/>
        <v>-0.48889971398140775</v>
      </c>
      <c r="Z117" s="115">
        <v>2000</v>
      </c>
      <c r="AA117" s="37">
        <v>1</v>
      </c>
      <c r="AB117" s="37">
        <v>0</v>
      </c>
      <c r="AC117" s="37">
        <v>1570.6035721897172</v>
      </c>
      <c r="AD117" s="94">
        <v>7552.9732823000004</v>
      </c>
      <c r="AE117" s="37">
        <v>5596.531422</v>
      </c>
      <c r="AF117" s="37">
        <f t="shared" si="66"/>
        <v>7167.134994189717</v>
      </c>
      <c r="AG117" s="37">
        <f t="shared" si="67"/>
        <v>385.83828811028343</v>
      </c>
      <c r="AH117" s="116">
        <f t="shared" si="68"/>
        <v>5.3834382695885655E-2</v>
      </c>
      <c r="AI117" s="117">
        <f t="shared" si="75"/>
        <v>2.8110354247420054E-2</v>
      </c>
      <c r="AK117" s="115">
        <v>2000</v>
      </c>
      <c r="AL117" s="37">
        <v>1</v>
      </c>
      <c r="AM117" s="37">
        <v>0</v>
      </c>
      <c r="AN117" s="37">
        <v>0</v>
      </c>
      <c r="AO117" s="94">
        <v>7888.9850333999984</v>
      </c>
      <c r="AP117" s="37">
        <v>498.21755399999995</v>
      </c>
      <c r="AQ117" s="37"/>
      <c r="AR117" s="37"/>
      <c r="AS117" s="116" t="e">
        <f t="shared" si="71"/>
        <v>#DIV/0!</v>
      </c>
      <c r="AT117" s="117">
        <f t="shared" si="76"/>
        <v>0</v>
      </c>
      <c r="AU117" s="5"/>
      <c r="AV117" s="17" t="s">
        <v>110</v>
      </c>
    </row>
    <row r="118" spans="4:48" x14ac:dyDescent="0.25">
      <c r="O118" s="115">
        <v>2001</v>
      </c>
      <c r="P118" s="37">
        <v>6</v>
      </c>
      <c r="Q118" s="37">
        <v>0</v>
      </c>
      <c r="R118" s="37">
        <v>8453.4058050116655</v>
      </c>
      <c r="S118" s="94">
        <v>12764.487265029995</v>
      </c>
      <c r="T118" s="37">
        <v>1015.0639780000002</v>
      </c>
      <c r="U118" s="37">
        <f t="shared" si="72"/>
        <v>9468.4697830116656</v>
      </c>
      <c r="V118" s="37">
        <f t="shared" si="73"/>
        <v>3296.0174820183292</v>
      </c>
      <c r="W118" s="116">
        <f t="shared" si="74"/>
        <v>0.34810455728887107</v>
      </c>
      <c r="X118" s="117">
        <f t="shared" si="65"/>
        <v>0.44949571105972197</v>
      </c>
      <c r="Z118" s="115">
        <v>2001</v>
      </c>
      <c r="AA118" s="37">
        <v>3</v>
      </c>
      <c r="AB118" s="37">
        <v>0</v>
      </c>
      <c r="AC118" s="37">
        <v>3470.5145442847725</v>
      </c>
      <c r="AD118" s="94">
        <v>8360.0161308500028</v>
      </c>
      <c r="AE118" s="37">
        <v>5943.9763819999998</v>
      </c>
      <c r="AF118" s="37">
        <f t="shared" si="66"/>
        <v>9414.4909262847723</v>
      </c>
      <c r="AG118" s="37">
        <f t="shared" si="67"/>
        <v>-1054.4747954347695</v>
      </c>
      <c r="AH118" s="116">
        <f t="shared" si="68"/>
        <v>-0.11200550339803614</v>
      </c>
      <c r="AI118" s="117">
        <f t="shared" si="75"/>
        <v>-7.6824050277184378E-2</v>
      </c>
      <c r="AK118" s="115">
        <v>2001</v>
      </c>
      <c r="AL118" s="37"/>
      <c r="AM118" s="37"/>
      <c r="AN118" s="37"/>
      <c r="AO118" s="94">
        <v>308.20308</v>
      </c>
      <c r="AP118" s="37">
        <v>308.20308</v>
      </c>
      <c r="AQ118" s="37">
        <f t="shared" si="69"/>
        <v>308.20308</v>
      </c>
      <c r="AR118" s="37">
        <f t="shared" si="70"/>
        <v>0</v>
      </c>
      <c r="AS118" s="116">
        <f t="shared" si="71"/>
        <v>0</v>
      </c>
      <c r="AT118" s="117">
        <f t="shared" si="76"/>
        <v>0</v>
      </c>
      <c r="AU118" s="5">
        <f t="shared" ref="AU118:AU134" si="78">AQ118+Y19</f>
        <v>312.20308</v>
      </c>
    </row>
    <row r="119" spans="4:48" x14ac:dyDescent="0.25">
      <c r="D119" s="366" t="s">
        <v>65</v>
      </c>
      <c r="E119" s="366"/>
      <c r="F119" s="366"/>
      <c r="G119" s="366"/>
      <c r="H119" s="366"/>
      <c r="I119" s="366"/>
      <c r="J119" s="366"/>
      <c r="O119" s="125">
        <v>2002</v>
      </c>
      <c r="P119" s="107">
        <v>6</v>
      </c>
      <c r="Q119" s="107">
        <v>8</v>
      </c>
      <c r="R119" s="107">
        <v>13806.238104112686</v>
      </c>
      <c r="S119" s="107">
        <v>20133.232279600987</v>
      </c>
      <c r="T119" s="107">
        <v>571.21186000000012</v>
      </c>
      <c r="U119" s="107">
        <f t="shared" si="72"/>
        <v>14377.449964112686</v>
      </c>
      <c r="V119" s="107">
        <f t="shared" si="73"/>
        <v>5755.7823154883008</v>
      </c>
      <c r="W119" s="126">
        <f t="shared" si="74"/>
        <v>0.40033401819204473</v>
      </c>
      <c r="X119" s="127">
        <f t="shared" si="65"/>
        <v>0.78494713050523779</v>
      </c>
      <c r="Z119" s="115">
        <v>2002</v>
      </c>
      <c r="AA119" s="37">
        <v>16</v>
      </c>
      <c r="AB119" s="37">
        <v>1</v>
      </c>
      <c r="AC119" s="37">
        <v>13959.834813394573</v>
      </c>
      <c r="AD119" s="94">
        <v>15891.105920837201</v>
      </c>
      <c r="AE119" s="37">
        <v>5334.4706200000019</v>
      </c>
      <c r="AF119" s="37">
        <f t="shared" si="66"/>
        <v>19294.305433394577</v>
      </c>
      <c r="AG119" s="37">
        <f t="shared" si="67"/>
        <v>-3403.1995125573758</v>
      </c>
      <c r="AH119" s="116">
        <f t="shared" si="68"/>
        <v>-0.17638362387832418</v>
      </c>
      <c r="AI119" s="117">
        <f t="shared" si="75"/>
        <v>-0.24794103338259499</v>
      </c>
      <c r="AK119" s="115">
        <v>2002</v>
      </c>
      <c r="AL119" s="37"/>
      <c r="AM119" s="37"/>
      <c r="AN119" s="37"/>
      <c r="AO119" s="94">
        <v>265.389748</v>
      </c>
      <c r="AP119" s="37">
        <v>265.389748</v>
      </c>
      <c r="AQ119" s="37">
        <f t="shared" si="69"/>
        <v>265.389748</v>
      </c>
      <c r="AR119" s="37">
        <f t="shared" si="70"/>
        <v>0</v>
      </c>
      <c r="AS119" s="116">
        <f t="shared" si="71"/>
        <v>0</v>
      </c>
      <c r="AT119" s="117">
        <f t="shared" si="76"/>
        <v>0</v>
      </c>
      <c r="AU119" s="5">
        <f t="shared" si="78"/>
        <v>265.389748</v>
      </c>
    </row>
    <row r="120" spans="4:48" x14ac:dyDescent="0.25">
      <c r="D120" s="60" t="s">
        <v>12</v>
      </c>
      <c r="E120" s="60" t="s">
        <v>13</v>
      </c>
      <c r="F120" s="60" t="s">
        <v>27</v>
      </c>
      <c r="G120" s="60" t="s">
        <v>31</v>
      </c>
      <c r="H120" s="60" t="s">
        <v>24</v>
      </c>
      <c r="I120" s="60" t="s">
        <v>21</v>
      </c>
      <c r="J120" s="60" t="s">
        <v>20</v>
      </c>
      <c r="O120" s="115">
        <v>2003</v>
      </c>
      <c r="P120" s="37">
        <v>5</v>
      </c>
      <c r="Q120" s="37">
        <v>0</v>
      </c>
      <c r="R120" s="37">
        <v>1806.2928435495285</v>
      </c>
      <c r="S120" s="94">
        <v>2999.5876868510004</v>
      </c>
      <c r="T120" s="37">
        <v>685.43218599999989</v>
      </c>
      <c r="U120" s="37">
        <f t="shared" si="72"/>
        <v>2491.7250295495282</v>
      </c>
      <c r="V120" s="37">
        <f t="shared" si="73"/>
        <v>507.86265730147215</v>
      </c>
      <c r="W120" s="116">
        <f t="shared" si="74"/>
        <v>0.20381970373082747</v>
      </c>
      <c r="X120" s="117">
        <f t="shared" si="65"/>
        <v>6.9259974350808259E-2</v>
      </c>
      <c r="Z120" s="115">
        <v>2003</v>
      </c>
      <c r="AA120" s="37">
        <v>9</v>
      </c>
      <c r="AB120" s="37">
        <v>0</v>
      </c>
      <c r="AC120" s="37">
        <v>4259.3719543158313</v>
      </c>
      <c r="AD120" s="94">
        <v>9226.4896655899975</v>
      </c>
      <c r="AE120" s="37">
        <v>4413.0800959999997</v>
      </c>
      <c r="AF120" s="37">
        <f t="shared" si="66"/>
        <v>8672.452050315831</v>
      </c>
      <c r="AG120" s="37">
        <f t="shared" si="67"/>
        <v>554.03761527416646</v>
      </c>
      <c r="AH120" s="116">
        <f t="shared" si="68"/>
        <v>6.3884771234219706E-2</v>
      </c>
      <c r="AI120" s="117">
        <f t="shared" si="75"/>
        <v>4.0364562335247302E-2</v>
      </c>
      <c r="AK120" s="125">
        <v>2003</v>
      </c>
      <c r="AL120" s="107">
        <v>1</v>
      </c>
      <c r="AM120" s="107">
        <v>0</v>
      </c>
      <c r="AN120" s="107">
        <v>823.97258908918593</v>
      </c>
      <c r="AO120" s="107">
        <v>1913.0738755000004</v>
      </c>
      <c r="AP120" s="107">
        <v>306.94645800000012</v>
      </c>
      <c r="AQ120" s="107">
        <f t="shared" si="69"/>
        <v>1130.9190470891861</v>
      </c>
      <c r="AR120" s="107">
        <f t="shared" si="70"/>
        <v>782.15482841081439</v>
      </c>
      <c r="AS120" s="126">
        <f t="shared" si="71"/>
        <v>0.69160991710588149</v>
      </c>
      <c r="AT120" s="127">
        <f t="shared" si="76"/>
        <v>0.4083754588964999</v>
      </c>
      <c r="AU120" s="5">
        <f t="shared" si="78"/>
        <v>1874.9190470891861</v>
      </c>
    </row>
    <row r="121" spans="4:48" x14ac:dyDescent="0.25">
      <c r="D121" s="5">
        <f t="shared" ref="D121:D129" si="79">_xlfn.RANK.AVG(L17,L$17:L$25,0)</f>
        <v>3</v>
      </c>
      <c r="E121" s="5">
        <f t="shared" ref="E121:E129" si="80">_xlfn.RANK.AVG(M17,M$17:M$25,0)</f>
        <v>5</v>
      </c>
      <c r="F121" s="5">
        <f t="shared" ref="F121:F129" si="81">_xlfn.RANK.AVG(N17,N$17:N$25,0)</f>
        <v>6</v>
      </c>
      <c r="G121" s="5">
        <f t="shared" ref="G121:G129" si="82">_xlfn.RANK.AVG(O17,O$17:O$25,0)</f>
        <v>6</v>
      </c>
      <c r="H121" s="5">
        <f t="shared" ref="H121:H129" si="83">_xlfn.RANK.AVG(P17,P$17:P$25,0)</f>
        <v>7</v>
      </c>
      <c r="I121" s="5">
        <f t="shared" ref="I121:I129" si="84">_xlfn.RANK.AVG(Q17,Q$17:Q$25,0)</f>
        <v>7</v>
      </c>
      <c r="J121" s="58">
        <v>1999</v>
      </c>
      <c r="O121" s="115">
        <v>2004</v>
      </c>
      <c r="P121" s="37">
        <v>17</v>
      </c>
      <c r="Q121" s="37">
        <v>0</v>
      </c>
      <c r="R121" s="37">
        <v>10154.457361813236</v>
      </c>
      <c r="S121" s="94">
        <v>9629.3547051950009</v>
      </c>
      <c r="T121" s="37">
        <v>450.42182600000007</v>
      </c>
      <c r="U121" s="37">
        <f t="shared" si="72"/>
        <v>10604.879187813236</v>
      </c>
      <c r="V121" s="37">
        <f t="shared" si="73"/>
        <v>-975.5244826182352</v>
      </c>
      <c r="W121" s="116">
        <f t="shared" si="74"/>
        <v>-9.1988269299595082E-2</v>
      </c>
      <c r="X121" s="117">
        <f t="shared" si="65"/>
        <v>-0.1330375440551782</v>
      </c>
      <c r="Z121" s="115">
        <v>2004</v>
      </c>
      <c r="AA121" s="37">
        <v>23</v>
      </c>
      <c r="AB121" s="37">
        <v>1</v>
      </c>
      <c r="AC121" s="37">
        <v>34592.565844960402</v>
      </c>
      <c r="AD121" s="94">
        <v>37890.709147649992</v>
      </c>
      <c r="AE121" s="37">
        <v>7596.8531860000003</v>
      </c>
      <c r="AF121" s="37">
        <f t="shared" si="66"/>
        <v>42189.419030960402</v>
      </c>
      <c r="AG121" s="37">
        <f t="shared" si="67"/>
        <v>-4298.7098833104101</v>
      </c>
      <c r="AH121" s="116">
        <f t="shared" si="68"/>
        <v>-0.1018907105631351</v>
      </c>
      <c r="AI121" s="117">
        <f t="shared" si="75"/>
        <v>-0.31318368692378806</v>
      </c>
      <c r="AK121" s="115">
        <v>2004</v>
      </c>
      <c r="AL121" s="37">
        <v>3</v>
      </c>
      <c r="AM121" s="37">
        <v>0</v>
      </c>
      <c r="AN121" s="37">
        <v>4049.2620421293896</v>
      </c>
      <c r="AO121" s="94">
        <v>5387.5706806800017</v>
      </c>
      <c r="AP121" s="37">
        <v>1436.8700960000001</v>
      </c>
      <c r="AQ121" s="37">
        <f t="shared" si="69"/>
        <v>5486.1321381293892</v>
      </c>
      <c r="AR121" s="37">
        <f t="shared" si="70"/>
        <v>-98.56145744938749</v>
      </c>
      <c r="AS121" s="116">
        <f t="shared" si="71"/>
        <v>-1.7965563892340747E-2</v>
      </c>
      <c r="AT121" s="117">
        <f t="shared" si="76"/>
        <v>-5.1460502388231438E-2</v>
      </c>
      <c r="AU121" s="5">
        <f t="shared" si="78"/>
        <v>5536.1321381293892</v>
      </c>
    </row>
    <row r="122" spans="4:48" x14ac:dyDescent="0.25">
      <c r="D122" s="5">
        <f t="shared" si="79"/>
        <v>5</v>
      </c>
      <c r="E122" s="5">
        <f t="shared" si="80"/>
        <v>6</v>
      </c>
      <c r="F122" s="5">
        <f t="shared" si="81"/>
        <v>2</v>
      </c>
      <c r="G122" s="5">
        <f t="shared" si="82"/>
        <v>8</v>
      </c>
      <c r="H122" s="5">
        <f t="shared" si="83"/>
        <v>5</v>
      </c>
      <c r="I122" s="5">
        <f t="shared" si="84"/>
        <v>9</v>
      </c>
      <c r="J122" s="58">
        <v>2000</v>
      </c>
      <c r="O122" s="115">
        <v>2005</v>
      </c>
      <c r="P122" s="37">
        <v>6</v>
      </c>
      <c r="Q122" s="37">
        <v>2</v>
      </c>
      <c r="R122" s="37">
        <v>2655.5611620516684</v>
      </c>
      <c r="S122" s="94">
        <v>3939.4632202189987</v>
      </c>
      <c r="T122" s="37">
        <v>461.88574599999993</v>
      </c>
      <c r="U122" s="37">
        <f t="shared" si="72"/>
        <v>3117.4469080516683</v>
      </c>
      <c r="V122" s="37">
        <f t="shared" si="73"/>
        <v>822.0163121673304</v>
      </c>
      <c r="W122" s="116">
        <f t="shared" si="74"/>
        <v>0.26368253779855755</v>
      </c>
      <c r="X122" s="117">
        <f t="shared" si="65"/>
        <v>0.11210280550881185</v>
      </c>
      <c r="Z122" s="115">
        <v>2005</v>
      </c>
      <c r="AA122" s="37">
        <v>9</v>
      </c>
      <c r="AB122" s="37">
        <v>0</v>
      </c>
      <c r="AC122" s="37">
        <v>15604.663591368677</v>
      </c>
      <c r="AD122" s="94">
        <v>18909.488939660001</v>
      </c>
      <c r="AE122" s="37">
        <v>7712.8592379999991</v>
      </c>
      <c r="AF122" s="37">
        <f t="shared" si="66"/>
        <v>23317.522829368674</v>
      </c>
      <c r="AG122" s="37">
        <f t="shared" si="67"/>
        <v>-4408.0338897086731</v>
      </c>
      <c r="AH122" s="116">
        <f t="shared" si="68"/>
        <v>-0.18904383291336188</v>
      </c>
      <c r="AI122" s="117">
        <f t="shared" si="75"/>
        <v>-0.32114851737815708</v>
      </c>
      <c r="AK122" s="125">
        <v>2005</v>
      </c>
      <c r="AL122" s="107">
        <v>1</v>
      </c>
      <c r="AM122" s="107">
        <v>0</v>
      </c>
      <c r="AN122" s="107">
        <v>1933.1743413779204</v>
      </c>
      <c r="AO122" s="107">
        <v>5302.5303370000011</v>
      </c>
      <c r="AP122" s="107">
        <v>2047.2576979999999</v>
      </c>
      <c r="AQ122" s="107">
        <f t="shared" si="69"/>
        <v>3980.4320393779203</v>
      </c>
      <c r="AR122" s="107">
        <f t="shared" si="70"/>
        <v>1322.0982976220807</v>
      </c>
      <c r="AS122" s="126">
        <f t="shared" si="71"/>
        <v>0.33214944622662224</v>
      </c>
      <c r="AT122" s="127">
        <f t="shared" si="76"/>
        <v>0.6902885201063006</v>
      </c>
      <c r="AU122" s="5">
        <f t="shared" si="78"/>
        <v>3980.4320393779203</v>
      </c>
    </row>
    <row r="123" spans="4:48" x14ac:dyDescent="0.25">
      <c r="D123" s="5">
        <f t="shared" si="79"/>
        <v>4</v>
      </c>
      <c r="E123" s="5">
        <f t="shared" si="80"/>
        <v>9</v>
      </c>
      <c r="F123" s="5">
        <f t="shared" si="81"/>
        <v>8</v>
      </c>
      <c r="G123" s="5">
        <f t="shared" si="82"/>
        <v>5</v>
      </c>
      <c r="H123" s="5">
        <f t="shared" si="83"/>
        <v>8</v>
      </c>
      <c r="I123" s="5">
        <f t="shared" si="84"/>
        <v>8</v>
      </c>
      <c r="J123" s="58">
        <v>2001</v>
      </c>
      <c r="O123" s="115">
        <v>2006</v>
      </c>
      <c r="P123" s="37">
        <v>6</v>
      </c>
      <c r="Q123" s="37">
        <v>0</v>
      </c>
      <c r="R123" s="37">
        <v>4298.7330567833942</v>
      </c>
      <c r="S123" s="94">
        <v>2152.5670843753996</v>
      </c>
      <c r="T123" s="37">
        <v>718.28072599999996</v>
      </c>
      <c r="U123" s="37">
        <f t="shared" si="72"/>
        <v>5017.0137827833942</v>
      </c>
      <c r="V123" s="37">
        <f t="shared" si="73"/>
        <v>-2864.4466984079945</v>
      </c>
      <c r="W123" s="116">
        <f t="shared" si="74"/>
        <v>-0.57094654757333063</v>
      </c>
      <c r="X123" s="117">
        <f t="shared" si="65"/>
        <v>-0.39064007169802212</v>
      </c>
      <c r="Z123" s="115">
        <v>2006</v>
      </c>
      <c r="AA123" s="37">
        <v>12</v>
      </c>
      <c r="AB123" s="37">
        <v>0</v>
      </c>
      <c r="AC123" s="37">
        <v>3151.6667651182429</v>
      </c>
      <c r="AD123" s="94">
        <v>7656.9264306179975</v>
      </c>
      <c r="AE123" s="37">
        <v>4539.1611700000003</v>
      </c>
      <c r="AF123" s="37">
        <f t="shared" si="66"/>
        <v>7690.8279351182427</v>
      </c>
      <c r="AG123" s="37">
        <f t="shared" si="67"/>
        <v>-33.90150450024521</v>
      </c>
      <c r="AH123" s="116">
        <f t="shared" si="68"/>
        <v>-4.4080435534700323E-3</v>
      </c>
      <c r="AI123" s="117">
        <f t="shared" si="75"/>
        <v>-2.4699034035471578E-3</v>
      </c>
      <c r="AK123" s="115">
        <v>2006</v>
      </c>
      <c r="AL123" s="37"/>
      <c r="AM123" s="37"/>
      <c r="AN123" s="37"/>
      <c r="AO123" s="94">
        <v>1018.7897519999999</v>
      </c>
      <c r="AP123" s="37">
        <v>1018.7897519999999</v>
      </c>
      <c r="AQ123" s="37">
        <f t="shared" si="69"/>
        <v>1018.7897519999999</v>
      </c>
      <c r="AR123" s="37">
        <f t="shared" si="70"/>
        <v>0</v>
      </c>
      <c r="AS123" s="116">
        <f t="shared" si="71"/>
        <v>0</v>
      </c>
      <c r="AT123" s="117">
        <f t="shared" si="76"/>
        <v>0</v>
      </c>
      <c r="AU123" s="5">
        <f t="shared" si="78"/>
        <v>1104.7897519999999</v>
      </c>
    </row>
    <row r="124" spans="4:48" x14ac:dyDescent="0.25">
      <c r="D124" s="5">
        <f t="shared" si="79"/>
        <v>1</v>
      </c>
      <c r="E124" s="5">
        <f t="shared" si="80"/>
        <v>7</v>
      </c>
      <c r="F124" s="5">
        <f t="shared" si="81"/>
        <v>9</v>
      </c>
      <c r="G124" s="5">
        <f t="shared" si="82"/>
        <v>4</v>
      </c>
      <c r="H124" s="5">
        <f t="shared" si="83"/>
        <v>9</v>
      </c>
      <c r="I124" s="5">
        <f t="shared" si="84"/>
        <v>2</v>
      </c>
      <c r="J124" s="58">
        <v>2002</v>
      </c>
      <c r="O124" s="125">
        <v>2007</v>
      </c>
      <c r="P124" s="107">
        <v>8</v>
      </c>
      <c r="Q124" s="107">
        <v>0</v>
      </c>
      <c r="R124" s="107">
        <v>19997.256868440367</v>
      </c>
      <c r="S124" s="107">
        <v>18272.485927495003</v>
      </c>
      <c r="T124" s="107">
        <v>3819.7913715999998</v>
      </c>
      <c r="U124" s="107">
        <f t="shared" si="72"/>
        <v>23817.048240040367</v>
      </c>
      <c r="V124" s="107">
        <f t="shared" si="73"/>
        <v>-5544.562312545364</v>
      </c>
      <c r="W124" s="126">
        <f t="shared" si="74"/>
        <v>-0.23279804687232589</v>
      </c>
      <c r="X124" s="127">
        <f t="shared" si="65"/>
        <v>-0.7561419175684625</v>
      </c>
      <c r="Z124" s="115">
        <v>2007</v>
      </c>
      <c r="AA124" s="37">
        <v>8</v>
      </c>
      <c r="AB124" s="37">
        <v>0</v>
      </c>
      <c r="AC124" s="37">
        <v>20563.841645652537</v>
      </c>
      <c r="AD124" s="94">
        <v>28450.73747666401</v>
      </c>
      <c r="AE124" s="37">
        <v>12216.967268000002</v>
      </c>
      <c r="AF124" s="37">
        <f t="shared" si="66"/>
        <v>32780.808913652538</v>
      </c>
      <c r="AG124" s="37">
        <f t="shared" si="67"/>
        <v>-4330.0714369885281</v>
      </c>
      <c r="AH124" s="116">
        <f t="shared" si="68"/>
        <v>-0.13209165912880025</v>
      </c>
      <c r="AI124" s="117">
        <f t="shared" si="75"/>
        <v>-0.31546854151393022</v>
      </c>
      <c r="AK124" s="125">
        <v>2007</v>
      </c>
      <c r="AL124" s="107">
        <v>11</v>
      </c>
      <c r="AM124" s="107">
        <v>0</v>
      </c>
      <c r="AN124" s="107">
        <v>30199.423069981167</v>
      </c>
      <c r="AO124" s="107">
        <v>33501.638706299993</v>
      </c>
      <c r="AP124" s="107">
        <v>2004.4553890000002</v>
      </c>
      <c r="AQ124" s="107">
        <f t="shared" si="69"/>
        <v>32203.878458981166</v>
      </c>
      <c r="AR124" s="107">
        <f t="shared" si="70"/>
        <v>1297.7602473188272</v>
      </c>
      <c r="AS124" s="126">
        <f t="shared" si="71"/>
        <v>4.0298259384248226E-2</v>
      </c>
      <c r="AT124" s="127">
        <f t="shared" si="76"/>
        <v>0.67758123748115651</v>
      </c>
      <c r="AU124" s="5">
        <f t="shared" si="78"/>
        <v>32203.878458981166</v>
      </c>
    </row>
    <row r="125" spans="4:48" x14ac:dyDescent="0.25">
      <c r="D125" s="5">
        <f t="shared" si="79"/>
        <v>7</v>
      </c>
      <c r="E125" s="5">
        <f t="shared" si="80"/>
        <v>8</v>
      </c>
      <c r="F125" s="5">
        <f t="shared" si="81"/>
        <v>5</v>
      </c>
      <c r="G125" s="5">
        <f t="shared" si="82"/>
        <v>9</v>
      </c>
      <c r="H125" s="5">
        <f t="shared" si="83"/>
        <v>4</v>
      </c>
      <c r="I125" s="5">
        <f t="shared" si="84"/>
        <v>1</v>
      </c>
      <c r="J125" s="58">
        <v>2003</v>
      </c>
      <c r="O125" s="115">
        <v>2008</v>
      </c>
      <c r="P125" s="37">
        <v>10</v>
      </c>
      <c r="Q125" s="37">
        <v>0</v>
      </c>
      <c r="R125" s="37">
        <v>16588.618102221735</v>
      </c>
      <c r="S125" s="94">
        <v>13387.973307541299</v>
      </c>
      <c r="T125" s="37">
        <v>707.41645720000008</v>
      </c>
      <c r="U125" s="37">
        <f t="shared" si="72"/>
        <v>17296.034559421736</v>
      </c>
      <c r="V125" s="37">
        <f t="shared" si="73"/>
        <v>-3908.0612518804373</v>
      </c>
      <c r="W125" s="116">
        <f t="shared" si="74"/>
        <v>-0.22595128602767411</v>
      </c>
      <c r="X125" s="117">
        <f t="shared" si="65"/>
        <v>-0.5329634265784442</v>
      </c>
      <c r="Z125" s="115">
        <v>2008</v>
      </c>
      <c r="AA125" s="37">
        <v>5</v>
      </c>
      <c r="AB125" s="37">
        <v>1</v>
      </c>
      <c r="AC125" s="37">
        <v>5094.0739563526176</v>
      </c>
      <c r="AD125" s="94">
        <v>10578.67590319</v>
      </c>
      <c r="AE125" s="37">
        <v>3773.1795138000011</v>
      </c>
      <c r="AF125" s="37">
        <f t="shared" si="66"/>
        <v>8867.2534701526183</v>
      </c>
      <c r="AG125" s="37">
        <f t="shared" si="67"/>
        <v>1711.4224330373818</v>
      </c>
      <c r="AH125" s="116">
        <f t="shared" si="68"/>
        <v>0.19300479441555038</v>
      </c>
      <c r="AI125" s="117">
        <f t="shared" si="75"/>
        <v>0.12468615049917366</v>
      </c>
      <c r="AK125" s="115">
        <v>2008</v>
      </c>
      <c r="AL125" s="37"/>
      <c r="AM125" s="37"/>
      <c r="AN125" s="37"/>
      <c r="AO125" s="94">
        <v>341.183896</v>
      </c>
      <c r="AP125" s="37">
        <v>341.183896</v>
      </c>
      <c r="AQ125" s="37">
        <f t="shared" si="69"/>
        <v>341.183896</v>
      </c>
      <c r="AR125" s="37">
        <f t="shared" si="70"/>
        <v>0</v>
      </c>
      <c r="AS125" s="116">
        <f t="shared" si="71"/>
        <v>0</v>
      </c>
      <c r="AT125" s="117">
        <f t="shared" si="76"/>
        <v>0</v>
      </c>
      <c r="AU125" s="5">
        <f t="shared" si="78"/>
        <v>341.183896</v>
      </c>
    </row>
    <row r="126" spans="4:48" x14ac:dyDescent="0.25">
      <c r="D126" s="5">
        <f t="shared" si="79"/>
        <v>6</v>
      </c>
      <c r="E126" s="5">
        <f t="shared" si="80"/>
        <v>1</v>
      </c>
      <c r="F126" s="5">
        <f t="shared" si="81"/>
        <v>3</v>
      </c>
      <c r="G126" s="5">
        <f t="shared" si="82"/>
        <v>3</v>
      </c>
      <c r="H126" s="5">
        <f t="shared" si="83"/>
        <v>1</v>
      </c>
      <c r="I126" s="5">
        <f t="shared" si="84"/>
        <v>3</v>
      </c>
      <c r="J126" s="58">
        <v>2004</v>
      </c>
      <c r="O126" s="118">
        <v>2009</v>
      </c>
      <c r="P126" s="37">
        <v>3</v>
      </c>
      <c r="Q126" s="37">
        <v>0</v>
      </c>
      <c r="R126" s="37">
        <v>2274.7812498224926</v>
      </c>
      <c r="S126" s="94">
        <v>2011.7702352150002</v>
      </c>
      <c r="T126" s="37">
        <v>692.39431280000008</v>
      </c>
      <c r="U126" s="37">
        <f t="shared" si="72"/>
        <v>2967.1755626224926</v>
      </c>
      <c r="V126" s="37">
        <f t="shared" si="73"/>
        <v>-955.40532740749245</v>
      </c>
      <c r="W126" s="116">
        <f t="shared" si="74"/>
        <v>-0.32199150580866609</v>
      </c>
      <c r="X126" s="117">
        <f t="shared" si="65"/>
        <v>-0.13029378616350709</v>
      </c>
      <c r="Z126" s="118">
        <v>2009</v>
      </c>
      <c r="AA126" s="37">
        <v>2</v>
      </c>
      <c r="AB126" s="37">
        <v>2</v>
      </c>
      <c r="AC126" s="37">
        <v>6540.4215214475807</v>
      </c>
      <c r="AD126" s="94">
        <v>14312.359341999998</v>
      </c>
      <c r="AE126" s="37">
        <v>4634.8209686</v>
      </c>
      <c r="AF126" s="37">
        <f t="shared" si="66"/>
        <v>11175.242490047582</v>
      </c>
      <c r="AG126" s="37">
        <f t="shared" si="67"/>
        <v>3137.1168519524163</v>
      </c>
      <c r="AH126" s="116">
        <f t="shared" si="68"/>
        <v>0.2807202487772647</v>
      </c>
      <c r="AI126" s="117">
        <f t="shared" si="75"/>
        <v>0.22855550820484602</v>
      </c>
      <c r="AK126" s="118">
        <v>2009</v>
      </c>
      <c r="AL126" s="37"/>
      <c r="AM126" s="37"/>
      <c r="AN126" s="37"/>
      <c r="AO126" s="94">
        <v>95.236515400000002</v>
      </c>
      <c r="AP126" s="37">
        <v>95.236515400000002</v>
      </c>
      <c r="AQ126" s="37">
        <f t="shared" si="69"/>
        <v>95.236515400000002</v>
      </c>
      <c r="AR126" s="37">
        <f t="shared" si="70"/>
        <v>0</v>
      </c>
      <c r="AS126" s="116">
        <f t="shared" si="71"/>
        <v>0</v>
      </c>
      <c r="AT126" s="117">
        <f t="shared" si="76"/>
        <v>0</v>
      </c>
      <c r="AU126" s="5">
        <f t="shared" si="78"/>
        <v>95.236515400000002</v>
      </c>
    </row>
    <row r="127" spans="4:48" x14ac:dyDescent="0.25">
      <c r="D127" s="5">
        <f t="shared" si="79"/>
        <v>9</v>
      </c>
      <c r="E127" s="5">
        <f t="shared" si="80"/>
        <v>4</v>
      </c>
      <c r="F127" s="5">
        <f t="shared" si="81"/>
        <v>4</v>
      </c>
      <c r="G127" s="5">
        <f t="shared" si="82"/>
        <v>7</v>
      </c>
      <c r="H127" s="5">
        <f t="shared" si="83"/>
        <v>3</v>
      </c>
      <c r="I127" s="5">
        <f t="shared" si="84"/>
        <v>4</v>
      </c>
      <c r="J127" s="58">
        <v>2005</v>
      </c>
      <c r="O127" s="115">
        <v>2010</v>
      </c>
      <c r="P127" s="37">
        <v>0</v>
      </c>
      <c r="Q127" s="37">
        <v>0</v>
      </c>
      <c r="R127" s="37">
        <v>0</v>
      </c>
      <c r="S127" s="94">
        <v>424.38329539999995</v>
      </c>
      <c r="T127" s="37">
        <v>424.38329539999995</v>
      </c>
      <c r="U127" s="37">
        <f t="shared" si="72"/>
        <v>424.38329539999995</v>
      </c>
      <c r="V127" s="37">
        <f t="shared" si="73"/>
        <v>0</v>
      </c>
      <c r="W127" s="116">
        <f t="shared" si="74"/>
        <v>0</v>
      </c>
      <c r="X127" s="117">
        <f t="shared" si="65"/>
        <v>0</v>
      </c>
      <c r="Z127" s="115">
        <v>2010</v>
      </c>
      <c r="AA127" s="37">
        <v>2</v>
      </c>
      <c r="AB127" s="37">
        <v>0</v>
      </c>
      <c r="AC127" s="37">
        <v>68.063281312970815</v>
      </c>
      <c r="AD127" s="94">
        <v>3196.4916373329002</v>
      </c>
      <c r="AE127" s="37">
        <v>3108.7549611999998</v>
      </c>
      <c r="AF127" s="37">
        <f t="shared" si="66"/>
        <v>3176.8182425129708</v>
      </c>
      <c r="AG127" s="37">
        <f t="shared" si="67"/>
        <v>19.673394819929399</v>
      </c>
      <c r="AH127" s="116">
        <f t="shared" si="68"/>
        <v>6.1927983655643698E-3</v>
      </c>
      <c r="AI127" s="117">
        <f t="shared" si="75"/>
        <v>1.4333105725357761E-3</v>
      </c>
      <c r="AK127" s="115">
        <v>2010</v>
      </c>
      <c r="AL127" s="37">
        <v>1</v>
      </c>
      <c r="AM127" s="37">
        <v>0</v>
      </c>
      <c r="AN127" s="37">
        <v>54.428907807829454</v>
      </c>
      <c r="AO127" s="94">
        <v>147.02882502099999</v>
      </c>
      <c r="AP127" s="37">
        <v>100.90674659999999</v>
      </c>
      <c r="AQ127" s="37">
        <f t="shared" si="69"/>
        <v>155.33565440782945</v>
      </c>
      <c r="AR127" s="37">
        <f t="shared" si="70"/>
        <v>-8.3068293868294631</v>
      </c>
      <c r="AS127" s="116">
        <f t="shared" si="71"/>
        <v>-5.3476643327616938E-2</v>
      </c>
      <c r="AT127" s="117">
        <f t="shared" si="76"/>
        <v>-4.337127560426768E-3</v>
      </c>
      <c r="AU127" s="5">
        <f t="shared" si="78"/>
        <v>378.33565440782945</v>
      </c>
    </row>
    <row r="128" spans="4:48" x14ac:dyDescent="0.25">
      <c r="D128" s="5">
        <f t="shared" si="79"/>
        <v>8</v>
      </c>
      <c r="E128" s="5">
        <f t="shared" si="80"/>
        <v>3</v>
      </c>
      <c r="F128" s="5">
        <f t="shared" si="81"/>
        <v>7</v>
      </c>
      <c r="G128" s="5">
        <f t="shared" si="82"/>
        <v>1</v>
      </c>
      <c r="H128" s="5">
        <f t="shared" si="83"/>
        <v>2</v>
      </c>
      <c r="I128" s="5">
        <f t="shared" si="84"/>
        <v>6</v>
      </c>
      <c r="J128" s="58">
        <v>2006</v>
      </c>
      <c r="O128" s="115">
        <v>2011</v>
      </c>
      <c r="P128" s="37"/>
      <c r="Q128" s="37"/>
      <c r="R128" s="37"/>
      <c r="S128" s="94">
        <v>253.15201340000002</v>
      </c>
      <c r="T128" s="37">
        <v>253.15201340000002</v>
      </c>
      <c r="U128" s="37">
        <f t="shared" si="72"/>
        <v>253.15201340000002</v>
      </c>
      <c r="V128" s="37">
        <f t="shared" si="73"/>
        <v>0</v>
      </c>
      <c r="W128" s="116">
        <f t="shared" si="74"/>
        <v>0</v>
      </c>
      <c r="X128" s="117">
        <f t="shared" si="65"/>
        <v>0</v>
      </c>
      <c r="Z128" s="115">
        <v>2011</v>
      </c>
      <c r="AA128" s="37">
        <v>3</v>
      </c>
      <c r="AB128" s="37">
        <v>0</v>
      </c>
      <c r="AC128" s="37">
        <v>92.640879496495785</v>
      </c>
      <c r="AD128" s="94">
        <v>3827.615748491</v>
      </c>
      <c r="AE128" s="37">
        <v>3763.8783063999999</v>
      </c>
      <c r="AF128" s="37">
        <f t="shared" si="66"/>
        <v>3856.5191858964959</v>
      </c>
      <c r="AG128" s="37">
        <f t="shared" si="67"/>
        <v>-28.903437405495879</v>
      </c>
      <c r="AH128" s="116">
        <f t="shared" si="68"/>
        <v>-7.4946956082047635E-3</v>
      </c>
      <c r="AI128" s="117">
        <f t="shared" si="75"/>
        <v>-2.1057678552740973E-3</v>
      </c>
      <c r="AK128" s="115">
        <v>2011</v>
      </c>
      <c r="AL128" s="37"/>
      <c r="AM128" s="37"/>
      <c r="AN128" s="37"/>
      <c r="AO128" s="94">
        <v>36.067256</v>
      </c>
      <c r="AP128" s="37">
        <v>36.067256</v>
      </c>
      <c r="AQ128" s="37">
        <f t="shared" si="69"/>
        <v>36.067256</v>
      </c>
      <c r="AR128" s="37">
        <f t="shared" si="70"/>
        <v>0</v>
      </c>
      <c r="AS128" s="116">
        <f t="shared" si="71"/>
        <v>0</v>
      </c>
      <c r="AT128" s="117">
        <f t="shared" si="76"/>
        <v>0</v>
      </c>
      <c r="AU128" s="5">
        <f t="shared" si="78"/>
        <v>356.06725599999999</v>
      </c>
    </row>
    <row r="129" spans="4:47" x14ac:dyDescent="0.25">
      <c r="D129" s="5">
        <f t="shared" si="79"/>
        <v>2</v>
      </c>
      <c r="E129" s="5">
        <f t="shared" si="80"/>
        <v>2</v>
      </c>
      <c r="F129" s="5">
        <f t="shared" si="81"/>
        <v>1</v>
      </c>
      <c r="G129" s="5">
        <f t="shared" si="82"/>
        <v>2</v>
      </c>
      <c r="H129" s="5">
        <f t="shared" si="83"/>
        <v>6</v>
      </c>
      <c r="I129" s="5">
        <f t="shared" si="84"/>
        <v>5</v>
      </c>
      <c r="J129" s="58">
        <v>2007</v>
      </c>
      <c r="O129" s="115">
        <v>2012</v>
      </c>
      <c r="P129" s="37">
        <v>3</v>
      </c>
      <c r="Q129" s="37">
        <v>0</v>
      </c>
      <c r="R129" s="37">
        <v>404.90098477239314</v>
      </c>
      <c r="S129" s="94">
        <v>743.59391791199994</v>
      </c>
      <c r="T129" s="37">
        <v>212.26550179999998</v>
      </c>
      <c r="U129" s="37">
        <f t="shared" si="72"/>
        <v>617.16648657239307</v>
      </c>
      <c r="V129" s="37">
        <f t="shared" si="73"/>
        <v>126.42743133960687</v>
      </c>
      <c r="W129" s="116">
        <f t="shared" si="74"/>
        <v>0.204851420305981</v>
      </c>
      <c r="X129" s="117">
        <f t="shared" si="65"/>
        <v>1.7241591847580721E-2</v>
      </c>
      <c r="Z129" s="115">
        <v>2012</v>
      </c>
      <c r="AA129" s="37">
        <v>3</v>
      </c>
      <c r="AB129" s="37">
        <v>0</v>
      </c>
      <c r="AC129" s="37">
        <v>221.84275985109588</v>
      </c>
      <c r="AD129" s="94">
        <v>2383.8437029900001</v>
      </c>
      <c r="AE129" s="37">
        <v>2141.8548793999994</v>
      </c>
      <c r="AF129" s="37">
        <f t="shared" si="66"/>
        <v>2363.6976392510951</v>
      </c>
      <c r="AG129" s="37">
        <f t="shared" si="67"/>
        <v>20.146063738905013</v>
      </c>
      <c r="AH129" s="116">
        <f t="shared" si="68"/>
        <v>8.5231137030233762E-3</v>
      </c>
      <c r="AI129" s="117">
        <f t="shared" si="75"/>
        <v>1.4677469961971619E-3</v>
      </c>
      <c r="AK129" s="115">
        <v>2012</v>
      </c>
      <c r="AL129" s="37"/>
      <c r="AM129" s="37"/>
      <c r="AN129" s="37"/>
      <c r="AO129" s="94">
        <v>61.876508199999996</v>
      </c>
      <c r="AP129" s="37">
        <v>61.876508199999996</v>
      </c>
      <c r="AQ129" s="37">
        <f t="shared" si="69"/>
        <v>61.876508199999996</v>
      </c>
      <c r="AR129" s="37">
        <f t="shared" si="70"/>
        <v>0</v>
      </c>
      <c r="AS129" s="116">
        <f t="shared" si="71"/>
        <v>0</v>
      </c>
      <c r="AT129" s="117">
        <f t="shared" si="76"/>
        <v>0</v>
      </c>
      <c r="AU129" s="5">
        <f t="shared" si="78"/>
        <v>406.87650819999999</v>
      </c>
    </row>
    <row r="130" spans="4:47" x14ac:dyDescent="0.25">
      <c r="D130" s="5"/>
      <c r="E130" s="5"/>
      <c r="F130" s="5"/>
      <c r="G130" s="5"/>
      <c r="H130" s="5"/>
      <c r="I130" s="5"/>
      <c r="J130" s="58"/>
      <c r="O130" s="115">
        <v>2013</v>
      </c>
      <c r="P130" s="37">
        <v>1</v>
      </c>
      <c r="Q130" s="37">
        <v>0</v>
      </c>
      <c r="R130" s="37">
        <v>5869.3703067249771</v>
      </c>
      <c r="S130" s="94">
        <v>8910.562387199996</v>
      </c>
      <c r="T130" s="37">
        <v>93.320718000000014</v>
      </c>
      <c r="U130" s="37">
        <f t="shared" si="72"/>
        <v>5962.6910247249771</v>
      </c>
      <c r="V130" s="37">
        <f t="shared" si="73"/>
        <v>2947.8713624750189</v>
      </c>
      <c r="W130" s="116">
        <f t="shared" si="74"/>
        <v>0.49438606666878004</v>
      </c>
      <c r="X130" s="117">
        <f t="shared" si="65"/>
        <v>0.40201714384624471</v>
      </c>
      <c r="Z130" s="115">
        <v>2013</v>
      </c>
      <c r="AA130" s="37">
        <v>3</v>
      </c>
      <c r="AB130" s="37">
        <v>0</v>
      </c>
      <c r="AC130" s="37">
        <v>7113.2648666974774</v>
      </c>
      <c r="AD130" s="94">
        <v>4693.4813134337001</v>
      </c>
      <c r="AE130" s="37">
        <v>1813.9426753999999</v>
      </c>
      <c r="AF130" s="37">
        <f t="shared" si="66"/>
        <v>8927.2075420974779</v>
      </c>
      <c r="AG130" s="37">
        <f t="shared" si="67"/>
        <v>-4233.7262286637779</v>
      </c>
      <c r="AH130" s="116">
        <f t="shared" si="68"/>
        <v>-0.47424978177095783</v>
      </c>
      <c r="AI130" s="117">
        <f>AG130/$AF$135</f>
        <v>-0.30844928495099394</v>
      </c>
      <c r="AK130" s="115">
        <v>2013</v>
      </c>
      <c r="AL130" s="37"/>
      <c r="AM130" s="37"/>
      <c r="AN130" s="37"/>
      <c r="AO130" s="94">
        <v>125.79447599999999</v>
      </c>
      <c r="AP130" s="37">
        <v>125.79447599999999</v>
      </c>
      <c r="AQ130" s="37">
        <f t="shared" si="69"/>
        <v>125.79447599999999</v>
      </c>
      <c r="AR130" s="37">
        <f t="shared" si="70"/>
        <v>0</v>
      </c>
      <c r="AS130" s="116">
        <f t="shared" si="71"/>
        <v>0</v>
      </c>
      <c r="AT130" s="117">
        <f>AR130/$AQ$135</f>
        <v>0</v>
      </c>
      <c r="AU130" s="5">
        <f t="shared" si="78"/>
        <v>258.79447599999997</v>
      </c>
    </row>
    <row r="131" spans="4:47" x14ac:dyDescent="0.25">
      <c r="E131" s="17"/>
      <c r="O131" s="115">
        <v>2014</v>
      </c>
      <c r="P131" s="37">
        <v>5</v>
      </c>
      <c r="Q131" s="37">
        <v>0</v>
      </c>
      <c r="R131" s="37">
        <v>791.41565004231859</v>
      </c>
      <c r="S131" s="94">
        <v>1540.2977444160001</v>
      </c>
      <c r="T131" s="37">
        <v>224.82951720000003</v>
      </c>
      <c r="U131" s="37">
        <f t="shared" si="72"/>
        <v>1016.2451672423186</v>
      </c>
      <c r="V131" s="37">
        <f t="shared" si="73"/>
        <v>524.05257717368147</v>
      </c>
      <c r="W131" s="116">
        <f t="shared" si="74"/>
        <v>0.51567534495219269</v>
      </c>
      <c r="X131" s="117">
        <f t="shared" si="65"/>
        <v>7.1467881191309118E-2</v>
      </c>
      <c r="Z131" s="115">
        <v>2014</v>
      </c>
      <c r="AA131" s="37">
        <v>1</v>
      </c>
      <c r="AB131" s="37">
        <v>1</v>
      </c>
      <c r="AC131" s="37">
        <v>456.53649210281026</v>
      </c>
      <c r="AD131" s="94">
        <v>3625.3687601300003</v>
      </c>
      <c r="AE131" s="37">
        <v>3219.3134466000001</v>
      </c>
      <c r="AF131" s="37">
        <f t="shared" si="66"/>
        <v>3675.8499387028105</v>
      </c>
      <c r="AG131" s="37">
        <f t="shared" si="67"/>
        <v>-50.481178572810222</v>
      </c>
      <c r="AH131" s="116">
        <f t="shared" si="68"/>
        <v>-1.3733198964761001E-2</v>
      </c>
      <c r="AI131" s="117">
        <f t="shared" si="75"/>
        <v>-3.677820102973719E-3</v>
      </c>
      <c r="AK131" s="115">
        <v>2014</v>
      </c>
      <c r="AL131" s="37"/>
      <c r="AM131" s="37"/>
      <c r="AN131" s="37"/>
      <c r="AO131" s="94">
        <v>115.31160300000001</v>
      </c>
      <c r="AP131" s="37">
        <v>115.31160300000001</v>
      </c>
      <c r="AQ131" s="37">
        <f t="shared" si="69"/>
        <v>115.31160300000001</v>
      </c>
      <c r="AR131" s="37">
        <f t="shared" si="70"/>
        <v>0</v>
      </c>
      <c r="AS131" s="116">
        <f t="shared" si="71"/>
        <v>0</v>
      </c>
      <c r="AT131" s="117">
        <f t="shared" si="76"/>
        <v>0</v>
      </c>
      <c r="AU131" s="5">
        <f t="shared" si="78"/>
        <v>342.31160299999999</v>
      </c>
    </row>
    <row r="132" spans="4:47" x14ac:dyDescent="0.25">
      <c r="D132">
        <v>2</v>
      </c>
      <c r="E132" s="17">
        <v>3</v>
      </c>
      <c r="F132">
        <v>4</v>
      </c>
      <c r="G132">
        <v>5</v>
      </c>
      <c r="H132">
        <v>6</v>
      </c>
      <c r="I132">
        <v>7</v>
      </c>
      <c r="O132" s="115">
        <v>2015</v>
      </c>
      <c r="P132" s="37">
        <v>3</v>
      </c>
      <c r="Q132" s="37">
        <v>0</v>
      </c>
      <c r="R132" s="37">
        <v>1679.8864382127367</v>
      </c>
      <c r="S132" s="94">
        <v>2108.36848861</v>
      </c>
      <c r="T132" s="37">
        <v>277.19538100000005</v>
      </c>
      <c r="U132" s="37">
        <f t="shared" si="72"/>
        <v>1957.0818192127367</v>
      </c>
      <c r="V132" s="37">
        <f t="shared" si="73"/>
        <v>151.28666939726327</v>
      </c>
      <c r="W132" s="116">
        <f t="shared" si="74"/>
        <v>7.7302168929309467E-2</v>
      </c>
      <c r="X132" s="117">
        <f t="shared" si="65"/>
        <v>2.0631780445817965E-2</v>
      </c>
      <c r="Z132" s="125">
        <v>2015</v>
      </c>
      <c r="AA132" s="107">
        <v>1</v>
      </c>
      <c r="AB132" s="107">
        <v>0</v>
      </c>
      <c r="AC132" s="107">
        <v>9152.0459837981834</v>
      </c>
      <c r="AD132" s="107">
        <v>28235.5631804</v>
      </c>
      <c r="AE132" s="107">
        <v>3528.9010154000011</v>
      </c>
      <c r="AF132" s="107">
        <f t="shared" si="66"/>
        <v>12680.946999198184</v>
      </c>
      <c r="AG132" s="107">
        <f t="shared" si="67"/>
        <v>15554.616181201816</v>
      </c>
      <c r="AH132" s="126">
        <f t="shared" si="68"/>
        <v>1.2266131371880455</v>
      </c>
      <c r="AI132" s="127">
        <f t="shared" si="75"/>
        <v>1.1332358257593607</v>
      </c>
      <c r="AK132" s="115">
        <v>2015</v>
      </c>
      <c r="AL132" s="37"/>
      <c r="AM132" s="37"/>
      <c r="AN132" s="37"/>
      <c r="AO132" s="94">
        <v>102.51389999999999</v>
      </c>
      <c r="AP132" s="37">
        <v>102.51389999999999</v>
      </c>
      <c r="AQ132" s="37">
        <f t="shared" si="69"/>
        <v>102.51389999999999</v>
      </c>
      <c r="AR132" s="37">
        <f t="shared" si="70"/>
        <v>0</v>
      </c>
      <c r="AS132" s="116">
        <f t="shared" si="71"/>
        <v>0</v>
      </c>
      <c r="AT132" s="117">
        <f t="shared" si="76"/>
        <v>0</v>
      </c>
      <c r="AU132" s="5">
        <f t="shared" si="78"/>
        <v>415.51389999999998</v>
      </c>
    </row>
    <row r="133" spans="4:47" x14ac:dyDescent="0.25">
      <c r="D133">
        <v>7</v>
      </c>
      <c r="E133" s="17">
        <v>6</v>
      </c>
      <c r="F133">
        <v>5</v>
      </c>
      <c r="G133">
        <v>4</v>
      </c>
      <c r="H133">
        <v>3</v>
      </c>
      <c r="I133">
        <v>2</v>
      </c>
      <c r="O133" s="115">
        <v>2016</v>
      </c>
      <c r="P133" s="37">
        <v>1</v>
      </c>
      <c r="Q133" s="37">
        <v>0</v>
      </c>
      <c r="R133" s="37">
        <v>2734.1830699585739</v>
      </c>
      <c r="S133" s="94">
        <v>2064.3960101000002</v>
      </c>
      <c r="T133" s="37">
        <v>238.87722839999995</v>
      </c>
      <c r="U133" s="37">
        <f t="shared" si="72"/>
        <v>2973.0602983585741</v>
      </c>
      <c r="V133" s="37">
        <f t="shared" si="73"/>
        <v>-908.66428825857383</v>
      </c>
      <c r="W133" s="116">
        <f t="shared" si="74"/>
        <v>-0.30563264685894437</v>
      </c>
      <c r="X133" s="117">
        <f t="shared" si="65"/>
        <v>-0.1239194581320162</v>
      </c>
      <c r="Z133" s="125">
        <v>2016</v>
      </c>
      <c r="AA133" s="107">
        <v>6</v>
      </c>
      <c r="AB133" s="107">
        <v>0</v>
      </c>
      <c r="AC133" s="107">
        <v>33331.537268397959</v>
      </c>
      <c r="AD133" s="107">
        <v>28236.276756334002</v>
      </c>
      <c r="AE133" s="107">
        <v>10162.136768999999</v>
      </c>
      <c r="AF133" s="107">
        <f t="shared" si="66"/>
        <v>43493.674037397956</v>
      </c>
      <c r="AG133" s="107">
        <f t="shared" si="67"/>
        <v>-15257.397281063953</v>
      </c>
      <c r="AH133" s="126">
        <f t="shared" si="68"/>
        <v>-0.35079577935735917</v>
      </c>
      <c r="AI133" s="127">
        <f t="shared" si="75"/>
        <v>-1.111581861315283</v>
      </c>
      <c r="AK133" s="115">
        <v>2016</v>
      </c>
      <c r="AL133" s="37"/>
      <c r="AM133" s="37"/>
      <c r="AN133" s="37"/>
      <c r="AO133" s="94">
        <v>105.99275879999999</v>
      </c>
      <c r="AP133" s="37">
        <v>105.99275879999999</v>
      </c>
      <c r="AQ133" s="37">
        <f t="shared" si="69"/>
        <v>105.99275879999999</v>
      </c>
      <c r="AR133" s="37">
        <f t="shared" si="70"/>
        <v>0</v>
      </c>
      <c r="AS133" s="116">
        <f t="shared" si="71"/>
        <v>0</v>
      </c>
      <c r="AT133" s="117">
        <f t="shared" si="76"/>
        <v>0</v>
      </c>
      <c r="AU133" s="5">
        <f t="shared" si="78"/>
        <v>110.99275879999999</v>
      </c>
    </row>
    <row r="134" spans="4:47" x14ac:dyDescent="0.25">
      <c r="O134" s="118">
        <v>2017</v>
      </c>
      <c r="P134" s="37">
        <v>0</v>
      </c>
      <c r="Q134" s="37">
        <v>0</v>
      </c>
      <c r="R134" s="37">
        <v>0</v>
      </c>
      <c r="S134" s="94">
        <v>161.63686279999999</v>
      </c>
      <c r="T134" s="37">
        <v>161.63686279999999</v>
      </c>
      <c r="U134" s="37">
        <f t="shared" si="72"/>
        <v>161.63686279999999</v>
      </c>
      <c r="V134" s="37">
        <f t="shared" si="73"/>
        <v>0</v>
      </c>
      <c r="W134" s="116">
        <f t="shared" si="74"/>
        <v>0</v>
      </c>
      <c r="X134" s="117">
        <f t="shared" si="65"/>
        <v>0</v>
      </c>
      <c r="Z134" s="118">
        <v>2017</v>
      </c>
      <c r="AA134" s="37">
        <v>0</v>
      </c>
      <c r="AB134" s="37">
        <v>0</v>
      </c>
      <c r="AC134" s="37">
        <v>0</v>
      </c>
      <c r="AD134" s="94">
        <v>2738.1661103999991</v>
      </c>
      <c r="AE134" s="37">
        <v>2738.1661103999991</v>
      </c>
      <c r="AF134" s="37">
        <f t="shared" si="66"/>
        <v>2738.1661103999991</v>
      </c>
      <c r="AG134" s="37">
        <f t="shared" si="67"/>
        <v>0</v>
      </c>
      <c r="AH134" s="116">
        <f t="shared" si="68"/>
        <v>0</v>
      </c>
      <c r="AI134" s="117">
        <f t="shared" si="75"/>
        <v>0</v>
      </c>
      <c r="AK134" s="118">
        <v>2017</v>
      </c>
      <c r="AL134" s="37"/>
      <c r="AM134" s="37"/>
      <c r="AN134" s="37"/>
      <c r="AO134" s="94">
        <v>90.154912400000001</v>
      </c>
      <c r="AP134" s="37">
        <v>90.154912400000001</v>
      </c>
      <c r="AQ134" s="37">
        <f t="shared" si="69"/>
        <v>90.154912400000001</v>
      </c>
      <c r="AR134" s="37">
        <f t="shared" si="70"/>
        <v>0</v>
      </c>
      <c r="AS134" s="116">
        <f t="shared" si="71"/>
        <v>0</v>
      </c>
      <c r="AT134" s="117">
        <f t="shared" si="76"/>
        <v>0</v>
      </c>
      <c r="AU134" s="5">
        <f t="shared" si="78"/>
        <v>982.15491240000006</v>
      </c>
    </row>
    <row r="135" spans="4:47" x14ac:dyDescent="0.25">
      <c r="O135" s="119" t="s">
        <v>104</v>
      </c>
      <c r="P135" s="123"/>
      <c r="Q135" s="123"/>
      <c r="R135" s="123"/>
      <c r="S135" s="124"/>
      <c r="T135" s="123"/>
      <c r="U135" s="121">
        <f>AVERAGE(U103:U134)</f>
        <v>7332.7006263256781</v>
      </c>
      <c r="V135" s="120"/>
      <c r="W135" s="120"/>
      <c r="X135" s="122"/>
      <c r="Z135" s="119" t="s">
        <v>104</v>
      </c>
      <c r="AA135" s="123"/>
      <c r="AB135" s="123"/>
      <c r="AC135" s="123"/>
      <c r="AD135" s="124"/>
      <c r="AE135" s="123"/>
      <c r="AF135" s="121">
        <f>AVERAGE(AF103:AF134)</f>
        <v>13725.842254218314</v>
      </c>
      <c r="AG135" s="120"/>
      <c r="AH135" s="120"/>
      <c r="AI135" s="122"/>
      <c r="AK135" s="119" t="s">
        <v>104</v>
      </c>
      <c r="AL135" s="123"/>
      <c r="AM135" s="123"/>
      <c r="AN135" s="123"/>
      <c r="AO135" s="124"/>
      <c r="AP135" s="123"/>
      <c r="AQ135" s="121">
        <f>AVERAGE(AQ103:AQ134)</f>
        <v>1915.2836228805963</v>
      </c>
      <c r="AR135" s="120"/>
      <c r="AS135" s="120"/>
      <c r="AT135" s="122"/>
    </row>
    <row r="136" spans="4:47" x14ac:dyDescent="0.25">
      <c r="D136" s="366" t="s">
        <v>65</v>
      </c>
      <c r="E136" s="366"/>
      <c r="F136" s="366"/>
      <c r="G136" s="366"/>
      <c r="H136" s="366"/>
      <c r="I136" s="366"/>
      <c r="J136" s="366"/>
      <c r="AM136" s="17"/>
      <c r="AT136"/>
    </row>
    <row r="137" spans="4:47" x14ac:dyDescent="0.25">
      <c r="D137" s="333" t="s">
        <v>12</v>
      </c>
      <c r="E137" s="333" t="s">
        <v>13</v>
      </c>
      <c r="F137" s="333" t="s">
        <v>27</v>
      </c>
      <c r="G137" s="333" t="s">
        <v>31</v>
      </c>
      <c r="H137" s="333" t="s">
        <v>24</v>
      </c>
      <c r="I137" s="333" t="s">
        <v>21</v>
      </c>
      <c r="J137" s="333" t="s">
        <v>20</v>
      </c>
      <c r="AM137" s="17"/>
      <c r="AT137"/>
    </row>
    <row r="138" spans="4:47" x14ac:dyDescent="0.25">
      <c r="D138" s="5">
        <f t="shared" ref="D138:D146" si="85">_xlfn.RANK.AVG(B17,B$17:B$25,0)</f>
        <v>3</v>
      </c>
      <c r="E138" s="5">
        <f t="shared" ref="E138:E146" si="86">_xlfn.RANK.AVG(C17,C$17:C$25,0)</f>
        <v>5</v>
      </c>
      <c r="F138" s="5">
        <f t="shared" ref="F138:F146" si="87">_xlfn.RANK.AVG(D17,D$17:D$25,0)</f>
        <v>6</v>
      </c>
      <c r="G138" s="5">
        <f t="shared" ref="G138:G146" si="88">_xlfn.RANK.AVG(E17,E$17:E$25,0)</f>
        <v>6</v>
      </c>
      <c r="H138" s="5">
        <f t="shared" ref="H138:H146" si="89">_xlfn.RANK.AVG(F17,F$17:F$25,0)</f>
        <v>7</v>
      </c>
      <c r="I138" s="5">
        <f t="shared" ref="I138:I146" si="90">_xlfn.RANK.AVG(G17,G$17:G$25,0)</f>
        <v>7</v>
      </c>
      <c r="J138" s="141">
        <v>1999</v>
      </c>
      <c r="O138" s="370" t="s">
        <v>109</v>
      </c>
      <c r="P138" s="371"/>
      <c r="Q138" s="371"/>
      <c r="R138" s="371"/>
      <c r="S138" s="371"/>
      <c r="T138" s="371"/>
      <c r="U138" s="371"/>
      <c r="V138" s="371"/>
      <c r="W138" s="371"/>
      <c r="X138" s="372"/>
      <c r="Y138" s="17"/>
      <c r="Z138" s="370" t="s">
        <v>24</v>
      </c>
      <c r="AA138" s="371"/>
      <c r="AB138" s="371"/>
      <c r="AC138" s="371"/>
      <c r="AD138" s="371"/>
      <c r="AE138" s="371"/>
      <c r="AF138" s="371"/>
      <c r="AG138" s="371"/>
      <c r="AH138" s="371"/>
      <c r="AI138" s="372"/>
      <c r="AJ138" s="17"/>
      <c r="AK138" s="370" t="s">
        <v>21</v>
      </c>
      <c r="AL138" s="371"/>
      <c r="AM138" s="371"/>
      <c r="AN138" s="371"/>
      <c r="AO138" s="371"/>
      <c r="AP138" s="371"/>
      <c r="AQ138" s="371"/>
      <c r="AR138" s="371"/>
      <c r="AS138" s="371"/>
      <c r="AT138" s="372"/>
    </row>
    <row r="139" spans="4:47" x14ac:dyDescent="0.25">
      <c r="D139" s="5">
        <f t="shared" si="85"/>
        <v>6</v>
      </c>
      <c r="E139" s="5">
        <f t="shared" si="86"/>
        <v>6</v>
      </c>
      <c r="F139" s="5">
        <f t="shared" si="87"/>
        <v>2</v>
      </c>
      <c r="G139" s="5">
        <f t="shared" si="88"/>
        <v>8</v>
      </c>
      <c r="H139" s="5">
        <f t="shared" si="89"/>
        <v>5</v>
      </c>
      <c r="I139" s="5">
        <f t="shared" si="90"/>
        <v>9</v>
      </c>
      <c r="J139" s="141">
        <v>2000</v>
      </c>
      <c r="O139" s="111" t="s">
        <v>20</v>
      </c>
      <c r="P139" s="112" t="s">
        <v>94</v>
      </c>
      <c r="Q139" s="112" t="s">
        <v>95</v>
      </c>
      <c r="R139" s="112" t="s">
        <v>101</v>
      </c>
      <c r="S139" s="113" t="s">
        <v>50</v>
      </c>
      <c r="T139" s="112" t="s">
        <v>45</v>
      </c>
      <c r="U139" s="112" t="s">
        <v>98</v>
      </c>
      <c r="V139" s="112" t="s">
        <v>97</v>
      </c>
      <c r="W139" s="112" t="s">
        <v>99</v>
      </c>
      <c r="X139" s="114" t="s">
        <v>103</v>
      </c>
      <c r="Y139" s="17"/>
      <c r="Z139" s="111" t="s">
        <v>20</v>
      </c>
      <c r="AA139" s="112" t="s">
        <v>94</v>
      </c>
      <c r="AB139" s="112" t="s">
        <v>95</v>
      </c>
      <c r="AC139" s="112" t="s">
        <v>101</v>
      </c>
      <c r="AD139" s="113" t="s">
        <v>50</v>
      </c>
      <c r="AE139" s="112" t="s">
        <v>45</v>
      </c>
      <c r="AF139" s="112" t="s">
        <v>98</v>
      </c>
      <c r="AG139" s="112" t="s">
        <v>97</v>
      </c>
      <c r="AH139" s="112" t="s">
        <v>99</v>
      </c>
      <c r="AI139" s="114" t="s">
        <v>103</v>
      </c>
      <c r="AJ139" s="17"/>
      <c r="AK139" s="111" t="s">
        <v>20</v>
      </c>
      <c r="AL139" s="112" t="s">
        <v>94</v>
      </c>
      <c r="AM139" s="112" t="s">
        <v>95</v>
      </c>
      <c r="AN139" s="112" t="s">
        <v>101</v>
      </c>
      <c r="AO139" s="113" t="s">
        <v>50</v>
      </c>
      <c r="AP139" s="112" t="s">
        <v>45</v>
      </c>
      <c r="AQ139" s="112" t="s">
        <v>98</v>
      </c>
      <c r="AR139" s="112" t="s">
        <v>97</v>
      </c>
      <c r="AS139" s="112" t="s">
        <v>99</v>
      </c>
      <c r="AT139" s="114" t="s">
        <v>103</v>
      </c>
    </row>
    <row r="140" spans="4:47" x14ac:dyDescent="0.25">
      <c r="D140" s="5">
        <f t="shared" si="85"/>
        <v>5</v>
      </c>
      <c r="E140" s="5">
        <f t="shared" si="86"/>
        <v>9</v>
      </c>
      <c r="F140" s="5">
        <f t="shared" si="87"/>
        <v>8</v>
      </c>
      <c r="G140" s="5">
        <f t="shared" si="88"/>
        <v>5</v>
      </c>
      <c r="H140" s="5">
        <f t="shared" si="89"/>
        <v>8</v>
      </c>
      <c r="I140" s="5">
        <f t="shared" si="90"/>
        <v>8</v>
      </c>
      <c r="J140" s="141">
        <v>2001</v>
      </c>
      <c r="O140" s="115">
        <v>1986</v>
      </c>
      <c r="P140" s="37"/>
      <c r="Q140" s="37"/>
      <c r="R140" s="37"/>
      <c r="S140" s="94">
        <v>1314.966739</v>
      </c>
      <c r="T140" s="37">
        <v>1314.966739</v>
      </c>
      <c r="U140" s="37">
        <f t="shared" ref="U140:U171" si="91">R140+T140</f>
        <v>1314.966739</v>
      </c>
      <c r="V140" s="37">
        <f t="shared" ref="V140:V171" si="92">S140-U140</f>
        <v>0</v>
      </c>
      <c r="W140" s="116">
        <f t="shared" ref="W140:W171" si="93">V140/U140</f>
        <v>0</v>
      </c>
      <c r="X140" s="117">
        <f>V140/$U$172</f>
        <v>0</v>
      </c>
      <c r="Y140" s="17"/>
      <c r="Z140" s="115">
        <v>1986</v>
      </c>
      <c r="AA140" s="37"/>
      <c r="AB140" s="37"/>
      <c r="AC140" s="37"/>
      <c r="AD140" s="94">
        <v>113.15991339999998</v>
      </c>
      <c r="AE140" s="37">
        <v>113.15991339999998</v>
      </c>
      <c r="AF140" s="37">
        <f t="shared" ref="AF140:AF171" si="94">AC140+AE140</f>
        <v>113.15991339999998</v>
      </c>
      <c r="AG140" s="37">
        <f t="shared" ref="AG140:AG171" si="95">AD140-AF140</f>
        <v>0</v>
      </c>
      <c r="AH140" s="116">
        <f t="shared" ref="AH140:AH171" si="96">AG140/AF140</f>
        <v>0</v>
      </c>
      <c r="AI140" s="117">
        <f>AG140/$AF$172</f>
        <v>0</v>
      </c>
      <c r="AJ140" s="17"/>
      <c r="AK140" s="115">
        <v>1986</v>
      </c>
      <c r="AL140" s="37"/>
      <c r="AM140" s="37"/>
      <c r="AN140" s="37"/>
      <c r="AO140" s="94">
        <v>676.11113720000003</v>
      </c>
      <c r="AP140" s="37">
        <v>676.11113720000003</v>
      </c>
      <c r="AQ140" s="37">
        <f t="shared" ref="AQ140:AQ171" si="97">AN140+AP140</f>
        <v>676.11113720000003</v>
      </c>
      <c r="AR140" s="37">
        <f t="shared" ref="AR140:AR171" si="98">AO140-AQ140</f>
        <v>0</v>
      </c>
      <c r="AS140" s="116">
        <f t="shared" ref="AS140:AS171" si="99">AR140/AQ140</f>
        <v>0</v>
      </c>
      <c r="AT140" s="117">
        <f>AR140/$AQ$172</f>
        <v>0</v>
      </c>
    </row>
    <row r="141" spans="4:47" x14ac:dyDescent="0.25">
      <c r="D141" s="5">
        <f t="shared" si="85"/>
        <v>1</v>
      </c>
      <c r="E141" s="5">
        <f t="shared" si="86"/>
        <v>7</v>
      </c>
      <c r="F141" s="5">
        <f t="shared" si="87"/>
        <v>9</v>
      </c>
      <c r="G141" s="5">
        <f t="shared" si="88"/>
        <v>4</v>
      </c>
      <c r="H141" s="5">
        <f t="shared" si="89"/>
        <v>9</v>
      </c>
      <c r="I141" s="5">
        <f t="shared" si="90"/>
        <v>2</v>
      </c>
      <c r="J141" s="141">
        <v>2002</v>
      </c>
      <c r="O141" s="115">
        <v>1987</v>
      </c>
      <c r="P141" s="37"/>
      <c r="Q141" s="37"/>
      <c r="R141" s="37"/>
      <c r="S141" s="94">
        <v>193.45364999999998</v>
      </c>
      <c r="T141" s="37">
        <v>193.45364999999998</v>
      </c>
      <c r="U141" s="37">
        <f t="shared" si="91"/>
        <v>193.45364999999998</v>
      </c>
      <c r="V141" s="37">
        <f t="shared" si="92"/>
        <v>0</v>
      </c>
      <c r="W141" s="116">
        <f t="shared" si="93"/>
        <v>0</v>
      </c>
      <c r="X141" s="117">
        <f t="shared" ref="X141:X171" si="100">V141/$U$172</f>
        <v>0</v>
      </c>
      <c r="Y141" s="17"/>
      <c r="Z141" s="115">
        <v>1987</v>
      </c>
      <c r="AA141" s="37"/>
      <c r="AB141" s="37"/>
      <c r="AC141" s="37"/>
      <c r="AD141" s="94">
        <v>280.32811760000004</v>
      </c>
      <c r="AE141" s="37">
        <v>280.32811760000004</v>
      </c>
      <c r="AF141" s="37">
        <f t="shared" si="94"/>
        <v>280.32811760000004</v>
      </c>
      <c r="AG141" s="37">
        <f t="shared" si="95"/>
        <v>0</v>
      </c>
      <c r="AH141" s="116">
        <f t="shared" si="96"/>
        <v>0</v>
      </c>
      <c r="AI141" s="117">
        <f t="shared" ref="AI141:AI171" si="101">AG141/$AF$172</f>
        <v>0</v>
      </c>
      <c r="AJ141" s="17"/>
      <c r="AK141" s="115">
        <v>1987</v>
      </c>
      <c r="AL141" s="37"/>
      <c r="AM141" s="37"/>
      <c r="AN141" s="37"/>
      <c r="AO141" s="94">
        <v>357.97633420000005</v>
      </c>
      <c r="AP141" s="37">
        <v>357.97633420000005</v>
      </c>
      <c r="AQ141" s="37">
        <f t="shared" si="97"/>
        <v>357.97633420000005</v>
      </c>
      <c r="AR141" s="37">
        <f t="shared" si="98"/>
        <v>0</v>
      </c>
      <c r="AS141" s="116">
        <f t="shared" si="99"/>
        <v>0</v>
      </c>
      <c r="AT141" s="117">
        <f t="shared" ref="AT141:AT171" si="102">AR141/$AQ$172</f>
        <v>0</v>
      </c>
    </row>
    <row r="142" spans="4:47" x14ac:dyDescent="0.25">
      <c r="D142" s="5">
        <f t="shared" si="85"/>
        <v>7</v>
      </c>
      <c r="E142" s="5">
        <f t="shared" si="86"/>
        <v>8</v>
      </c>
      <c r="F142" s="5">
        <f t="shared" si="87"/>
        <v>5</v>
      </c>
      <c r="G142" s="5">
        <f t="shared" si="88"/>
        <v>9</v>
      </c>
      <c r="H142" s="5">
        <f t="shared" si="89"/>
        <v>4</v>
      </c>
      <c r="I142" s="5">
        <f t="shared" si="90"/>
        <v>1</v>
      </c>
      <c r="J142" s="141">
        <v>2003</v>
      </c>
      <c r="O142" s="115">
        <v>1988</v>
      </c>
      <c r="P142" s="37">
        <v>0</v>
      </c>
      <c r="Q142" s="37">
        <v>3</v>
      </c>
      <c r="R142" s="37">
        <v>0</v>
      </c>
      <c r="S142" s="94">
        <v>30816.453113400003</v>
      </c>
      <c r="T142" s="37">
        <v>490.97323840000001</v>
      </c>
      <c r="U142" s="37"/>
      <c r="V142" s="37"/>
      <c r="W142" s="116" t="e">
        <f t="shared" si="93"/>
        <v>#DIV/0!</v>
      </c>
      <c r="X142" s="117">
        <f t="shared" si="100"/>
        <v>0</v>
      </c>
      <c r="Y142" s="17" t="s">
        <v>110</v>
      </c>
      <c r="Z142" s="115">
        <v>1988</v>
      </c>
      <c r="AA142" s="37"/>
      <c r="AB142" s="37"/>
      <c r="AC142" s="37"/>
      <c r="AD142" s="94">
        <v>308.2008754000002</v>
      </c>
      <c r="AE142" s="37">
        <v>308.2008754000002</v>
      </c>
      <c r="AF142" s="37">
        <f t="shared" si="94"/>
        <v>308.2008754000002</v>
      </c>
      <c r="AG142" s="37">
        <f t="shared" si="95"/>
        <v>0</v>
      </c>
      <c r="AH142" s="116">
        <f t="shared" si="96"/>
        <v>0</v>
      </c>
      <c r="AI142" s="117">
        <f t="shared" si="101"/>
        <v>0</v>
      </c>
      <c r="AJ142" s="17"/>
      <c r="AK142" s="125">
        <v>1988</v>
      </c>
      <c r="AL142" s="107">
        <v>1</v>
      </c>
      <c r="AM142" s="107">
        <v>0</v>
      </c>
      <c r="AN142" s="107">
        <v>495.49680969060392</v>
      </c>
      <c r="AO142" s="107">
        <v>1992.4012594999997</v>
      </c>
      <c r="AP142" s="107">
        <v>465.03171020000002</v>
      </c>
      <c r="AQ142" s="107">
        <f t="shared" si="97"/>
        <v>960.528519890604</v>
      </c>
      <c r="AR142" s="107">
        <f t="shared" si="98"/>
        <v>1031.8727396093957</v>
      </c>
      <c r="AS142" s="126">
        <f t="shared" si="99"/>
        <v>1.0742760035141041</v>
      </c>
      <c r="AT142" s="127">
        <f t="shared" si="102"/>
        <v>9.6431803343377878E-2</v>
      </c>
    </row>
    <row r="143" spans="4:47" x14ac:dyDescent="0.25">
      <c r="D143" s="5">
        <f t="shared" si="85"/>
        <v>4</v>
      </c>
      <c r="E143" s="5">
        <f t="shared" si="86"/>
        <v>1</v>
      </c>
      <c r="F143" s="5">
        <f t="shared" si="87"/>
        <v>3</v>
      </c>
      <c r="G143" s="5">
        <f t="shared" si="88"/>
        <v>3</v>
      </c>
      <c r="H143" s="5">
        <f t="shared" si="89"/>
        <v>1</v>
      </c>
      <c r="I143" s="5">
        <f t="shared" si="90"/>
        <v>3</v>
      </c>
      <c r="J143" s="141">
        <v>2004</v>
      </c>
      <c r="O143" s="125">
        <v>1989</v>
      </c>
      <c r="P143" s="107">
        <v>1</v>
      </c>
      <c r="Q143" s="107">
        <v>0</v>
      </c>
      <c r="R143" s="107">
        <v>36928.446150979129</v>
      </c>
      <c r="S143" s="107">
        <v>19617.874170000006</v>
      </c>
      <c r="T143" s="107">
        <v>201.86419899999999</v>
      </c>
      <c r="U143" s="107">
        <f t="shared" si="91"/>
        <v>37130.310349979132</v>
      </c>
      <c r="V143" s="107">
        <f t="shared" si="92"/>
        <v>-17512.436179979126</v>
      </c>
      <c r="W143" s="126">
        <f t="shared" si="93"/>
        <v>-0.47164798825843823</v>
      </c>
      <c r="X143" s="127">
        <f t="shared" si="100"/>
        <v>-2.7994023876131209</v>
      </c>
      <c r="Y143" s="17"/>
      <c r="Z143" s="115">
        <v>1989</v>
      </c>
      <c r="AA143" s="37"/>
      <c r="AB143" s="37"/>
      <c r="AC143" s="37"/>
      <c r="AD143" s="94">
        <v>1657.7203102000003</v>
      </c>
      <c r="AE143" s="37">
        <v>1657.7203102000003</v>
      </c>
      <c r="AF143" s="37">
        <f t="shared" si="94"/>
        <v>1657.7203102000003</v>
      </c>
      <c r="AG143" s="37">
        <f t="shared" si="95"/>
        <v>0</v>
      </c>
      <c r="AH143" s="116">
        <f t="shared" si="96"/>
        <v>0</v>
      </c>
      <c r="AI143" s="117">
        <f t="shared" si="101"/>
        <v>0</v>
      </c>
      <c r="AJ143" s="17"/>
      <c r="AK143" s="115">
        <v>1989</v>
      </c>
      <c r="AL143" s="37"/>
      <c r="AM143" s="37"/>
      <c r="AN143" s="37"/>
      <c r="AO143" s="94">
        <v>524.18774199999996</v>
      </c>
      <c r="AP143" s="37">
        <v>524.18774199999996</v>
      </c>
      <c r="AQ143" s="37">
        <f t="shared" si="97"/>
        <v>524.18774199999996</v>
      </c>
      <c r="AR143" s="37">
        <f t="shared" si="98"/>
        <v>0</v>
      </c>
      <c r="AS143" s="116">
        <f t="shared" si="99"/>
        <v>0</v>
      </c>
      <c r="AT143" s="117">
        <f t="shared" si="102"/>
        <v>0</v>
      </c>
    </row>
    <row r="144" spans="4:47" x14ac:dyDescent="0.25">
      <c r="D144" s="5">
        <f t="shared" si="85"/>
        <v>9</v>
      </c>
      <c r="E144" s="5">
        <f t="shared" si="86"/>
        <v>4</v>
      </c>
      <c r="F144" s="5">
        <f t="shared" si="87"/>
        <v>4</v>
      </c>
      <c r="G144" s="5">
        <f t="shared" si="88"/>
        <v>7</v>
      </c>
      <c r="H144" s="5">
        <f t="shared" si="89"/>
        <v>3</v>
      </c>
      <c r="I144" s="5">
        <f t="shared" si="90"/>
        <v>4</v>
      </c>
      <c r="J144" s="141">
        <v>2005</v>
      </c>
      <c r="O144" s="115">
        <v>1990</v>
      </c>
      <c r="P144" s="37"/>
      <c r="Q144" s="37"/>
      <c r="R144" s="37"/>
      <c r="S144" s="94">
        <v>908.47156800000016</v>
      </c>
      <c r="T144" s="37">
        <v>908.47156800000016</v>
      </c>
      <c r="U144" s="37">
        <f t="shared" si="91"/>
        <v>908.47156800000016</v>
      </c>
      <c r="V144" s="37">
        <f t="shared" si="92"/>
        <v>0</v>
      </c>
      <c r="W144" s="116">
        <f t="shared" si="93"/>
        <v>0</v>
      </c>
      <c r="X144" s="117">
        <f t="shared" si="100"/>
        <v>0</v>
      </c>
      <c r="Y144" s="17"/>
      <c r="Z144" s="115">
        <v>1990</v>
      </c>
      <c r="AA144" s="37">
        <v>1</v>
      </c>
      <c r="AB144" s="37">
        <v>0</v>
      </c>
      <c r="AC144" s="37">
        <v>2961.1206818800765</v>
      </c>
      <c r="AD144" s="94">
        <v>2756.6716760999993</v>
      </c>
      <c r="AE144" s="37">
        <v>162.67743400000001</v>
      </c>
      <c r="AF144" s="37">
        <f t="shared" si="94"/>
        <v>3123.7981158800767</v>
      </c>
      <c r="AG144" s="37">
        <f t="shared" si="95"/>
        <v>-367.12643978007736</v>
      </c>
      <c r="AH144" s="116">
        <f t="shared" si="96"/>
        <v>-0.11752566144199936</v>
      </c>
      <c r="AI144" s="117">
        <f t="shared" si="101"/>
        <v>-0.22217321139032659</v>
      </c>
      <c r="AJ144" s="17"/>
      <c r="AK144" s="115">
        <v>1990</v>
      </c>
      <c r="AL144" s="37"/>
      <c r="AM144" s="37"/>
      <c r="AN144" s="37"/>
      <c r="AO144" s="94">
        <v>912.285526</v>
      </c>
      <c r="AP144" s="37">
        <v>912.285526</v>
      </c>
      <c r="AQ144" s="37">
        <f t="shared" si="97"/>
        <v>912.285526</v>
      </c>
      <c r="AR144" s="37">
        <f t="shared" si="98"/>
        <v>0</v>
      </c>
      <c r="AS144" s="116">
        <f t="shared" si="99"/>
        <v>0</v>
      </c>
      <c r="AT144" s="117">
        <f t="shared" si="102"/>
        <v>0</v>
      </c>
    </row>
    <row r="145" spans="4:46" x14ac:dyDescent="0.25">
      <c r="D145" s="5">
        <f t="shared" si="85"/>
        <v>8</v>
      </c>
      <c r="E145" s="5">
        <f t="shared" si="86"/>
        <v>3</v>
      </c>
      <c r="F145" s="5">
        <f t="shared" si="87"/>
        <v>7</v>
      </c>
      <c r="G145" s="5">
        <f t="shared" si="88"/>
        <v>1</v>
      </c>
      <c r="H145" s="5">
        <f t="shared" si="89"/>
        <v>2</v>
      </c>
      <c r="I145" s="5">
        <f t="shared" si="90"/>
        <v>6</v>
      </c>
      <c r="J145" s="141">
        <v>2006</v>
      </c>
      <c r="O145" s="115">
        <v>1991</v>
      </c>
      <c r="P145" s="37"/>
      <c r="Q145" s="37"/>
      <c r="R145" s="37"/>
      <c r="S145" s="94">
        <v>42.240136</v>
      </c>
      <c r="T145" s="37">
        <v>42.240136</v>
      </c>
      <c r="U145" s="37">
        <f t="shared" si="91"/>
        <v>42.240136</v>
      </c>
      <c r="V145" s="37">
        <f t="shared" si="92"/>
        <v>0</v>
      </c>
      <c r="W145" s="116">
        <f t="shared" si="93"/>
        <v>0</v>
      </c>
      <c r="X145" s="117">
        <f t="shared" si="100"/>
        <v>0</v>
      </c>
      <c r="Y145" s="17"/>
      <c r="Z145" s="115">
        <v>1991</v>
      </c>
      <c r="AA145" s="37"/>
      <c r="AB145" s="37"/>
      <c r="AC145" s="37"/>
      <c r="AD145" s="94">
        <v>411.2681300000001</v>
      </c>
      <c r="AE145" s="37">
        <v>411.2681300000001</v>
      </c>
      <c r="AF145" s="37">
        <f t="shared" si="94"/>
        <v>411.2681300000001</v>
      </c>
      <c r="AG145" s="37">
        <f t="shared" si="95"/>
        <v>0</v>
      </c>
      <c r="AH145" s="116">
        <f t="shared" si="96"/>
        <v>0</v>
      </c>
      <c r="AI145" s="117">
        <f t="shared" si="101"/>
        <v>0</v>
      </c>
      <c r="AJ145" s="17"/>
      <c r="AK145" s="115">
        <v>1991</v>
      </c>
      <c r="AL145" s="37"/>
      <c r="AM145" s="37"/>
      <c r="AN145" s="37"/>
      <c r="AO145" s="94">
        <v>321.36454200000003</v>
      </c>
      <c r="AP145" s="37">
        <v>321.36454200000003</v>
      </c>
      <c r="AQ145" s="37">
        <f t="shared" si="97"/>
        <v>321.36454200000003</v>
      </c>
      <c r="AR145" s="37">
        <f t="shared" si="98"/>
        <v>0</v>
      </c>
      <c r="AS145" s="116">
        <f t="shared" si="99"/>
        <v>0</v>
      </c>
      <c r="AT145" s="117">
        <f t="shared" si="102"/>
        <v>0</v>
      </c>
    </row>
    <row r="146" spans="4:46" x14ac:dyDescent="0.25">
      <c r="D146" s="5">
        <f t="shared" si="85"/>
        <v>2</v>
      </c>
      <c r="E146" s="5">
        <f t="shared" si="86"/>
        <v>2</v>
      </c>
      <c r="F146" s="5">
        <f t="shared" si="87"/>
        <v>1</v>
      </c>
      <c r="G146" s="5">
        <f t="shared" si="88"/>
        <v>2</v>
      </c>
      <c r="H146" s="5">
        <f t="shared" si="89"/>
        <v>6</v>
      </c>
      <c r="I146" s="5">
        <f t="shared" si="90"/>
        <v>5</v>
      </c>
      <c r="J146" s="141">
        <v>2007</v>
      </c>
      <c r="O146" s="115">
        <v>1992</v>
      </c>
      <c r="P146" s="37"/>
      <c r="Q146" s="37"/>
      <c r="R146" s="37"/>
      <c r="S146" s="94">
        <v>514.48750200000006</v>
      </c>
      <c r="T146" s="37">
        <v>514.48750200000006</v>
      </c>
      <c r="U146" s="37">
        <f t="shared" si="91"/>
        <v>514.48750200000006</v>
      </c>
      <c r="V146" s="37">
        <f t="shared" si="92"/>
        <v>0</v>
      </c>
      <c r="W146" s="116">
        <f t="shared" si="93"/>
        <v>0</v>
      </c>
      <c r="X146" s="117">
        <f t="shared" si="100"/>
        <v>0</v>
      </c>
      <c r="Y146" s="17"/>
      <c r="Z146" s="115">
        <v>1992</v>
      </c>
      <c r="AA146" s="37">
        <v>0</v>
      </c>
      <c r="AB146" s="37">
        <v>0</v>
      </c>
      <c r="AC146" s="37">
        <v>0</v>
      </c>
      <c r="AD146" s="94">
        <v>605.22883800000011</v>
      </c>
      <c r="AE146" s="37">
        <v>605.22883800000011</v>
      </c>
      <c r="AF146" s="37">
        <f t="shared" si="94"/>
        <v>605.22883800000011</v>
      </c>
      <c r="AG146" s="37">
        <f t="shared" si="95"/>
        <v>0</v>
      </c>
      <c r="AH146" s="116">
        <f t="shared" si="96"/>
        <v>0</v>
      </c>
      <c r="AI146" s="117">
        <f t="shared" si="101"/>
        <v>0</v>
      </c>
      <c r="AJ146" s="17"/>
      <c r="AK146" s="115">
        <v>1992</v>
      </c>
      <c r="AL146" s="37">
        <v>3</v>
      </c>
      <c r="AM146" s="37">
        <v>2</v>
      </c>
      <c r="AN146" s="37">
        <v>1834.1716159753746</v>
      </c>
      <c r="AO146" s="94">
        <v>4283.6899393289996</v>
      </c>
      <c r="AP146" s="37">
        <v>1617.8457099999996</v>
      </c>
      <c r="AQ146" s="37">
        <f t="shared" si="97"/>
        <v>3452.0173259753742</v>
      </c>
      <c r="AR146" s="37">
        <f t="shared" si="98"/>
        <v>831.67261335362537</v>
      </c>
      <c r="AS146" s="116">
        <f t="shared" si="99"/>
        <v>0.2409236498019704</v>
      </c>
      <c r="AT146" s="117">
        <f t="shared" si="102"/>
        <v>7.7722462100654657E-2</v>
      </c>
    </row>
    <row r="147" spans="4:46" x14ac:dyDescent="0.25">
      <c r="D147" s="5"/>
      <c r="E147" s="5"/>
      <c r="F147" s="5"/>
      <c r="G147" s="5"/>
      <c r="H147" s="5"/>
      <c r="I147" s="5"/>
      <c r="J147" s="141"/>
      <c r="O147" s="125">
        <v>1993</v>
      </c>
      <c r="P147" s="107">
        <v>1</v>
      </c>
      <c r="Q147" s="107">
        <v>0</v>
      </c>
      <c r="R147" s="107">
        <v>49546.007933022091</v>
      </c>
      <c r="S147" s="107">
        <v>9580.8914882999998</v>
      </c>
      <c r="T147" s="107">
        <v>739.66534600000011</v>
      </c>
      <c r="U147" s="107">
        <f t="shared" si="91"/>
        <v>50285.673279022092</v>
      </c>
      <c r="V147" s="107">
        <f t="shared" si="92"/>
        <v>-40704.781790722089</v>
      </c>
      <c r="W147" s="126">
        <f t="shared" si="93"/>
        <v>-0.80947075253147882</v>
      </c>
      <c r="X147" s="127">
        <f t="shared" si="100"/>
        <v>-6.5067510973995351</v>
      </c>
      <c r="Y147" s="17"/>
      <c r="Z147" s="125">
        <v>1993</v>
      </c>
      <c r="AA147" s="107">
        <v>6</v>
      </c>
      <c r="AB147" s="107">
        <v>0</v>
      </c>
      <c r="AC147" s="107">
        <v>6768.7191519451781</v>
      </c>
      <c r="AD147" s="107">
        <v>8342.9302663100007</v>
      </c>
      <c r="AE147" s="107">
        <v>584.02058600000009</v>
      </c>
      <c r="AF147" s="107">
        <f t="shared" si="94"/>
        <v>7352.7397379451777</v>
      </c>
      <c r="AG147" s="107">
        <f t="shared" si="95"/>
        <v>990.19052836482297</v>
      </c>
      <c r="AH147" s="126">
        <f t="shared" si="96"/>
        <v>0.13466960121745652</v>
      </c>
      <c r="AI147" s="127">
        <f t="shared" si="101"/>
        <v>0.5992317243805203</v>
      </c>
      <c r="AJ147" s="17"/>
      <c r="AK147" s="115">
        <v>1993</v>
      </c>
      <c r="AL147" s="37">
        <v>15</v>
      </c>
      <c r="AM147" s="37">
        <v>0</v>
      </c>
      <c r="AN147" s="37">
        <v>2689.7815923292537</v>
      </c>
      <c r="AO147" s="94">
        <v>8435.2491271999988</v>
      </c>
      <c r="AP147" s="37">
        <v>3225.9470880000003</v>
      </c>
      <c r="AQ147" s="37">
        <f t="shared" si="97"/>
        <v>5915.7286803292536</v>
      </c>
      <c r="AR147" s="37">
        <f t="shared" si="98"/>
        <v>2519.5204468707452</v>
      </c>
      <c r="AS147" s="116">
        <f t="shared" si="99"/>
        <v>0.425901961198551</v>
      </c>
      <c r="AT147" s="117">
        <f t="shared" si="102"/>
        <v>0.23545723317027434</v>
      </c>
    </row>
    <row r="148" spans="4:46" x14ac:dyDescent="0.25">
      <c r="D148" s="17"/>
      <c r="E148" s="17"/>
      <c r="F148" s="17"/>
      <c r="G148" s="17"/>
      <c r="H148" s="17"/>
      <c r="I148" s="17"/>
      <c r="J148" s="17"/>
      <c r="O148" s="115">
        <v>1994</v>
      </c>
      <c r="P148" s="37"/>
      <c r="Q148" s="37"/>
      <c r="R148" s="37"/>
      <c r="S148" s="94">
        <v>703.86264200000005</v>
      </c>
      <c r="T148" s="37">
        <v>703.86264200000005</v>
      </c>
      <c r="U148" s="37">
        <f t="shared" si="91"/>
        <v>703.86264200000005</v>
      </c>
      <c r="V148" s="37">
        <f t="shared" si="92"/>
        <v>0</v>
      </c>
      <c r="W148" s="116">
        <f t="shared" si="93"/>
        <v>0</v>
      </c>
      <c r="X148" s="117">
        <f t="shared" si="100"/>
        <v>0</v>
      </c>
      <c r="Y148" s="17"/>
      <c r="Z148" s="115">
        <v>1994</v>
      </c>
      <c r="AA148" s="37">
        <v>2</v>
      </c>
      <c r="AB148" s="37">
        <v>0</v>
      </c>
      <c r="AC148" s="37">
        <v>463.48260210373468</v>
      </c>
      <c r="AD148" s="94">
        <v>720.598487707</v>
      </c>
      <c r="AE148" s="37">
        <v>249.803226</v>
      </c>
      <c r="AF148" s="37">
        <f t="shared" si="94"/>
        <v>713.28582810373473</v>
      </c>
      <c r="AG148" s="37">
        <f t="shared" si="95"/>
        <v>7.3126596032652742</v>
      </c>
      <c r="AH148" s="116">
        <f t="shared" si="96"/>
        <v>1.025207471555397E-2</v>
      </c>
      <c r="AI148" s="117">
        <f t="shared" si="101"/>
        <v>4.4253883453204855E-3</v>
      </c>
      <c r="AJ148" s="17"/>
      <c r="AK148" s="115">
        <v>1994</v>
      </c>
      <c r="AL148" s="37">
        <v>14</v>
      </c>
      <c r="AM148" s="37">
        <v>0</v>
      </c>
      <c r="AN148" s="37">
        <v>2149.0812869112151</v>
      </c>
      <c r="AO148" s="94">
        <v>6777.3715799769989</v>
      </c>
      <c r="AP148" s="37">
        <v>2569.1085640000001</v>
      </c>
      <c r="AQ148" s="37">
        <f t="shared" si="97"/>
        <v>4718.1898509112152</v>
      </c>
      <c r="AR148" s="37">
        <f t="shared" si="98"/>
        <v>2059.1817290657837</v>
      </c>
      <c r="AS148" s="116">
        <f t="shared" si="99"/>
        <v>0.43643469087368281</v>
      </c>
      <c r="AT148" s="117">
        <f t="shared" si="102"/>
        <v>0.19243710965822708</v>
      </c>
    </row>
    <row r="149" spans="4:46" x14ac:dyDescent="0.25">
      <c r="D149" s="17">
        <v>2</v>
      </c>
      <c r="E149" s="17">
        <v>3</v>
      </c>
      <c r="F149" s="17">
        <v>4</v>
      </c>
      <c r="G149" s="17">
        <v>5</v>
      </c>
      <c r="H149" s="17">
        <v>6</v>
      </c>
      <c r="I149" s="17">
        <v>7</v>
      </c>
      <c r="J149" s="17"/>
      <c r="O149" s="115">
        <v>1995</v>
      </c>
      <c r="P149" s="37"/>
      <c r="Q149" s="37"/>
      <c r="R149" s="37"/>
      <c r="S149" s="94">
        <v>412.54679800000002</v>
      </c>
      <c r="T149" s="37">
        <v>412.54679800000002</v>
      </c>
      <c r="U149" s="37">
        <f t="shared" si="91"/>
        <v>412.54679800000002</v>
      </c>
      <c r="V149" s="37">
        <f t="shared" si="92"/>
        <v>0</v>
      </c>
      <c r="W149" s="116">
        <f t="shared" si="93"/>
        <v>0</v>
      </c>
      <c r="X149" s="117">
        <f t="shared" si="100"/>
        <v>0</v>
      </c>
      <c r="Y149" s="17"/>
      <c r="Z149" s="115">
        <v>1995</v>
      </c>
      <c r="AA149" s="37">
        <v>0</v>
      </c>
      <c r="AB149" s="37">
        <v>0</v>
      </c>
      <c r="AC149" s="37">
        <v>0</v>
      </c>
      <c r="AD149" s="94">
        <v>101.27932399999999</v>
      </c>
      <c r="AE149" s="37">
        <v>101.27932399999999</v>
      </c>
      <c r="AF149" s="37">
        <f t="shared" si="94"/>
        <v>101.27932399999999</v>
      </c>
      <c r="AG149" s="37">
        <f t="shared" si="95"/>
        <v>0</v>
      </c>
      <c r="AH149" s="116">
        <f t="shared" si="96"/>
        <v>0</v>
      </c>
      <c r="AI149" s="117">
        <f t="shared" si="101"/>
        <v>0</v>
      </c>
      <c r="AJ149" s="17"/>
      <c r="AK149" s="115">
        <v>1995</v>
      </c>
      <c r="AL149" s="37"/>
      <c r="AM149" s="37"/>
      <c r="AN149" s="37"/>
      <c r="AO149" s="94">
        <v>2348.6044720000004</v>
      </c>
      <c r="AP149" s="37">
        <v>2348.6044720000004</v>
      </c>
      <c r="AQ149" s="37">
        <f t="shared" si="97"/>
        <v>2348.6044720000004</v>
      </c>
      <c r="AR149" s="37">
        <f t="shared" si="98"/>
        <v>0</v>
      </c>
      <c r="AS149" s="116">
        <f t="shared" si="99"/>
        <v>0</v>
      </c>
      <c r="AT149" s="117">
        <f t="shared" si="102"/>
        <v>0</v>
      </c>
    </row>
    <row r="150" spans="4:46" x14ac:dyDescent="0.25">
      <c r="D150" s="17">
        <v>7</v>
      </c>
      <c r="E150" s="17">
        <v>6</v>
      </c>
      <c r="F150" s="17">
        <v>5</v>
      </c>
      <c r="G150" s="17">
        <v>4</v>
      </c>
      <c r="H150" s="17">
        <v>3</v>
      </c>
      <c r="I150" s="17">
        <v>2</v>
      </c>
      <c r="J150" s="17"/>
      <c r="O150" s="115">
        <v>1996</v>
      </c>
      <c r="P150" s="37">
        <v>1</v>
      </c>
      <c r="Q150" s="37">
        <v>0</v>
      </c>
      <c r="R150" s="37">
        <v>5594.8678032701473</v>
      </c>
      <c r="S150" s="94">
        <v>6627.5554028999995</v>
      </c>
      <c r="T150" s="37">
        <v>579.34683399999983</v>
      </c>
      <c r="U150" s="37">
        <f t="shared" si="91"/>
        <v>6174.2146372701473</v>
      </c>
      <c r="V150" s="37">
        <f t="shared" si="92"/>
        <v>453.34076562985229</v>
      </c>
      <c r="W150" s="116">
        <f t="shared" si="93"/>
        <v>7.3424847087967662E-2</v>
      </c>
      <c r="X150" s="117">
        <f t="shared" si="100"/>
        <v>7.2467542988532474E-2</v>
      </c>
      <c r="Y150" s="17"/>
      <c r="Z150" s="115">
        <v>1996</v>
      </c>
      <c r="AA150" s="37">
        <v>2</v>
      </c>
      <c r="AB150" s="37">
        <v>0</v>
      </c>
      <c r="AC150" s="37">
        <v>3871.2107578000036</v>
      </c>
      <c r="AD150" s="94">
        <v>4033.8652447999993</v>
      </c>
      <c r="AE150" s="37">
        <v>429.30175799999995</v>
      </c>
      <c r="AF150" s="37">
        <f t="shared" si="94"/>
        <v>4300.5125158000037</v>
      </c>
      <c r="AG150" s="37">
        <f t="shared" si="95"/>
        <v>-266.64727100000437</v>
      </c>
      <c r="AH150" s="116">
        <f t="shared" si="96"/>
        <v>-6.2003603063669088E-2</v>
      </c>
      <c r="AI150" s="117">
        <f t="shared" si="101"/>
        <v>-0.16136642335546794</v>
      </c>
      <c r="AJ150" s="17"/>
      <c r="AK150" s="115">
        <v>1996</v>
      </c>
      <c r="AL150" s="37">
        <v>2</v>
      </c>
      <c r="AM150" s="37">
        <v>0</v>
      </c>
      <c r="AN150" s="37">
        <v>1241.476029733481</v>
      </c>
      <c r="AO150" s="94">
        <v>6051.7283590999978</v>
      </c>
      <c r="AP150" s="37">
        <v>4067.8176900000008</v>
      </c>
      <c r="AQ150" s="37">
        <f t="shared" si="97"/>
        <v>5309.2937197334813</v>
      </c>
      <c r="AR150" s="37">
        <f t="shared" si="98"/>
        <v>742.43463936651642</v>
      </c>
      <c r="AS150" s="116">
        <f t="shared" si="99"/>
        <v>0.13983679912208466</v>
      </c>
      <c r="AT150" s="117">
        <f t="shared" si="102"/>
        <v>6.9382888403278151E-2</v>
      </c>
    </row>
    <row r="151" spans="4:46" x14ac:dyDescent="0.25">
      <c r="O151" s="115">
        <v>1997</v>
      </c>
      <c r="P151" s="37"/>
      <c r="Q151" s="37"/>
      <c r="R151" s="37"/>
      <c r="S151" s="94">
        <v>685.87310599999978</v>
      </c>
      <c r="T151" s="37">
        <v>685.87310599999978</v>
      </c>
      <c r="U151" s="37">
        <f t="shared" si="91"/>
        <v>685.87310599999978</v>
      </c>
      <c r="V151" s="37">
        <f t="shared" si="92"/>
        <v>0</v>
      </c>
      <c r="W151" s="116">
        <f t="shared" si="93"/>
        <v>0</v>
      </c>
      <c r="X151" s="117">
        <f t="shared" si="100"/>
        <v>0</v>
      </c>
      <c r="Y151" s="17"/>
      <c r="Z151" s="115">
        <v>1997</v>
      </c>
      <c r="AA151" s="37">
        <v>0</v>
      </c>
      <c r="AB151" s="37">
        <v>0</v>
      </c>
      <c r="AC151" s="37">
        <v>0</v>
      </c>
      <c r="AD151" s="94">
        <v>249.53867400000001</v>
      </c>
      <c r="AE151" s="37">
        <v>249.53867400000001</v>
      </c>
      <c r="AF151" s="37">
        <f t="shared" si="94"/>
        <v>249.53867400000001</v>
      </c>
      <c r="AG151" s="37">
        <f t="shared" si="95"/>
        <v>0</v>
      </c>
      <c r="AH151" s="116">
        <f t="shared" si="96"/>
        <v>0</v>
      </c>
      <c r="AI151" s="117">
        <f t="shared" si="101"/>
        <v>0</v>
      </c>
      <c r="AJ151" s="17"/>
      <c r="AK151" s="115">
        <v>1997</v>
      </c>
      <c r="AL151" s="37">
        <v>2</v>
      </c>
      <c r="AM151" s="37">
        <v>0</v>
      </c>
      <c r="AN151" s="37">
        <v>53.321034563610496</v>
      </c>
      <c r="AO151" s="94">
        <v>6128.2143310499996</v>
      </c>
      <c r="AP151" s="37">
        <v>6026.5827439999994</v>
      </c>
      <c r="AQ151" s="37">
        <f t="shared" si="97"/>
        <v>6079.9037785636101</v>
      </c>
      <c r="AR151" s="37">
        <f t="shared" si="98"/>
        <v>48.310552486389497</v>
      </c>
      <c r="AS151" s="116">
        <f t="shared" si="99"/>
        <v>7.9459403052926213E-3</v>
      </c>
      <c r="AT151" s="117">
        <f t="shared" si="102"/>
        <v>4.5147754349445634E-3</v>
      </c>
    </row>
    <row r="152" spans="4:46" x14ac:dyDescent="0.25">
      <c r="O152" s="115">
        <v>1998</v>
      </c>
      <c r="P152" s="37"/>
      <c r="Q152" s="37"/>
      <c r="R152" s="37"/>
      <c r="S152" s="94">
        <v>324.23052199999989</v>
      </c>
      <c r="T152" s="37">
        <v>324.23052199999989</v>
      </c>
      <c r="U152" s="37">
        <f t="shared" si="91"/>
        <v>324.23052199999989</v>
      </c>
      <c r="V152" s="37">
        <f t="shared" si="92"/>
        <v>0</v>
      </c>
      <c r="W152" s="116">
        <f t="shared" si="93"/>
        <v>0</v>
      </c>
      <c r="X152" s="117">
        <f t="shared" si="100"/>
        <v>0</v>
      </c>
      <c r="Y152" s="17"/>
      <c r="Z152" s="125">
        <v>1998</v>
      </c>
      <c r="AA152" s="107">
        <v>4</v>
      </c>
      <c r="AB152" s="107">
        <v>0</v>
      </c>
      <c r="AC152" s="107">
        <v>1379.5171317619383</v>
      </c>
      <c r="AD152" s="107">
        <v>660.45265437</v>
      </c>
      <c r="AE152" s="107">
        <v>348.87794999999994</v>
      </c>
      <c r="AF152" s="107">
        <f t="shared" si="94"/>
        <v>1728.3950817619384</v>
      </c>
      <c r="AG152" s="107">
        <f t="shared" si="95"/>
        <v>-1067.9424273919385</v>
      </c>
      <c r="AH152" s="126">
        <f t="shared" si="96"/>
        <v>-0.61788096868643616</v>
      </c>
      <c r="AI152" s="127">
        <f t="shared" si="101"/>
        <v>-0.64628469367605423</v>
      </c>
      <c r="AJ152" s="17"/>
      <c r="AK152" s="125">
        <v>1998</v>
      </c>
      <c r="AL152" s="107">
        <v>3</v>
      </c>
      <c r="AM152" s="107">
        <v>0</v>
      </c>
      <c r="AN152" s="107">
        <v>13926.730825608905</v>
      </c>
      <c r="AO152" s="107">
        <v>7145.7534503999987</v>
      </c>
      <c r="AP152" s="107">
        <v>3742.9037420000004</v>
      </c>
      <c r="AQ152" s="107">
        <f t="shared" si="97"/>
        <v>17669.634567608904</v>
      </c>
      <c r="AR152" s="107">
        <f t="shared" si="98"/>
        <v>-10523.881117208904</v>
      </c>
      <c r="AS152" s="126">
        <f t="shared" si="99"/>
        <v>-0.59559132798936099</v>
      </c>
      <c r="AT152" s="127">
        <f t="shared" si="102"/>
        <v>-0.98349030393799586</v>
      </c>
    </row>
    <row r="153" spans="4:46" x14ac:dyDescent="0.25">
      <c r="O153" s="115">
        <v>1999</v>
      </c>
      <c r="P153" s="37"/>
      <c r="Q153" s="37"/>
      <c r="R153" s="37"/>
      <c r="S153" s="94">
        <v>35.097231999999998</v>
      </c>
      <c r="T153" s="37">
        <v>35.097231999999998</v>
      </c>
      <c r="U153" s="37">
        <f t="shared" si="91"/>
        <v>35.097231999999998</v>
      </c>
      <c r="V153" s="37">
        <f t="shared" si="92"/>
        <v>0</v>
      </c>
      <c r="W153" s="116">
        <f t="shared" si="93"/>
        <v>0</v>
      </c>
      <c r="X153" s="117">
        <f t="shared" si="100"/>
        <v>0</v>
      </c>
      <c r="Y153" s="17"/>
      <c r="Z153" s="115">
        <v>1999</v>
      </c>
      <c r="AA153" s="37">
        <v>3</v>
      </c>
      <c r="AB153" s="37">
        <v>0</v>
      </c>
      <c r="AC153" s="37">
        <v>803.74236247205829</v>
      </c>
      <c r="AD153" s="94">
        <v>605.11873173219999</v>
      </c>
      <c r="AE153" s="37">
        <v>33.39969</v>
      </c>
      <c r="AF153" s="37">
        <f t="shared" si="94"/>
        <v>837.14205247205825</v>
      </c>
      <c r="AG153" s="37">
        <f t="shared" si="95"/>
        <v>-232.02332073985826</v>
      </c>
      <c r="AH153" s="116">
        <f t="shared" si="96"/>
        <v>-0.27716122975150936</v>
      </c>
      <c r="AI153" s="117">
        <f t="shared" si="101"/>
        <v>-0.14041311303294338</v>
      </c>
      <c r="AJ153" s="17"/>
      <c r="AK153" s="115">
        <v>1999</v>
      </c>
      <c r="AL153" s="37">
        <v>7</v>
      </c>
      <c r="AM153" s="37">
        <v>0</v>
      </c>
      <c r="AN153" s="37">
        <v>6217.9446746885087</v>
      </c>
      <c r="AO153" s="94">
        <v>11130.5494717314</v>
      </c>
      <c r="AP153" s="37">
        <v>5956.4544180000012</v>
      </c>
      <c r="AQ153" s="37">
        <f t="shared" si="97"/>
        <v>12174.399092688509</v>
      </c>
      <c r="AR153" s="37">
        <f t="shared" si="98"/>
        <v>-1043.8496209571094</v>
      </c>
      <c r="AS153" s="116">
        <f t="shared" si="99"/>
        <v>-8.5741367028456181E-2</v>
      </c>
      <c r="AT153" s="117">
        <f t="shared" si="102"/>
        <v>-9.7551081159774983E-2</v>
      </c>
    </row>
    <row r="154" spans="4:46" x14ac:dyDescent="0.25">
      <c r="O154" s="115">
        <v>2000</v>
      </c>
      <c r="P154" s="37"/>
      <c r="Q154" s="37"/>
      <c r="R154" s="37"/>
      <c r="S154" s="94">
        <v>389.00166999999999</v>
      </c>
      <c r="T154" s="37">
        <v>389.00166999999999</v>
      </c>
      <c r="U154" s="37">
        <f t="shared" si="91"/>
        <v>389.00166999999999</v>
      </c>
      <c r="V154" s="37">
        <f t="shared" si="92"/>
        <v>0</v>
      </c>
      <c r="W154" s="116">
        <f t="shared" si="93"/>
        <v>0</v>
      </c>
      <c r="X154" s="117">
        <f t="shared" si="100"/>
        <v>0</v>
      </c>
      <c r="Y154" s="17"/>
      <c r="Z154" s="115">
        <v>2000</v>
      </c>
      <c r="AA154" s="37">
        <v>2</v>
      </c>
      <c r="AB154" s="37">
        <v>1</v>
      </c>
      <c r="AC154" s="37">
        <v>3709.9184684698284</v>
      </c>
      <c r="AD154" s="94">
        <v>2908.8264222100011</v>
      </c>
      <c r="AE154" s="37">
        <v>83.686616000000001</v>
      </c>
      <c r="AF154" s="37">
        <f t="shared" si="94"/>
        <v>3793.6050844698284</v>
      </c>
      <c r="AG154" s="37">
        <f t="shared" si="95"/>
        <v>-884.77866225982734</v>
      </c>
      <c r="AH154" s="116">
        <f t="shared" si="96"/>
        <v>-0.23322898471480691</v>
      </c>
      <c r="AI154" s="117">
        <f t="shared" si="101"/>
        <v>-0.53543982525927125</v>
      </c>
      <c r="AJ154" s="17"/>
      <c r="AK154" s="115">
        <v>2000</v>
      </c>
      <c r="AL154" s="37">
        <v>0</v>
      </c>
      <c r="AM154" s="37">
        <v>0</v>
      </c>
      <c r="AN154" s="37">
        <v>0</v>
      </c>
      <c r="AO154" s="94">
        <v>3819.8883740000015</v>
      </c>
      <c r="AP154" s="37">
        <v>3819.8883740000015</v>
      </c>
      <c r="AQ154" s="37">
        <f t="shared" si="97"/>
        <v>3819.8883740000015</v>
      </c>
      <c r="AR154" s="37">
        <f t="shared" si="98"/>
        <v>0</v>
      </c>
      <c r="AS154" s="116">
        <f t="shared" si="99"/>
        <v>0</v>
      </c>
      <c r="AT154" s="117">
        <f t="shared" si="102"/>
        <v>0</v>
      </c>
    </row>
    <row r="155" spans="4:46" x14ac:dyDescent="0.25">
      <c r="O155" s="115">
        <v>2001</v>
      </c>
      <c r="P155" s="37">
        <v>1</v>
      </c>
      <c r="Q155" s="37">
        <v>0</v>
      </c>
      <c r="R155" s="37">
        <v>621.86009266535939</v>
      </c>
      <c r="S155" s="94">
        <v>654.81144239000014</v>
      </c>
      <c r="T155" s="37">
        <v>282.18880000000001</v>
      </c>
      <c r="U155" s="37">
        <f t="shared" si="91"/>
        <v>904.0488926653594</v>
      </c>
      <c r="V155" s="37">
        <f t="shared" si="92"/>
        <v>-249.23745027535927</v>
      </c>
      <c r="W155" s="116">
        <f t="shared" si="93"/>
        <v>-0.27569023345689381</v>
      </c>
      <c r="X155" s="117">
        <f t="shared" si="100"/>
        <v>-3.9841168082662436E-2</v>
      </c>
      <c r="Y155" s="17"/>
      <c r="Z155" s="115">
        <v>2001</v>
      </c>
      <c r="AA155" s="37">
        <v>2</v>
      </c>
      <c r="AB155" s="37">
        <v>0</v>
      </c>
      <c r="AC155" s="37">
        <v>26.273712568563781</v>
      </c>
      <c r="AD155" s="94">
        <v>56.752097592399998</v>
      </c>
      <c r="AE155" s="37">
        <v>34.193346000000005</v>
      </c>
      <c r="AF155" s="37">
        <f t="shared" si="94"/>
        <v>60.467058568563786</v>
      </c>
      <c r="AG155" s="37">
        <f t="shared" si="95"/>
        <v>-3.7149609761637876</v>
      </c>
      <c r="AH155" s="116">
        <f t="shared" si="96"/>
        <v>-6.1437765687765045E-2</v>
      </c>
      <c r="AI155" s="117">
        <f t="shared" si="101"/>
        <v>-2.2481758893706373E-3</v>
      </c>
      <c r="AJ155" s="17"/>
      <c r="AK155" s="115">
        <v>2001</v>
      </c>
      <c r="AL155" s="37">
        <v>10</v>
      </c>
      <c r="AM155" s="37">
        <v>0</v>
      </c>
      <c r="AN155" s="37">
        <v>1875.2489339976923</v>
      </c>
      <c r="AO155" s="94">
        <v>8362.9715712919988</v>
      </c>
      <c r="AP155" s="37">
        <v>6075.0178059999998</v>
      </c>
      <c r="AQ155" s="37">
        <f t="shared" si="97"/>
        <v>7950.2667399976926</v>
      </c>
      <c r="AR155" s="37">
        <f t="shared" si="98"/>
        <v>412.70483129430613</v>
      </c>
      <c r="AS155" s="116">
        <f t="shared" si="99"/>
        <v>5.1910815673390336E-2</v>
      </c>
      <c r="AT155" s="117">
        <f t="shared" si="102"/>
        <v>3.8568584673822792E-2</v>
      </c>
    </row>
    <row r="156" spans="4:46" x14ac:dyDescent="0.25">
      <c r="O156" s="115">
        <v>2002</v>
      </c>
      <c r="P156" s="37">
        <v>1</v>
      </c>
      <c r="Q156" s="37">
        <v>0</v>
      </c>
      <c r="R156" s="37">
        <v>5983.3401193454811</v>
      </c>
      <c r="S156" s="94">
        <v>4631.153048600002</v>
      </c>
      <c r="T156" s="37">
        <v>496.43182800000011</v>
      </c>
      <c r="U156" s="37">
        <f t="shared" si="91"/>
        <v>6479.7719473454808</v>
      </c>
      <c r="V156" s="37">
        <f t="shared" si="92"/>
        <v>-1848.6188987454789</v>
      </c>
      <c r="W156" s="116">
        <f t="shared" si="93"/>
        <v>-0.28529073457635939</v>
      </c>
      <c r="X156" s="117">
        <f t="shared" si="100"/>
        <v>-0.29550589682383072</v>
      </c>
      <c r="Y156" s="17"/>
      <c r="Z156" s="115">
        <v>2002</v>
      </c>
      <c r="AA156" s="37"/>
      <c r="AB156" s="37"/>
      <c r="AC156" s="37"/>
      <c r="AD156" s="94">
        <v>16.931328000000001</v>
      </c>
      <c r="AE156" s="37">
        <v>16.931328000000001</v>
      </c>
      <c r="AF156" s="37">
        <f t="shared" si="94"/>
        <v>16.931328000000001</v>
      </c>
      <c r="AG156" s="37">
        <f t="shared" si="95"/>
        <v>0</v>
      </c>
      <c r="AH156" s="116">
        <f t="shared" si="96"/>
        <v>0</v>
      </c>
      <c r="AI156" s="117">
        <f t="shared" si="101"/>
        <v>0</v>
      </c>
      <c r="AJ156" s="17"/>
      <c r="AK156" s="115">
        <v>2002</v>
      </c>
      <c r="AL156" s="37">
        <v>29</v>
      </c>
      <c r="AM156" s="37">
        <v>1</v>
      </c>
      <c r="AN156" s="37">
        <v>24882.64527401741</v>
      </c>
      <c r="AO156" s="94">
        <v>32080.777259904997</v>
      </c>
      <c r="AP156" s="37">
        <v>7149.6941679999991</v>
      </c>
      <c r="AQ156" s="37">
        <f t="shared" si="97"/>
        <v>32032.339442017408</v>
      </c>
      <c r="AR156" s="37">
        <f t="shared" si="98"/>
        <v>48.437817887588608</v>
      </c>
      <c r="AS156" s="116">
        <f t="shared" si="99"/>
        <v>1.5121536151072323E-3</v>
      </c>
      <c r="AT156" s="117">
        <f t="shared" si="102"/>
        <v>4.5266687931754378E-3</v>
      </c>
    </row>
    <row r="157" spans="4:46" x14ac:dyDescent="0.25">
      <c r="O157" s="115">
        <v>2003</v>
      </c>
      <c r="P157" s="37"/>
      <c r="Q157" s="37"/>
      <c r="R157" s="37"/>
      <c r="S157" s="94">
        <v>197.42193</v>
      </c>
      <c r="T157" s="37">
        <v>197.42193</v>
      </c>
      <c r="U157" s="37">
        <f t="shared" si="91"/>
        <v>197.42193</v>
      </c>
      <c r="V157" s="37">
        <f t="shared" si="92"/>
        <v>0</v>
      </c>
      <c r="W157" s="116">
        <f t="shared" si="93"/>
        <v>0</v>
      </c>
      <c r="X157" s="117">
        <f t="shared" si="100"/>
        <v>0</v>
      </c>
      <c r="Y157" s="17"/>
      <c r="Z157" s="115">
        <v>2003</v>
      </c>
      <c r="AA157" s="37">
        <v>3</v>
      </c>
      <c r="AB157" s="37">
        <v>0</v>
      </c>
      <c r="AC157" s="37">
        <v>2244.9726644335969</v>
      </c>
      <c r="AD157" s="94">
        <v>2967.9227074790001</v>
      </c>
      <c r="AE157" s="37">
        <v>25.396992000000001</v>
      </c>
      <c r="AF157" s="37">
        <f t="shared" si="94"/>
        <v>2270.3696564335969</v>
      </c>
      <c r="AG157" s="37">
        <f t="shared" si="95"/>
        <v>697.55305104540321</v>
      </c>
      <c r="AH157" s="116">
        <f t="shared" si="96"/>
        <v>0.30724206037053553</v>
      </c>
      <c r="AI157" s="117">
        <f t="shared" si="101"/>
        <v>0.42213685715121768</v>
      </c>
      <c r="AJ157" s="17"/>
      <c r="AK157" s="115">
        <v>2003</v>
      </c>
      <c r="AL157" s="37">
        <v>27</v>
      </c>
      <c r="AM157" s="37">
        <v>0</v>
      </c>
      <c r="AN157" s="37">
        <v>14842.211910690758</v>
      </c>
      <c r="AO157" s="94">
        <v>19203.278022386985</v>
      </c>
      <c r="AP157" s="37">
        <v>4793.2192740000019</v>
      </c>
      <c r="AQ157" s="37">
        <f t="shared" si="97"/>
        <v>19635.431184690759</v>
      </c>
      <c r="AR157" s="37">
        <f t="shared" si="98"/>
        <v>-432.15316230377357</v>
      </c>
      <c r="AS157" s="116">
        <f t="shared" si="99"/>
        <v>-2.200884504337813E-2</v>
      </c>
      <c r="AT157" s="117">
        <f t="shared" si="102"/>
        <v>-4.0386093325104545E-2</v>
      </c>
    </row>
    <row r="158" spans="4:46" x14ac:dyDescent="0.25">
      <c r="O158" s="115">
        <v>2004</v>
      </c>
      <c r="P158" s="37"/>
      <c r="Q158" s="37"/>
      <c r="R158" s="37"/>
      <c r="S158" s="94">
        <v>655.47167200000001</v>
      </c>
      <c r="T158" s="37">
        <v>655.47167200000001</v>
      </c>
      <c r="U158" s="37">
        <f t="shared" si="91"/>
        <v>655.47167200000001</v>
      </c>
      <c r="V158" s="37">
        <f t="shared" si="92"/>
        <v>0</v>
      </c>
      <c r="W158" s="116">
        <f t="shared" si="93"/>
        <v>0</v>
      </c>
      <c r="X158" s="117">
        <f t="shared" si="100"/>
        <v>0</v>
      </c>
      <c r="Y158" s="17"/>
      <c r="Z158" s="115">
        <v>2004</v>
      </c>
      <c r="AA158" s="37">
        <v>3</v>
      </c>
      <c r="AB158" s="37">
        <v>2</v>
      </c>
      <c r="AC158" s="37">
        <v>3147.1390178456927</v>
      </c>
      <c r="AD158" s="94">
        <v>4159.9052978699992</v>
      </c>
      <c r="AE158" s="37">
        <v>70.436970000000002</v>
      </c>
      <c r="AF158" s="37">
        <f t="shared" si="94"/>
        <v>3217.5759878456929</v>
      </c>
      <c r="AG158" s="37">
        <f t="shared" si="95"/>
        <v>942.32931002430632</v>
      </c>
      <c r="AH158" s="116">
        <f t="shared" si="96"/>
        <v>0.29286932572344215</v>
      </c>
      <c r="AI158" s="117">
        <f t="shared" si="101"/>
        <v>0.57026764163525123</v>
      </c>
      <c r="AJ158" s="17"/>
      <c r="AK158" s="115">
        <v>2004</v>
      </c>
      <c r="AL158" s="37">
        <v>34</v>
      </c>
      <c r="AM158" s="37">
        <v>0</v>
      </c>
      <c r="AN158" s="37">
        <v>16078.680608297394</v>
      </c>
      <c r="AO158" s="94">
        <v>24056.601428939972</v>
      </c>
      <c r="AP158" s="37">
        <v>6569.9284599999992</v>
      </c>
      <c r="AQ158" s="37">
        <f t="shared" si="97"/>
        <v>22648.609068297395</v>
      </c>
      <c r="AR158" s="37">
        <f t="shared" si="98"/>
        <v>1407.9923606425764</v>
      </c>
      <c r="AS158" s="116">
        <f t="shared" si="99"/>
        <v>6.2166835782133174E-2</v>
      </c>
      <c r="AT158" s="117">
        <f t="shared" si="102"/>
        <v>0.13158138326423816</v>
      </c>
    </row>
    <row r="159" spans="4:46" x14ac:dyDescent="0.25">
      <c r="O159" s="115">
        <v>2005</v>
      </c>
      <c r="P159" s="37"/>
      <c r="Q159" s="37"/>
      <c r="R159" s="37"/>
      <c r="S159" s="94">
        <v>712.0417080000002</v>
      </c>
      <c r="T159" s="37">
        <v>712.0417080000002</v>
      </c>
      <c r="U159" s="37">
        <f t="shared" si="91"/>
        <v>712.0417080000002</v>
      </c>
      <c r="V159" s="37">
        <f t="shared" si="92"/>
        <v>0</v>
      </c>
      <c r="W159" s="116">
        <f t="shared" si="93"/>
        <v>0</v>
      </c>
      <c r="X159" s="117">
        <f t="shared" si="100"/>
        <v>0</v>
      </c>
      <c r="Y159" s="17"/>
      <c r="Z159" s="115">
        <v>2005</v>
      </c>
      <c r="AA159" s="37">
        <v>11</v>
      </c>
      <c r="AB159" s="37">
        <v>1</v>
      </c>
      <c r="AC159" s="37">
        <v>2691.8476594555477</v>
      </c>
      <c r="AD159" s="94">
        <v>3922.4777806940001</v>
      </c>
      <c r="AE159" s="37">
        <v>184.81161800000004</v>
      </c>
      <c r="AF159" s="37">
        <f t="shared" si="94"/>
        <v>2876.6592774555479</v>
      </c>
      <c r="AG159" s="37">
        <f t="shared" si="95"/>
        <v>1045.8185032384522</v>
      </c>
      <c r="AH159" s="116">
        <f t="shared" si="96"/>
        <v>0.36355313659652311</v>
      </c>
      <c r="AI159" s="117">
        <f t="shared" si="101"/>
        <v>0.63289600044905447</v>
      </c>
      <c r="AJ159" s="17"/>
      <c r="AK159" s="115">
        <v>2005</v>
      </c>
      <c r="AL159" s="37">
        <v>16</v>
      </c>
      <c r="AM159" s="37">
        <v>5</v>
      </c>
      <c r="AN159" s="37">
        <v>11314.598121914494</v>
      </c>
      <c r="AO159" s="94">
        <v>17717.185890453995</v>
      </c>
      <c r="AP159" s="37">
        <v>8320.5792739999979</v>
      </c>
      <c r="AQ159" s="37">
        <f t="shared" si="97"/>
        <v>19635.177395914492</v>
      </c>
      <c r="AR159" s="37">
        <f t="shared" si="98"/>
        <v>-1917.9915054604971</v>
      </c>
      <c r="AS159" s="116">
        <f t="shared" si="99"/>
        <v>-9.7681394305078967E-2</v>
      </c>
      <c r="AT159" s="117">
        <f t="shared" si="102"/>
        <v>-0.1792424322972703</v>
      </c>
    </row>
    <row r="160" spans="4:46" x14ac:dyDescent="0.25">
      <c r="O160" s="125">
        <v>2006</v>
      </c>
      <c r="P160" s="107">
        <v>3</v>
      </c>
      <c r="Q160" s="107">
        <v>0</v>
      </c>
      <c r="R160" s="107">
        <v>76462.433001378289</v>
      </c>
      <c r="S160" s="107">
        <v>27817.585878200003</v>
      </c>
      <c r="T160" s="107">
        <v>891.54024000000004</v>
      </c>
      <c r="U160" s="107">
        <f t="shared" si="91"/>
        <v>77353.973241378291</v>
      </c>
      <c r="V160" s="107">
        <f t="shared" si="92"/>
        <v>-49536.387363178292</v>
      </c>
      <c r="W160" s="126">
        <f t="shared" si="93"/>
        <v>-0.64038581713964526</v>
      </c>
      <c r="X160" s="127">
        <f t="shared" si="100"/>
        <v>-7.9185031501639438</v>
      </c>
      <c r="Y160" s="17"/>
      <c r="Z160" s="125">
        <v>2006</v>
      </c>
      <c r="AA160" s="107">
        <v>7</v>
      </c>
      <c r="AB160" s="107">
        <v>0</v>
      </c>
      <c r="AC160" s="107">
        <v>2688.0389241267676</v>
      </c>
      <c r="AD160" s="107">
        <v>4163.3292135870006</v>
      </c>
      <c r="AE160" s="107">
        <v>95.393041999999994</v>
      </c>
      <c r="AF160" s="107">
        <f t="shared" si="94"/>
        <v>2783.4319661267677</v>
      </c>
      <c r="AG160" s="107">
        <f t="shared" si="95"/>
        <v>1379.8972474602328</v>
      </c>
      <c r="AH160" s="126">
        <f t="shared" si="96"/>
        <v>0.49575389815631199</v>
      </c>
      <c r="AI160" s="127">
        <f t="shared" si="101"/>
        <v>0.83506980058576785</v>
      </c>
      <c r="AJ160" s="17"/>
      <c r="AK160" s="115">
        <v>2006</v>
      </c>
      <c r="AL160" s="37">
        <v>27</v>
      </c>
      <c r="AM160" s="37">
        <v>15</v>
      </c>
      <c r="AN160" s="37">
        <v>6742.5993527125111</v>
      </c>
      <c r="AO160" s="94">
        <v>15020.540607195</v>
      </c>
      <c r="AP160" s="37">
        <v>7178.8389799999986</v>
      </c>
      <c r="AQ160" s="37">
        <f t="shared" si="97"/>
        <v>13921.438332712511</v>
      </c>
      <c r="AR160" s="37">
        <f t="shared" si="98"/>
        <v>1099.1022744824895</v>
      </c>
      <c r="AS160" s="116">
        <f t="shared" si="99"/>
        <v>7.895033891001231E-2</v>
      </c>
      <c r="AT160" s="117">
        <f t="shared" si="102"/>
        <v>0.10271461811005449</v>
      </c>
    </row>
    <row r="161" spans="15:46" x14ac:dyDescent="0.25">
      <c r="O161" s="115">
        <v>2007</v>
      </c>
      <c r="P161" s="37"/>
      <c r="Q161" s="37"/>
      <c r="R161" s="37"/>
      <c r="S161" s="94">
        <v>1586.0090814</v>
      </c>
      <c r="T161" s="37">
        <v>1586.0090814</v>
      </c>
      <c r="U161" s="37">
        <f t="shared" si="91"/>
        <v>1586.0090814</v>
      </c>
      <c r="V161" s="37">
        <f t="shared" si="92"/>
        <v>0</v>
      </c>
      <c r="W161" s="116">
        <f t="shared" si="93"/>
        <v>0</v>
      </c>
      <c r="X161" s="117">
        <f t="shared" si="100"/>
        <v>0</v>
      </c>
      <c r="Y161" s="17"/>
      <c r="Z161" s="115">
        <v>2007</v>
      </c>
      <c r="AA161" s="37">
        <v>5</v>
      </c>
      <c r="AB161" s="37">
        <v>0</v>
      </c>
      <c r="AC161" s="37">
        <v>2122.7155777224384</v>
      </c>
      <c r="AD161" s="94">
        <v>2602.1527339720005</v>
      </c>
      <c r="AE161" s="37">
        <v>118.50386379999999</v>
      </c>
      <c r="AF161" s="37">
        <f t="shared" si="94"/>
        <v>2241.2194415224385</v>
      </c>
      <c r="AG161" s="37">
        <f t="shared" si="95"/>
        <v>360.93329244956203</v>
      </c>
      <c r="AH161" s="116">
        <f t="shared" si="96"/>
        <v>0.16104326321762744</v>
      </c>
      <c r="AI161" s="117">
        <f t="shared" si="101"/>
        <v>0.21842531616420705</v>
      </c>
      <c r="AJ161" s="17"/>
      <c r="AK161" s="115">
        <v>2007</v>
      </c>
      <c r="AL161" s="37">
        <v>10</v>
      </c>
      <c r="AM161" s="37">
        <v>1</v>
      </c>
      <c r="AN161" s="37">
        <v>2642.9438083323835</v>
      </c>
      <c r="AO161" s="94">
        <v>15918.915525602002</v>
      </c>
      <c r="AP161" s="37">
        <v>12876.612247799998</v>
      </c>
      <c r="AQ161" s="37">
        <f t="shared" si="97"/>
        <v>15519.556056132382</v>
      </c>
      <c r="AR161" s="37">
        <f t="shared" si="98"/>
        <v>399.35946946962031</v>
      </c>
      <c r="AS161" s="116">
        <f t="shared" si="99"/>
        <v>2.5732660652481604E-2</v>
      </c>
      <c r="AT161" s="117">
        <f t="shared" si="102"/>
        <v>3.7321417985892384E-2</v>
      </c>
    </row>
    <row r="162" spans="15:46" x14ac:dyDescent="0.25">
      <c r="O162" s="115">
        <v>2008</v>
      </c>
      <c r="P162" s="37"/>
      <c r="Q162" s="37"/>
      <c r="R162" s="37"/>
      <c r="S162" s="94">
        <v>190.74860580000004</v>
      </c>
      <c r="T162" s="37">
        <v>190.74860580000004</v>
      </c>
      <c r="U162" s="37">
        <f t="shared" si="91"/>
        <v>190.74860580000004</v>
      </c>
      <c r="V162" s="37">
        <f t="shared" si="92"/>
        <v>0</v>
      </c>
      <c r="W162" s="116">
        <f t="shared" si="93"/>
        <v>0</v>
      </c>
      <c r="X162" s="117">
        <f>V162/$U$172</f>
        <v>0</v>
      </c>
      <c r="Y162" s="17"/>
      <c r="Z162" s="125">
        <v>2008</v>
      </c>
      <c r="AA162" s="107">
        <v>6</v>
      </c>
      <c r="AB162" s="107">
        <v>0</v>
      </c>
      <c r="AC162" s="107">
        <v>3837.4558130155624</v>
      </c>
      <c r="AD162" s="107">
        <v>2824.2233180000003</v>
      </c>
      <c r="AE162" s="107">
        <v>89.557465800000003</v>
      </c>
      <c r="AF162" s="107">
        <f t="shared" si="94"/>
        <v>3927.0132788155624</v>
      </c>
      <c r="AG162" s="107">
        <f t="shared" si="95"/>
        <v>-1102.7899608155622</v>
      </c>
      <c r="AH162" s="126">
        <f t="shared" si="96"/>
        <v>-0.28082155127017489</v>
      </c>
      <c r="AI162" s="127">
        <f t="shared" si="101"/>
        <v>-0.66737330939764616</v>
      </c>
      <c r="AJ162" s="17"/>
      <c r="AK162" s="115">
        <v>2008</v>
      </c>
      <c r="AL162" s="37">
        <v>22</v>
      </c>
      <c r="AM162" s="37">
        <v>2</v>
      </c>
      <c r="AN162" s="37">
        <v>12490.778263476839</v>
      </c>
      <c r="AO162" s="94">
        <v>14307.655576732297</v>
      </c>
      <c r="AP162" s="37">
        <v>3213.7732867999998</v>
      </c>
      <c r="AQ162" s="37">
        <f t="shared" si="97"/>
        <v>15704.551550276839</v>
      </c>
      <c r="AR162" s="37">
        <f t="shared" si="98"/>
        <v>-1396.8959735445424</v>
      </c>
      <c r="AS162" s="116">
        <f t="shared" si="99"/>
        <v>-8.8948478985375293E-2</v>
      </c>
      <c r="AT162" s="117">
        <f t="shared" si="102"/>
        <v>-0.1305443904477939</v>
      </c>
    </row>
    <row r="163" spans="15:46" x14ac:dyDescent="0.25">
      <c r="O163" s="118">
        <v>2009</v>
      </c>
      <c r="P163" s="37"/>
      <c r="Q163" s="37"/>
      <c r="R163" s="37"/>
      <c r="S163" s="94">
        <v>174.1457632</v>
      </c>
      <c r="T163" s="37">
        <v>174.1457632</v>
      </c>
      <c r="U163" s="37">
        <f t="shared" si="91"/>
        <v>174.1457632</v>
      </c>
      <c r="V163" s="37">
        <f t="shared" si="92"/>
        <v>0</v>
      </c>
      <c r="W163" s="116">
        <f t="shared" si="93"/>
        <v>0</v>
      </c>
      <c r="X163" s="117">
        <f t="shared" si="100"/>
        <v>0</v>
      </c>
      <c r="Y163" s="17"/>
      <c r="Z163" s="118">
        <v>2009</v>
      </c>
      <c r="AA163" s="37">
        <v>2</v>
      </c>
      <c r="AB163" s="37">
        <v>2</v>
      </c>
      <c r="AC163" s="37">
        <v>6078.18938469354</v>
      </c>
      <c r="AD163" s="94">
        <v>5440.1429379300007</v>
      </c>
      <c r="AE163" s="37">
        <v>58.135301999999996</v>
      </c>
      <c r="AF163" s="37">
        <f t="shared" si="94"/>
        <v>6136.3246866935397</v>
      </c>
      <c r="AG163" s="37">
        <f t="shared" si="95"/>
        <v>-696.18174876353896</v>
      </c>
      <c r="AH163" s="116">
        <f t="shared" si="96"/>
        <v>-0.11345256066276789</v>
      </c>
      <c r="AI163" s="117">
        <f t="shared" si="101"/>
        <v>-0.42130698874966327</v>
      </c>
      <c r="AJ163" s="17"/>
      <c r="AK163" s="118">
        <v>2009</v>
      </c>
      <c r="AL163" s="37">
        <v>15</v>
      </c>
      <c r="AM163" s="37">
        <v>2</v>
      </c>
      <c r="AN163" s="37">
        <v>5322.4629166242175</v>
      </c>
      <c r="AO163" s="94">
        <v>8668.3835724919973</v>
      </c>
      <c r="AP163" s="37">
        <v>2553.5529064000002</v>
      </c>
      <c r="AQ163" s="37">
        <f t="shared" si="97"/>
        <v>7876.0158230242178</v>
      </c>
      <c r="AR163" s="37">
        <f t="shared" si="98"/>
        <v>792.3677494677795</v>
      </c>
      <c r="AS163" s="116">
        <f t="shared" si="99"/>
        <v>0.10060514951625982</v>
      </c>
      <c r="AT163" s="117">
        <f t="shared" si="102"/>
        <v>7.4049297029821534E-2</v>
      </c>
    </row>
    <row r="164" spans="15:46" x14ac:dyDescent="0.25">
      <c r="O164" s="115">
        <v>2010</v>
      </c>
      <c r="P164" s="37"/>
      <c r="Q164" s="37"/>
      <c r="R164" s="37"/>
      <c r="S164" s="94">
        <v>125.353556</v>
      </c>
      <c r="T164" s="37">
        <v>125.353556</v>
      </c>
      <c r="U164" s="37">
        <f t="shared" si="91"/>
        <v>125.353556</v>
      </c>
      <c r="V164" s="37">
        <f t="shared" si="92"/>
        <v>0</v>
      </c>
      <c r="W164" s="116">
        <f t="shared" si="93"/>
        <v>0</v>
      </c>
      <c r="X164" s="117">
        <f t="shared" si="100"/>
        <v>0</v>
      </c>
      <c r="Y164" s="17"/>
      <c r="Z164" s="115">
        <v>2010</v>
      </c>
      <c r="AA164" s="37">
        <v>2</v>
      </c>
      <c r="AB164" s="37">
        <v>0</v>
      </c>
      <c r="AC164" s="37">
        <v>585.53590290479815</v>
      </c>
      <c r="AD164" s="94">
        <v>894.31759863599996</v>
      </c>
      <c r="AE164" s="37">
        <v>48.618043800000002</v>
      </c>
      <c r="AF164" s="37">
        <f t="shared" si="94"/>
        <v>634.15394670479816</v>
      </c>
      <c r="AG164" s="37">
        <f t="shared" si="95"/>
        <v>260.1636519312018</v>
      </c>
      <c r="AH164" s="116">
        <f t="shared" si="96"/>
        <v>0.41025314638987698</v>
      </c>
      <c r="AI164" s="117">
        <f t="shared" si="101"/>
        <v>0.15744274389830237</v>
      </c>
      <c r="AJ164" s="17"/>
      <c r="AK164" s="115">
        <v>2010</v>
      </c>
      <c r="AL164" s="37">
        <v>7</v>
      </c>
      <c r="AM164" s="37">
        <v>0</v>
      </c>
      <c r="AN164" s="37">
        <v>237.10581686519737</v>
      </c>
      <c r="AO164" s="94">
        <v>2033.4917469160005</v>
      </c>
      <c r="AP164" s="37">
        <v>1766.2307221999999</v>
      </c>
      <c r="AQ164" s="37">
        <f t="shared" si="97"/>
        <v>2003.3365390651973</v>
      </c>
      <c r="AR164" s="37">
        <f t="shared" si="98"/>
        <v>30.155207850803208</v>
      </c>
      <c r="AS164" s="116">
        <f t="shared" si="99"/>
        <v>1.5052492311089339E-2</v>
      </c>
      <c r="AT164" s="117">
        <f t="shared" si="102"/>
        <v>2.8181004901322443E-3</v>
      </c>
    </row>
    <row r="165" spans="15:46" x14ac:dyDescent="0.25">
      <c r="O165" s="115">
        <v>2011</v>
      </c>
      <c r="P165" s="37"/>
      <c r="Q165" s="37"/>
      <c r="R165" s="37"/>
      <c r="S165" s="94">
        <v>82.773911600000005</v>
      </c>
      <c r="T165" s="37">
        <v>82.773911600000005</v>
      </c>
      <c r="U165" s="37">
        <f t="shared" si="91"/>
        <v>82.773911600000005</v>
      </c>
      <c r="V165" s="37">
        <f t="shared" si="92"/>
        <v>0</v>
      </c>
      <c r="W165" s="116">
        <f t="shared" si="93"/>
        <v>0</v>
      </c>
      <c r="X165" s="117">
        <f t="shared" si="100"/>
        <v>0</v>
      </c>
      <c r="Y165" s="17"/>
      <c r="Z165" s="115">
        <v>2011</v>
      </c>
      <c r="AA165" s="37"/>
      <c r="AB165" s="37"/>
      <c r="AC165" s="37"/>
      <c r="AD165" s="94">
        <v>18.615642399999999</v>
      </c>
      <c r="AE165" s="37">
        <v>18.615642399999999</v>
      </c>
      <c r="AF165" s="37">
        <f t="shared" si="94"/>
        <v>18.615642399999999</v>
      </c>
      <c r="AG165" s="37">
        <f t="shared" si="95"/>
        <v>0</v>
      </c>
      <c r="AH165" s="116">
        <f t="shared" si="96"/>
        <v>0</v>
      </c>
      <c r="AI165" s="117">
        <f t="shared" si="101"/>
        <v>0</v>
      </c>
      <c r="AJ165" s="17"/>
      <c r="AK165" s="115">
        <v>2011</v>
      </c>
      <c r="AL165" s="37">
        <v>8</v>
      </c>
      <c r="AM165" s="37">
        <v>1</v>
      </c>
      <c r="AN165" s="37">
        <v>5798.3248173962875</v>
      </c>
      <c r="AO165" s="94">
        <v>8863.524244299997</v>
      </c>
      <c r="AP165" s="37">
        <v>1238.1871348</v>
      </c>
      <c r="AQ165" s="37">
        <f t="shared" si="97"/>
        <v>7036.5119521962879</v>
      </c>
      <c r="AR165" s="37">
        <f t="shared" si="98"/>
        <v>1827.0122921037091</v>
      </c>
      <c r="AS165" s="116">
        <f t="shared" si="99"/>
        <v>0.25964743675784541</v>
      </c>
      <c r="AT165" s="117">
        <f t="shared" si="102"/>
        <v>0.17074013421923595</v>
      </c>
    </row>
    <row r="166" spans="15:46" x14ac:dyDescent="0.25">
      <c r="O166" s="115">
        <v>2012</v>
      </c>
      <c r="P166" s="37">
        <v>3</v>
      </c>
      <c r="Q166" s="37">
        <v>0</v>
      </c>
      <c r="R166" s="37">
        <v>5514.7531964926866</v>
      </c>
      <c r="S166" s="94">
        <v>5075.3718272000006</v>
      </c>
      <c r="T166" s="37">
        <v>111.43591620000001</v>
      </c>
      <c r="U166" s="37">
        <f t="shared" si="91"/>
        <v>5626.1891126926866</v>
      </c>
      <c r="V166" s="37">
        <f t="shared" si="92"/>
        <v>-550.8172854926861</v>
      </c>
      <c r="W166" s="116">
        <f t="shared" si="93"/>
        <v>-9.7902376628265467E-2</v>
      </c>
      <c r="X166" s="117">
        <f t="shared" si="100"/>
        <v>-8.8049384351768775E-2</v>
      </c>
      <c r="Y166" s="17"/>
      <c r="Z166" s="115">
        <v>2012</v>
      </c>
      <c r="AA166" s="37"/>
      <c r="AB166" s="37"/>
      <c r="AC166" s="37"/>
      <c r="AD166" s="94">
        <v>19.788489599999998</v>
      </c>
      <c r="AE166" s="37">
        <v>19.788489599999998</v>
      </c>
      <c r="AF166" s="37">
        <f t="shared" si="94"/>
        <v>19.788489599999998</v>
      </c>
      <c r="AG166" s="37">
        <f t="shared" si="95"/>
        <v>0</v>
      </c>
      <c r="AH166" s="116">
        <f t="shared" si="96"/>
        <v>0</v>
      </c>
      <c r="AI166" s="117">
        <f t="shared" si="101"/>
        <v>0</v>
      </c>
      <c r="AJ166" s="17"/>
      <c r="AK166" s="115">
        <v>2012</v>
      </c>
      <c r="AL166" s="37">
        <v>13</v>
      </c>
      <c r="AM166" s="37">
        <v>2</v>
      </c>
      <c r="AN166" s="37">
        <v>4445.2180318688197</v>
      </c>
      <c r="AO166" s="94">
        <v>6317.3096819129969</v>
      </c>
      <c r="AP166" s="37">
        <v>1204.5140744000003</v>
      </c>
      <c r="AQ166" s="37">
        <f t="shared" si="97"/>
        <v>5649.7321062688197</v>
      </c>
      <c r="AR166" s="37">
        <f t="shared" si="98"/>
        <v>667.57757564417716</v>
      </c>
      <c r="AS166" s="116">
        <f t="shared" si="99"/>
        <v>0.11816092570184834</v>
      </c>
      <c r="AT166" s="117">
        <f t="shared" si="102"/>
        <v>6.2387256703125032E-2</v>
      </c>
    </row>
    <row r="167" spans="15:46" x14ac:dyDescent="0.25">
      <c r="O167" s="115">
        <v>2013</v>
      </c>
      <c r="P167" s="37"/>
      <c r="Q167" s="37"/>
      <c r="R167" s="37"/>
      <c r="S167" s="94">
        <v>112.20091240000001</v>
      </c>
      <c r="T167" s="37">
        <v>112.20091240000001</v>
      </c>
      <c r="U167" s="37">
        <f t="shared" si="91"/>
        <v>112.20091240000001</v>
      </c>
      <c r="V167" s="37">
        <f t="shared" si="92"/>
        <v>0</v>
      </c>
      <c r="W167" s="116">
        <f t="shared" si="93"/>
        <v>0</v>
      </c>
      <c r="X167" s="117">
        <f t="shared" si="100"/>
        <v>0</v>
      </c>
      <c r="Y167" s="17"/>
      <c r="Z167" s="115">
        <v>2013</v>
      </c>
      <c r="AA167" s="37">
        <v>1</v>
      </c>
      <c r="AB167" s="37">
        <v>0</v>
      </c>
      <c r="AC167" s="37">
        <v>487.25133440053236</v>
      </c>
      <c r="AD167" s="94">
        <v>518.04311363999989</v>
      </c>
      <c r="AE167" s="37">
        <v>26.106873200000003</v>
      </c>
      <c r="AF167" s="37">
        <f t="shared" si="94"/>
        <v>513.35820760053241</v>
      </c>
      <c r="AG167" s="37">
        <f t="shared" si="95"/>
        <v>4.684906039467478</v>
      </c>
      <c r="AH167" s="116">
        <f t="shared" si="96"/>
        <v>9.1259981239318541E-3</v>
      </c>
      <c r="AI167" s="117">
        <f t="shared" si="101"/>
        <v>2.8351557040510091E-3</v>
      </c>
      <c r="AJ167" s="17"/>
      <c r="AK167" s="125">
        <v>2013</v>
      </c>
      <c r="AL167" s="107">
        <v>25</v>
      </c>
      <c r="AM167" s="107">
        <v>1</v>
      </c>
      <c r="AN167" s="107">
        <v>30950.716736946892</v>
      </c>
      <c r="AO167" s="107">
        <v>53579.903620960009</v>
      </c>
      <c r="AP167" s="107">
        <v>830.59627760000001</v>
      </c>
      <c r="AQ167" s="107">
        <f t="shared" si="97"/>
        <v>31781.313014546893</v>
      </c>
      <c r="AR167" s="107">
        <f t="shared" si="98"/>
        <v>21798.590606413116</v>
      </c>
      <c r="AS167" s="126">
        <f t="shared" si="99"/>
        <v>0.68589332971974759</v>
      </c>
      <c r="AT167" s="127">
        <f t="shared" si="102"/>
        <v>2.0371479174032183</v>
      </c>
    </row>
    <row r="168" spans="15:46" x14ac:dyDescent="0.25">
      <c r="O168" s="115">
        <v>2014</v>
      </c>
      <c r="P168" s="37"/>
      <c r="Q168" s="37"/>
      <c r="R168" s="37"/>
      <c r="S168" s="94">
        <v>421.30567379999997</v>
      </c>
      <c r="T168" s="37">
        <v>421.30567379999997</v>
      </c>
      <c r="U168" s="37">
        <f t="shared" si="91"/>
        <v>421.30567379999997</v>
      </c>
      <c r="V168" s="37">
        <f t="shared" si="92"/>
        <v>0</v>
      </c>
      <c r="W168" s="116">
        <f t="shared" si="93"/>
        <v>0</v>
      </c>
      <c r="X168" s="117">
        <f t="shared" si="100"/>
        <v>0</v>
      </c>
      <c r="Y168" s="17"/>
      <c r="Z168" s="115">
        <v>2014</v>
      </c>
      <c r="AA168" s="37">
        <v>3</v>
      </c>
      <c r="AB168" s="37">
        <v>0</v>
      </c>
      <c r="AC168" s="37">
        <v>64.376912683336244</v>
      </c>
      <c r="AD168" s="94">
        <v>198.40338513900002</v>
      </c>
      <c r="AE168" s="37">
        <v>103.07607299999999</v>
      </c>
      <c r="AF168" s="37">
        <f t="shared" si="94"/>
        <v>167.45298568333624</v>
      </c>
      <c r="AG168" s="37">
        <f t="shared" si="95"/>
        <v>30.950399455663785</v>
      </c>
      <c r="AH168" s="116">
        <f t="shared" si="96"/>
        <v>0.18483038286455442</v>
      </c>
      <c r="AI168" s="117">
        <f t="shared" si="101"/>
        <v>1.8730194548225491E-2</v>
      </c>
      <c r="AJ168" s="17"/>
      <c r="AK168" s="115">
        <v>2014</v>
      </c>
      <c r="AL168" s="37">
        <v>13</v>
      </c>
      <c r="AM168" s="37">
        <v>4</v>
      </c>
      <c r="AN168" s="37">
        <v>9347.9732297235114</v>
      </c>
      <c r="AO168" s="94">
        <v>17202.903066704992</v>
      </c>
      <c r="AP168" s="37">
        <v>1986.0602066000004</v>
      </c>
      <c r="AQ168" s="37">
        <f t="shared" si="97"/>
        <v>11334.033436323512</v>
      </c>
      <c r="AR168" s="37">
        <f t="shared" si="98"/>
        <v>5868.8696303814795</v>
      </c>
      <c r="AS168" s="116">
        <f t="shared" si="99"/>
        <v>0.51780945092087183</v>
      </c>
      <c r="AT168" s="117">
        <f t="shared" si="102"/>
        <v>0.54846461227292653</v>
      </c>
    </row>
    <row r="169" spans="15:46" x14ac:dyDescent="0.25">
      <c r="O169" s="115">
        <v>2015</v>
      </c>
      <c r="P169" s="37"/>
      <c r="Q169" s="37"/>
      <c r="R169" s="37"/>
      <c r="S169" s="94">
        <v>117.51399839999999</v>
      </c>
      <c r="T169" s="37">
        <v>117.51399839999999</v>
      </c>
      <c r="U169" s="37">
        <f t="shared" si="91"/>
        <v>117.51399839999999</v>
      </c>
      <c r="V169" s="37">
        <f t="shared" si="92"/>
        <v>0</v>
      </c>
      <c r="W169" s="116">
        <f t="shared" si="93"/>
        <v>0</v>
      </c>
      <c r="X169" s="117">
        <f t="shared" si="100"/>
        <v>0</v>
      </c>
      <c r="Y169" s="17"/>
      <c r="Z169" s="115">
        <v>2015</v>
      </c>
      <c r="AA169" s="37">
        <v>0</v>
      </c>
      <c r="AB169" s="37">
        <v>0</v>
      </c>
      <c r="AC169" s="37">
        <v>0</v>
      </c>
      <c r="AD169" s="94">
        <v>263.25789979999996</v>
      </c>
      <c r="AE169" s="37">
        <v>263.25789979999996</v>
      </c>
      <c r="AF169" s="37">
        <f t="shared" si="94"/>
        <v>263.25789979999996</v>
      </c>
      <c r="AG169" s="37">
        <f t="shared" si="95"/>
        <v>0</v>
      </c>
      <c r="AH169" s="116">
        <f t="shared" si="96"/>
        <v>0</v>
      </c>
      <c r="AI169" s="117">
        <f t="shared" si="101"/>
        <v>0</v>
      </c>
      <c r="AJ169" s="17"/>
      <c r="AK169" s="115">
        <v>2015</v>
      </c>
      <c r="AL169" s="37">
        <v>21</v>
      </c>
      <c r="AM169" s="37">
        <v>0</v>
      </c>
      <c r="AN169" s="37">
        <v>29095.62991038564</v>
      </c>
      <c r="AO169" s="94">
        <v>29647.177527165008</v>
      </c>
      <c r="AP169" s="37">
        <v>1904.7810138000002</v>
      </c>
      <c r="AQ169" s="37">
        <f t="shared" si="97"/>
        <v>31000.410924185639</v>
      </c>
      <c r="AR169" s="37">
        <f t="shared" si="98"/>
        <v>-1353.2333970206309</v>
      </c>
      <c r="AS169" s="116">
        <f t="shared" si="99"/>
        <v>-4.3652111590716906E-2</v>
      </c>
      <c r="AT169" s="117">
        <f t="shared" si="102"/>
        <v>-0.1264639832122923</v>
      </c>
    </row>
    <row r="170" spans="15:46" x14ac:dyDescent="0.25">
      <c r="O170" s="115">
        <v>2016</v>
      </c>
      <c r="P170" s="37"/>
      <c r="Q170" s="37"/>
      <c r="R170" s="37"/>
      <c r="S170" s="94">
        <v>46.100390599999997</v>
      </c>
      <c r="T170" s="37">
        <v>46.100390599999997</v>
      </c>
      <c r="U170" s="37">
        <f t="shared" si="91"/>
        <v>46.100390599999997</v>
      </c>
      <c r="V170" s="37">
        <f t="shared" si="92"/>
        <v>0</v>
      </c>
      <c r="W170" s="116">
        <f t="shared" si="93"/>
        <v>0</v>
      </c>
      <c r="X170" s="117">
        <f t="shared" si="100"/>
        <v>0</v>
      </c>
      <c r="Y170" s="17"/>
      <c r="Z170" s="115">
        <v>2016</v>
      </c>
      <c r="AA170" s="37">
        <v>3</v>
      </c>
      <c r="AB170" s="37">
        <v>0</v>
      </c>
      <c r="AC170" s="37">
        <v>273.12461873771502</v>
      </c>
      <c r="AD170" s="94">
        <v>421.65240534100008</v>
      </c>
      <c r="AE170" s="37">
        <v>137.92198059999998</v>
      </c>
      <c r="AF170" s="37">
        <f t="shared" si="94"/>
        <v>411.04659933771501</v>
      </c>
      <c r="AG170" s="37">
        <f t="shared" si="95"/>
        <v>10.605806003285068</v>
      </c>
      <c r="AH170" s="116">
        <f t="shared" si="96"/>
        <v>2.5801955350982869E-2</v>
      </c>
      <c r="AI170" s="117">
        <f t="shared" si="101"/>
        <v>6.4182955075209967E-3</v>
      </c>
      <c r="AJ170" s="17"/>
      <c r="AK170" s="125">
        <v>2016</v>
      </c>
      <c r="AL170" s="107">
        <v>22</v>
      </c>
      <c r="AM170" s="107">
        <v>0</v>
      </c>
      <c r="AN170" s="107">
        <v>26471.215355029122</v>
      </c>
      <c r="AO170" s="107">
        <v>42496.148211869979</v>
      </c>
      <c r="AP170" s="107">
        <v>1969.5279111999998</v>
      </c>
      <c r="AQ170" s="107">
        <f t="shared" si="97"/>
        <v>28440.743266229121</v>
      </c>
      <c r="AR170" s="107">
        <f t="shared" si="98"/>
        <v>14055.404945640857</v>
      </c>
      <c r="AS170" s="126">
        <f t="shared" si="99"/>
        <v>0.49419963515265841</v>
      </c>
      <c r="AT170" s="127">
        <f t="shared" si="102"/>
        <v>1.3135224854788272</v>
      </c>
    </row>
    <row r="171" spans="15:46" x14ac:dyDescent="0.25">
      <c r="O171" s="118">
        <v>2017</v>
      </c>
      <c r="P171" s="37"/>
      <c r="Q171" s="37"/>
      <c r="R171" s="37"/>
      <c r="S171" s="94">
        <v>29.576913600000001</v>
      </c>
      <c r="T171" s="37">
        <v>29.576913600000001</v>
      </c>
      <c r="U171" s="37">
        <f t="shared" si="91"/>
        <v>29.576913600000001</v>
      </c>
      <c r="V171" s="37">
        <f t="shared" si="92"/>
        <v>0</v>
      </c>
      <c r="W171" s="116">
        <f t="shared" si="93"/>
        <v>0</v>
      </c>
      <c r="X171" s="117">
        <f t="shared" si="100"/>
        <v>0</v>
      </c>
      <c r="Y171" s="17"/>
      <c r="Z171" s="118">
        <v>2017</v>
      </c>
      <c r="AA171" s="37">
        <v>2</v>
      </c>
      <c r="AB171" s="37">
        <v>0</v>
      </c>
      <c r="AC171" s="37">
        <v>1685.0361927837275</v>
      </c>
      <c r="AD171" s="94">
        <v>1760.2019935999992</v>
      </c>
      <c r="AE171" s="37">
        <v>58.964231599999998</v>
      </c>
      <c r="AF171" s="37">
        <f t="shared" si="94"/>
        <v>1744.0004243837275</v>
      </c>
      <c r="AG171" s="37">
        <f t="shared" si="95"/>
        <v>16.201569216271764</v>
      </c>
      <c r="AH171" s="116">
        <f t="shared" si="96"/>
        <v>9.2898883450655504E-3</v>
      </c>
      <c r="AI171" s="117">
        <f t="shared" si="101"/>
        <v>9.8046729200381866E-3</v>
      </c>
      <c r="AJ171" s="17"/>
      <c r="AK171" s="118">
        <v>2017</v>
      </c>
      <c r="AL171" s="37">
        <v>6</v>
      </c>
      <c r="AM171" s="37">
        <v>0</v>
      </c>
      <c r="AN171" s="37">
        <v>2890.2446813849856</v>
      </c>
      <c r="AO171" s="94">
        <v>5438.5437583899984</v>
      </c>
      <c r="AP171" s="37">
        <v>2117.5778241999997</v>
      </c>
      <c r="AQ171" s="37">
        <f t="shared" si="97"/>
        <v>5007.8225055849853</v>
      </c>
      <c r="AR171" s="37">
        <f t="shared" si="98"/>
        <v>430.72125280501314</v>
      </c>
      <c r="AS171" s="116">
        <f t="shared" si="99"/>
        <v>8.6009688307572857E-2</v>
      </c>
      <c r="AT171" s="117">
        <f t="shared" si="102"/>
        <v>4.025227680889127E-2</v>
      </c>
    </row>
    <row r="172" spans="15:46" x14ac:dyDescent="0.25">
      <c r="O172" s="119" t="s">
        <v>104</v>
      </c>
      <c r="P172" s="123"/>
      <c r="Q172" s="123"/>
      <c r="R172" s="123"/>
      <c r="S172" s="124"/>
      <c r="T172" s="123"/>
      <c r="U172" s="121">
        <f>AVERAGE(U140:U171)</f>
        <v>6255.7766820049437</v>
      </c>
      <c r="V172" s="120"/>
      <c r="W172" s="120"/>
      <c r="X172" s="122"/>
      <c r="Y172" s="17"/>
      <c r="Z172" s="119" t="s">
        <v>104</v>
      </c>
      <c r="AA172" s="123"/>
      <c r="AB172" s="123"/>
      <c r="AC172" s="123"/>
      <c r="AD172" s="124"/>
      <c r="AE172" s="123"/>
      <c r="AF172" s="121">
        <f>AVERAGE(AF140:AF171)</f>
        <v>1652.4334211251448</v>
      </c>
      <c r="AG172" s="120"/>
      <c r="AH172" s="120"/>
      <c r="AI172" s="122"/>
      <c r="AJ172" s="17"/>
      <c r="AK172" s="119" t="s">
        <v>104</v>
      </c>
      <c r="AL172" s="123"/>
      <c r="AM172" s="123"/>
      <c r="AN172" s="123"/>
      <c r="AO172" s="124"/>
      <c r="AP172" s="123"/>
      <c r="AQ172" s="121">
        <f>AVERAGE(AQ140:AQ171)</f>
        <v>10700.543843767658</v>
      </c>
      <c r="AR172" s="120"/>
      <c r="AS172" s="120"/>
      <c r="AT172" s="122"/>
    </row>
  </sheetData>
  <mergeCells count="10">
    <mergeCell ref="A49:C49"/>
    <mergeCell ref="O101:X101"/>
    <mergeCell ref="Z101:AI101"/>
    <mergeCell ref="AK101:AT101"/>
    <mergeCell ref="O138:X138"/>
    <mergeCell ref="Z138:AI138"/>
    <mergeCell ref="AK138:AT138"/>
    <mergeCell ref="D119:J119"/>
    <mergeCell ref="K49:M49"/>
    <mergeCell ref="D136:J136"/>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175"/>
  <sheetViews>
    <sheetView topLeftCell="AT1" workbookViewId="0">
      <selection activeCell="H44" sqref="H44"/>
    </sheetView>
  </sheetViews>
  <sheetFormatPr defaultRowHeight="15" x14ac:dyDescent="0.25"/>
  <cols>
    <col min="1" max="1" width="13.28515625" customWidth="1"/>
    <col min="2" max="2" width="14.140625" bestFit="1" customWidth="1"/>
    <col min="3" max="3" width="14.5703125" bestFit="1" customWidth="1"/>
    <col min="4" max="4" width="15.7109375" bestFit="1" customWidth="1"/>
    <col min="5" max="5" width="12" bestFit="1" customWidth="1"/>
    <col min="6" max="6" width="16.5703125" bestFit="1" customWidth="1"/>
    <col min="7" max="7" width="12" bestFit="1" customWidth="1"/>
    <col min="8" max="8" width="13.28515625" bestFit="1" customWidth="1"/>
    <col min="9" max="9" width="13.28515625" style="17" customWidth="1"/>
    <col min="10" max="10" width="13" style="17" customWidth="1"/>
    <col min="11" max="11" width="14.140625" style="17" bestFit="1" customWidth="1"/>
    <col min="12" max="12" width="14.5703125" style="17" bestFit="1" customWidth="1"/>
    <col min="13" max="13" width="15.7109375" style="17" bestFit="1" customWidth="1"/>
    <col min="14" max="14" width="12" style="17" bestFit="1" customWidth="1"/>
    <col min="15" max="15" width="16.5703125" style="17" bestFit="1" customWidth="1"/>
    <col min="16" max="16" width="12" style="17" bestFit="1" customWidth="1"/>
    <col min="17" max="17" width="13.28515625" style="17" bestFit="1" customWidth="1"/>
    <col min="18" max="18" width="13.28515625" style="17" customWidth="1"/>
    <col min="21" max="21" width="13.5703125" bestFit="1" customWidth="1"/>
    <col min="22" max="22" width="14.140625" bestFit="1" customWidth="1"/>
    <col min="23" max="23" width="15.140625" bestFit="1" customWidth="1"/>
    <col min="25" max="25" width="15.7109375" bestFit="1" customWidth="1"/>
    <col min="29" max="29" width="14.140625" bestFit="1" customWidth="1"/>
    <col min="30" max="30" width="14.5703125" bestFit="1" customWidth="1"/>
    <col min="31" max="31" width="15.7109375" bestFit="1" customWidth="1"/>
    <col min="33" max="33" width="16.7109375" bestFit="1" customWidth="1"/>
    <col min="34" max="34" width="14.140625" bestFit="1" customWidth="1"/>
    <col min="35" max="35" width="14.5703125" bestFit="1" customWidth="1"/>
    <col min="36" max="36" width="9.42578125" customWidth="1"/>
    <col min="37" max="37" width="14.140625" bestFit="1" customWidth="1"/>
    <col min="38" max="38" width="16.7109375" bestFit="1" customWidth="1"/>
    <col min="39" max="39" width="15.7109375" bestFit="1" customWidth="1"/>
    <col min="41" max="41" width="16.7109375" style="17" bestFit="1" customWidth="1"/>
    <col min="42" max="42" width="14.140625" style="17" bestFit="1" customWidth="1"/>
    <col min="43" max="43" width="14.5703125" style="17" bestFit="1" customWidth="1"/>
    <col min="44" max="44" width="15.7109375" style="17" bestFit="1" customWidth="1"/>
    <col min="45" max="45" width="14.140625" style="17" bestFit="1" customWidth="1"/>
    <col min="46" max="46" width="16.7109375" style="17" bestFit="1" customWidth="1"/>
    <col min="47" max="47" width="15.7109375" bestFit="1" customWidth="1"/>
    <col min="49" max="49" width="16.7109375" bestFit="1" customWidth="1"/>
    <col min="50" max="50" width="14.140625" bestFit="1" customWidth="1"/>
    <col min="51" max="51" width="14.5703125" bestFit="1" customWidth="1"/>
    <col min="52" max="52" width="15.7109375" bestFit="1" customWidth="1"/>
    <col min="54" max="54" width="16.7109375" bestFit="1" customWidth="1"/>
    <col min="58" max="58" width="14.140625" bestFit="1" customWidth="1"/>
    <col min="59" max="59" width="14.5703125" bestFit="1" customWidth="1"/>
    <col min="60" max="60" width="15.7109375" bestFit="1" customWidth="1"/>
    <col min="62" max="62" width="16.7109375" bestFit="1" customWidth="1"/>
  </cols>
  <sheetData>
    <row r="1" spans="1:46" x14ac:dyDescent="0.25">
      <c r="A1" t="s">
        <v>38</v>
      </c>
      <c r="T1" t="s">
        <v>46</v>
      </c>
      <c r="AB1" s="17" t="s">
        <v>326</v>
      </c>
      <c r="AC1" s="17"/>
      <c r="AD1" s="17"/>
      <c r="AE1" s="17"/>
      <c r="AF1" s="17"/>
      <c r="AG1" s="17"/>
      <c r="AJ1" s="17" t="s">
        <v>327</v>
      </c>
      <c r="AK1" s="17"/>
      <c r="AL1" s="17"/>
      <c r="AM1" s="17"/>
      <c r="AN1" s="17"/>
      <c r="AP1"/>
      <c r="AQ1"/>
      <c r="AR1"/>
      <c r="AS1"/>
      <c r="AT1"/>
    </row>
    <row r="2" spans="1:46" x14ac:dyDescent="0.25">
      <c r="A2" s="373" t="s">
        <v>20</v>
      </c>
      <c r="B2" s="57" t="s">
        <v>8</v>
      </c>
      <c r="C2" s="57" t="s">
        <v>9</v>
      </c>
      <c r="D2" s="57" t="s">
        <v>22</v>
      </c>
      <c r="E2" s="57" t="s">
        <v>29</v>
      </c>
      <c r="F2" s="57" t="s">
        <v>17</v>
      </c>
      <c r="G2" s="12" t="s">
        <v>5</v>
      </c>
      <c r="H2" s="4" t="s">
        <v>328</v>
      </c>
      <c r="I2" s="30"/>
      <c r="J2" s="373" t="s">
        <v>20</v>
      </c>
      <c r="K2" s="57" t="s">
        <v>8</v>
      </c>
      <c r="L2" s="57" t="s">
        <v>9</v>
      </c>
      <c r="M2" s="57" t="s">
        <v>22</v>
      </c>
      <c r="N2" s="57" t="s">
        <v>29</v>
      </c>
      <c r="O2" s="57" t="s">
        <v>17</v>
      </c>
      <c r="P2" s="12" t="s">
        <v>5</v>
      </c>
      <c r="Q2" s="30" t="s">
        <v>329</v>
      </c>
      <c r="R2" s="30"/>
      <c r="T2" s="375" t="s">
        <v>20</v>
      </c>
      <c r="U2" s="36" t="s">
        <v>8</v>
      </c>
      <c r="V2" s="36" t="s">
        <v>9</v>
      </c>
      <c r="W2" s="36" t="s">
        <v>22</v>
      </c>
      <c r="X2" s="36" t="s">
        <v>29</v>
      </c>
      <c r="Y2" s="36" t="s">
        <v>17</v>
      </c>
      <c r="AB2" s="375" t="s">
        <v>20</v>
      </c>
      <c r="AC2" s="36" t="s">
        <v>8</v>
      </c>
      <c r="AD2" s="36" t="s">
        <v>9</v>
      </c>
      <c r="AE2" s="36" t="s">
        <v>22</v>
      </c>
      <c r="AF2" s="36" t="s">
        <v>29</v>
      </c>
      <c r="AG2" s="36" t="s">
        <v>17</v>
      </c>
      <c r="AJ2" s="375" t="s">
        <v>20</v>
      </c>
      <c r="AK2" s="36" t="s">
        <v>8</v>
      </c>
      <c r="AL2" s="36" t="s">
        <v>9</v>
      </c>
      <c r="AM2" s="36" t="s">
        <v>22</v>
      </c>
      <c r="AN2" s="36" t="s">
        <v>29</v>
      </c>
      <c r="AO2" s="36" t="s">
        <v>17</v>
      </c>
      <c r="AP2"/>
      <c r="AQ2"/>
      <c r="AR2"/>
      <c r="AS2"/>
      <c r="AT2"/>
    </row>
    <row r="3" spans="1:46" s="17" customFormat="1" x14ac:dyDescent="0.25">
      <c r="A3" s="374"/>
      <c r="B3" s="57" t="s">
        <v>316</v>
      </c>
      <c r="C3" s="57" t="s">
        <v>316</v>
      </c>
      <c r="D3" s="57" t="s">
        <v>316</v>
      </c>
      <c r="E3" s="57" t="s">
        <v>316</v>
      </c>
      <c r="F3" s="57" t="s">
        <v>48</v>
      </c>
      <c r="G3" s="12"/>
      <c r="H3" s="110"/>
      <c r="I3" s="110"/>
      <c r="J3" s="374"/>
      <c r="K3" s="57" t="s">
        <v>305</v>
      </c>
      <c r="L3" s="57" t="s">
        <v>305</v>
      </c>
      <c r="M3" s="57" t="s">
        <v>305</v>
      </c>
      <c r="N3" s="57" t="s">
        <v>305</v>
      </c>
      <c r="O3" s="57" t="s">
        <v>305</v>
      </c>
      <c r="P3" s="12"/>
      <c r="Q3" s="110"/>
      <c r="R3" s="110"/>
      <c r="T3" s="375"/>
      <c r="U3" s="36" t="s">
        <v>40</v>
      </c>
      <c r="V3" s="36" t="s">
        <v>40</v>
      </c>
      <c r="W3" s="36" t="s">
        <v>40</v>
      </c>
      <c r="X3" s="36" t="s">
        <v>40</v>
      </c>
      <c r="Y3" s="36" t="s">
        <v>40</v>
      </c>
      <c r="AB3" s="375"/>
      <c r="AC3" s="36" t="s">
        <v>322</v>
      </c>
      <c r="AD3" s="334" t="s">
        <v>322</v>
      </c>
      <c r="AE3" s="334" t="s">
        <v>322</v>
      </c>
      <c r="AF3" s="334" t="s">
        <v>322</v>
      </c>
      <c r="AG3" s="334" t="s">
        <v>322</v>
      </c>
      <c r="AJ3" s="375"/>
      <c r="AK3" s="36" t="s">
        <v>306</v>
      </c>
      <c r="AL3" s="334" t="s">
        <v>306</v>
      </c>
      <c r="AM3" s="334" t="s">
        <v>306</v>
      </c>
      <c r="AN3" s="334" t="s">
        <v>306</v>
      </c>
      <c r="AO3" s="334" t="s">
        <v>306</v>
      </c>
    </row>
    <row r="4" spans="1:46" x14ac:dyDescent="0.25">
      <c r="A4" s="16">
        <v>1986</v>
      </c>
      <c r="B4" s="15">
        <f t="shared" ref="B4:B35" si="0">U4+AC4</f>
        <v>275849.42785315</v>
      </c>
      <c r="C4" s="15">
        <f t="shared" ref="C4:C35" si="1">V4+AD4</f>
        <v>69400.25746199998</v>
      </c>
      <c r="D4" s="15">
        <f t="shared" ref="D4:D35" si="2">W4+AE4</f>
        <v>762.27792819999991</v>
      </c>
      <c r="E4" s="15">
        <f t="shared" ref="E4:E35" si="3">X4+AF4</f>
        <v>41013.406816000002</v>
      </c>
      <c r="F4" s="15">
        <f t="shared" ref="F4:F35" si="4">Y4+AG4</f>
        <v>26395.292353099991</v>
      </c>
      <c r="G4" s="15">
        <f>SUM(B4:F4)</f>
        <v>413420.66241244995</v>
      </c>
      <c r="H4" s="5"/>
      <c r="I4" s="5"/>
      <c r="J4" s="16">
        <v>1986</v>
      </c>
      <c r="K4" s="15">
        <f>U4+AK4</f>
        <v>286703.86201315001</v>
      </c>
      <c r="L4" s="15">
        <f t="shared" ref="L4:O4" si="5">V4+AL4</f>
        <v>69400.25746199998</v>
      </c>
      <c r="M4" s="15">
        <f t="shared" si="5"/>
        <v>762.27792819999991</v>
      </c>
      <c r="N4" s="15">
        <f t="shared" si="5"/>
        <v>41015.282393699999</v>
      </c>
      <c r="O4" s="15">
        <f t="shared" si="5"/>
        <v>26413.3026918</v>
      </c>
      <c r="P4" s="15">
        <f>SUM(K4:O4)</f>
        <v>424294.98248885002</v>
      </c>
      <c r="Q4" s="5"/>
      <c r="R4" s="5"/>
      <c r="T4" s="30">
        <v>1986</v>
      </c>
      <c r="U4" s="5">
        <v>0</v>
      </c>
      <c r="V4" s="5">
        <v>32438</v>
      </c>
      <c r="W4" s="5">
        <v>0</v>
      </c>
      <c r="X4" s="5">
        <v>36970</v>
      </c>
      <c r="Y4" s="5">
        <v>89</v>
      </c>
      <c r="AB4" s="30">
        <v>1986</v>
      </c>
      <c r="AC4" s="5">
        <v>275849.42785315</v>
      </c>
      <c r="AD4" s="5">
        <v>36962.257461999987</v>
      </c>
      <c r="AE4" s="5">
        <v>762.27792819999991</v>
      </c>
      <c r="AF4" s="5">
        <v>4043.4068160000006</v>
      </c>
      <c r="AG4" s="5">
        <v>26306.292353099991</v>
      </c>
      <c r="AJ4" s="30">
        <v>1986</v>
      </c>
      <c r="AK4" s="5">
        <v>286703.86201315001</v>
      </c>
      <c r="AL4" s="5">
        <v>36962.257461999987</v>
      </c>
      <c r="AM4" s="5">
        <v>762.27792819999991</v>
      </c>
      <c r="AN4" s="5">
        <v>4045.2823937000003</v>
      </c>
      <c r="AO4" s="5">
        <v>26324.3026918</v>
      </c>
      <c r="AP4"/>
      <c r="AQ4"/>
      <c r="AR4"/>
      <c r="AS4"/>
      <c r="AT4"/>
    </row>
    <row r="5" spans="1:46" x14ac:dyDescent="0.25">
      <c r="A5" s="16">
        <v>1987</v>
      </c>
      <c r="B5" s="15">
        <f t="shared" si="0"/>
        <v>41301.958126500016</v>
      </c>
      <c r="C5" s="15">
        <f t="shared" si="1"/>
        <v>110715.49738081999</v>
      </c>
      <c r="D5" s="15">
        <f t="shared" si="2"/>
        <v>396.35842020000001</v>
      </c>
      <c r="E5" s="15">
        <f t="shared" si="3"/>
        <v>45101.88605922</v>
      </c>
      <c r="F5" s="15">
        <f t="shared" si="4"/>
        <v>44277.676998140007</v>
      </c>
      <c r="G5" s="15">
        <f t="shared" ref="G5:G27" si="6">SUM(B5:F5)</f>
        <v>241793.37698488001</v>
      </c>
      <c r="H5" s="5"/>
      <c r="I5" s="5"/>
      <c r="J5" s="16">
        <v>1987</v>
      </c>
      <c r="K5" s="15">
        <f t="shared" ref="K5:O5" si="7">U5+AK5</f>
        <v>41473.339763300013</v>
      </c>
      <c r="L5" s="15">
        <f t="shared" si="7"/>
        <v>109782.49703312</v>
      </c>
      <c r="M5" s="15">
        <f t="shared" si="7"/>
        <v>396.35842020000001</v>
      </c>
      <c r="N5" s="15">
        <f t="shared" si="7"/>
        <v>45103.153365010003</v>
      </c>
      <c r="O5" s="15">
        <f t="shared" si="7"/>
        <v>41839.770072209998</v>
      </c>
      <c r="P5" s="15">
        <f t="shared" ref="P5:P27" si="8">SUM(K5:O5)</f>
        <v>238595.11865384004</v>
      </c>
      <c r="Q5" s="5"/>
      <c r="R5" s="5"/>
      <c r="T5" s="30">
        <v>1987</v>
      </c>
      <c r="U5" s="5">
        <v>0</v>
      </c>
      <c r="V5" s="5">
        <v>51060</v>
      </c>
      <c r="W5" s="5">
        <v>0</v>
      </c>
      <c r="X5" s="5">
        <v>41951</v>
      </c>
      <c r="Y5" s="5">
        <v>215</v>
      </c>
      <c r="AB5" s="30">
        <v>1987</v>
      </c>
      <c r="AC5" s="5">
        <v>41301.958126500016</v>
      </c>
      <c r="AD5" s="5">
        <v>59655.497380819987</v>
      </c>
      <c r="AE5" s="5">
        <v>396.35842020000001</v>
      </c>
      <c r="AF5" s="5">
        <v>3150.8860592199999</v>
      </c>
      <c r="AG5" s="5">
        <v>44062.676998140007</v>
      </c>
      <c r="AJ5" s="30">
        <v>1987</v>
      </c>
      <c r="AK5" s="5">
        <v>41473.339763300013</v>
      </c>
      <c r="AL5" s="5">
        <v>58722.497033120002</v>
      </c>
      <c r="AM5" s="5">
        <v>396.35842020000001</v>
      </c>
      <c r="AN5" s="5">
        <v>3152.1533650100009</v>
      </c>
      <c r="AO5" s="5">
        <v>41624.770072209998</v>
      </c>
      <c r="AP5"/>
      <c r="AQ5"/>
      <c r="AR5"/>
      <c r="AS5"/>
      <c r="AT5"/>
    </row>
    <row r="6" spans="1:46" x14ac:dyDescent="0.25">
      <c r="A6" s="16">
        <v>1988</v>
      </c>
      <c r="B6" s="15">
        <f t="shared" si="0"/>
        <v>21491.947943559997</v>
      </c>
      <c r="C6" s="15">
        <f t="shared" si="1"/>
        <v>195094.93927134998</v>
      </c>
      <c r="D6" s="15">
        <f t="shared" si="2"/>
        <v>1141.4338546000001</v>
      </c>
      <c r="E6" s="15">
        <f t="shared" si="3"/>
        <v>5810.8237005500005</v>
      </c>
      <c r="F6" s="15">
        <f t="shared" si="4"/>
        <v>40597.249314315006</v>
      </c>
      <c r="G6" s="15">
        <f t="shared" si="6"/>
        <v>264136.394084375</v>
      </c>
      <c r="H6" s="5"/>
      <c r="I6" s="5"/>
      <c r="J6" s="16">
        <v>1988</v>
      </c>
      <c r="K6" s="15">
        <f t="shared" ref="K6:O6" si="9">U6+AK6</f>
        <v>21521.346840179998</v>
      </c>
      <c r="L6" s="15">
        <f t="shared" si="9"/>
        <v>195076.39382601998</v>
      </c>
      <c r="M6" s="15">
        <f t="shared" si="9"/>
        <v>1141.4338546000001</v>
      </c>
      <c r="N6" s="15">
        <f t="shared" si="9"/>
        <v>5812.1984174699992</v>
      </c>
      <c r="O6" s="15">
        <f t="shared" si="9"/>
        <v>40617.576119963996</v>
      </c>
      <c r="P6" s="15">
        <f t="shared" si="8"/>
        <v>264168.94905823399</v>
      </c>
      <c r="Q6" s="5"/>
      <c r="R6" s="5"/>
      <c r="T6" s="30">
        <v>1988</v>
      </c>
      <c r="U6" s="5">
        <v>0</v>
      </c>
      <c r="V6" s="5">
        <v>75008</v>
      </c>
      <c r="W6" s="5">
        <v>0</v>
      </c>
      <c r="X6" s="5">
        <v>2151</v>
      </c>
      <c r="Y6" s="5">
        <v>9178</v>
      </c>
      <c r="AB6" s="30">
        <v>1988</v>
      </c>
      <c r="AC6" s="5">
        <v>21491.947943559997</v>
      </c>
      <c r="AD6" s="5">
        <v>120086.93927134997</v>
      </c>
      <c r="AE6" s="5">
        <v>1141.4338546000001</v>
      </c>
      <c r="AF6" s="5">
        <v>3659.8237005500005</v>
      </c>
      <c r="AG6" s="5">
        <v>31419.249314315002</v>
      </c>
      <c r="AJ6" s="30">
        <v>1988</v>
      </c>
      <c r="AK6" s="5">
        <v>21521.346840179998</v>
      </c>
      <c r="AL6" s="5">
        <v>120068.39382601998</v>
      </c>
      <c r="AM6" s="5">
        <v>1141.4338546000001</v>
      </c>
      <c r="AN6" s="5">
        <v>3661.1984174699996</v>
      </c>
      <c r="AO6" s="5">
        <v>31439.576119963993</v>
      </c>
      <c r="AP6"/>
      <c r="AQ6"/>
      <c r="AR6"/>
      <c r="AS6"/>
      <c r="AT6"/>
    </row>
    <row r="7" spans="1:46" x14ac:dyDescent="0.25">
      <c r="A7" s="16">
        <v>1989</v>
      </c>
      <c r="B7" s="15">
        <f t="shared" si="0"/>
        <v>33877.50283719998</v>
      </c>
      <c r="C7" s="15">
        <f t="shared" si="1"/>
        <v>79313.794432707014</v>
      </c>
      <c r="D7" s="15">
        <f t="shared" si="2"/>
        <v>218.87268800000001</v>
      </c>
      <c r="E7" s="15">
        <f t="shared" si="3"/>
        <v>8699.8391843549998</v>
      </c>
      <c r="F7" s="15">
        <f t="shared" si="4"/>
        <v>41989.341330410003</v>
      </c>
      <c r="G7" s="15">
        <f t="shared" si="6"/>
        <v>164099.350472672</v>
      </c>
      <c r="H7" s="5"/>
      <c r="I7" s="5"/>
      <c r="J7" s="16">
        <v>1989</v>
      </c>
      <c r="K7" s="15">
        <f t="shared" ref="K7:O7" si="10">U7+AK7</f>
        <v>34020.694338599977</v>
      </c>
      <c r="L7" s="15">
        <f t="shared" si="10"/>
        <v>82944.650229507009</v>
      </c>
      <c r="M7" s="15">
        <f t="shared" si="10"/>
        <v>218.87268800000001</v>
      </c>
      <c r="N7" s="15">
        <f t="shared" si="10"/>
        <v>8577.3278204149992</v>
      </c>
      <c r="O7" s="15">
        <f t="shared" si="10"/>
        <v>48892.884334030015</v>
      </c>
      <c r="P7" s="15">
        <f t="shared" si="8"/>
        <v>174654.42941055199</v>
      </c>
      <c r="Q7" s="5"/>
      <c r="R7" s="5"/>
      <c r="T7" s="30">
        <v>1989</v>
      </c>
      <c r="U7" s="5">
        <v>0</v>
      </c>
      <c r="V7" s="5">
        <v>34323</v>
      </c>
      <c r="W7" s="5">
        <v>0</v>
      </c>
      <c r="X7" s="5">
        <v>3003</v>
      </c>
      <c r="Y7" s="5">
        <v>277</v>
      </c>
      <c r="AB7" s="30">
        <v>1989</v>
      </c>
      <c r="AC7" s="5">
        <v>33877.50283719998</v>
      </c>
      <c r="AD7" s="5">
        <v>44990.794432707007</v>
      </c>
      <c r="AE7" s="5">
        <v>218.87268800000001</v>
      </c>
      <c r="AF7" s="5">
        <v>5696.8391843549998</v>
      </c>
      <c r="AG7" s="5">
        <v>41712.341330410003</v>
      </c>
      <c r="AJ7" s="30">
        <v>1989</v>
      </c>
      <c r="AK7" s="5">
        <v>34020.694338599977</v>
      </c>
      <c r="AL7" s="5">
        <v>48621.650229507017</v>
      </c>
      <c r="AM7" s="5">
        <v>218.87268800000001</v>
      </c>
      <c r="AN7" s="5">
        <v>5574.3278204149992</v>
      </c>
      <c r="AO7" s="5">
        <v>48615.884334030015</v>
      </c>
      <c r="AP7"/>
      <c r="AQ7"/>
      <c r="AR7"/>
      <c r="AS7"/>
      <c r="AT7"/>
    </row>
    <row r="8" spans="1:46" x14ac:dyDescent="0.25">
      <c r="A8" s="16">
        <v>1990</v>
      </c>
      <c r="B8" s="15">
        <f t="shared" si="0"/>
        <v>23804.095298040003</v>
      </c>
      <c r="C8" s="15">
        <f t="shared" si="1"/>
        <v>163394.69944996003</v>
      </c>
      <c r="D8" s="15">
        <f t="shared" si="2"/>
        <v>441.75322702</v>
      </c>
      <c r="E8" s="15">
        <f t="shared" si="3"/>
        <v>5243.1855986199998</v>
      </c>
      <c r="F8" s="15">
        <f t="shared" si="4"/>
        <v>25927.670221086995</v>
      </c>
      <c r="G8" s="15">
        <f t="shared" si="6"/>
        <v>218811.40379472706</v>
      </c>
      <c r="H8" s="5"/>
      <c r="I8" s="5"/>
      <c r="J8" s="16">
        <v>1990</v>
      </c>
      <c r="K8" s="15">
        <f t="shared" ref="K8:O8" si="11">U8+AK8</f>
        <v>23835.628395590003</v>
      </c>
      <c r="L8" s="15">
        <f t="shared" si="11"/>
        <v>163169.37712526001</v>
      </c>
      <c r="M8" s="15">
        <f t="shared" si="11"/>
        <v>441.75322702</v>
      </c>
      <c r="N8" s="15">
        <f t="shared" si="11"/>
        <v>3734.4780680000003</v>
      </c>
      <c r="O8" s="15">
        <f t="shared" si="11"/>
        <v>36463.586835690017</v>
      </c>
      <c r="P8" s="15">
        <f t="shared" si="8"/>
        <v>227644.82365156003</v>
      </c>
      <c r="Q8" s="5"/>
      <c r="R8" s="5"/>
      <c r="T8" s="30">
        <v>1990</v>
      </c>
      <c r="U8" s="5">
        <v>0</v>
      </c>
      <c r="V8" s="5">
        <v>44139</v>
      </c>
      <c r="W8" s="5">
        <v>0</v>
      </c>
      <c r="X8" s="5">
        <v>2104</v>
      </c>
      <c r="Y8" s="5">
        <v>866</v>
      </c>
      <c r="AB8" s="30">
        <v>1990</v>
      </c>
      <c r="AC8" s="5">
        <v>23804.095298040003</v>
      </c>
      <c r="AD8" s="5">
        <v>119255.69944996004</v>
      </c>
      <c r="AE8" s="5">
        <v>441.75322702</v>
      </c>
      <c r="AF8" s="5">
        <v>3139.1855986199998</v>
      </c>
      <c r="AG8" s="5">
        <v>25061.670221086995</v>
      </c>
      <c r="AJ8" s="30">
        <v>1990</v>
      </c>
      <c r="AK8" s="5">
        <v>23835.628395590003</v>
      </c>
      <c r="AL8" s="5">
        <v>119030.37712526003</v>
      </c>
      <c r="AM8" s="5">
        <v>441.75322702</v>
      </c>
      <c r="AN8" s="5">
        <v>1630.4780680000001</v>
      </c>
      <c r="AO8" s="5">
        <v>35597.586835690017</v>
      </c>
      <c r="AP8"/>
      <c r="AQ8"/>
      <c r="AR8"/>
      <c r="AS8"/>
      <c r="AT8"/>
    </row>
    <row r="9" spans="1:46" x14ac:dyDescent="0.25">
      <c r="A9" s="16">
        <v>1991</v>
      </c>
      <c r="B9" s="15">
        <f t="shared" si="0"/>
        <v>23911.604017600002</v>
      </c>
      <c r="C9" s="15">
        <f t="shared" si="1"/>
        <v>84251.173868960002</v>
      </c>
      <c r="D9" s="15">
        <f t="shared" si="2"/>
        <v>1438.5015000000001</v>
      </c>
      <c r="E9" s="15">
        <f t="shared" si="3"/>
        <v>21128.251835629999</v>
      </c>
      <c r="F9" s="15">
        <f t="shared" si="4"/>
        <v>72873.46220749701</v>
      </c>
      <c r="G9" s="15">
        <f t="shared" si="6"/>
        <v>203602.99342968702</v>
      </c>
      <c r="H9" s="5"/>
      <c r="I9" s="5"/>
      <c r="J9" s="16">
        <v>1991</v>
      </c>
      <c r="K9" s="15">
        <f t="shared" ref="K9:O9" si="12">U9+AK9</f>
        <v>24031.274326500003</v>
      </c>
      <c r="L9" s="15">
        <f t="shared" si="12"/>
        <v>84245.548733610005</v>
      </c>
      <c r="M9" s="15">
        <f t="shared" si="12"/>
        <v>1438.5015000000001</v>
      </c>
      <c r="N9" s="15">
        <f t="shared" si="12"/>
        <v>28552.498745199999</v>
      </c>
      <c r="O9" s="15">
        <f t="shared" si="12"/>
        <v>77713.986086136982</v>
      </c>
      <c r="P9" s="15">
        <f t="shared" si="8"/>
        <v>215981.80939144699</v>
      </c>
      <c r="Q9" s="5"/>
      <c r="R9" s="5"/>
      <c r="T9" s="30">
        <v>1991</v>
      </c>
      <c r="U9" s="5">
        <v>0</v>
      </c>
      <c r="V9" s="5">
        <v>46291</v>
      </c>
      <c r="W9" s="5">
        <v>0</v>
      </c>
      <c r="X9" s="5">
        <v>993</v>
      </c>
      <c r="Y9" s="5">
        <v>865</v>
      </c>
      <c r="AB9" s="30">
        <v>1991</v>
      </c>
      <c r="AC9" s="5">
        <v>23911.604017600002</v>
      </c>
      <c r="AD9" s="5">
        <v>37960.173868960002</v>
      </c>
      <c r="AE9" s="5">
        <v>1438.5015000000001</v>
      </c>
      <c r="AF9" s="5">
        <v>20135.251835629999</v>
      </c>
      <c r="AG9" s="5">
        <v>72008.46220749701</v>
      </c>
      <c r="AJ9" s="30">
        <v>1991</v>
      </c>
      <c r="AK9" s="5">
        <v>24031.274326500003</v>
      </c>
      <c r="AL9" s="5">
        <v>37954.548733610005</v>
      </c>
      <c r="AM9" s="5">
        <v>1438.5015000000001</v>
      </c>
      <c r="AN9" s="5">
        <v>27559.498745199999</v>
      </c>
      <c r="AO9" s="5">
        <v>76848.986086136982</v>
      </c>
      <c r="AP9"/>
      <c r="AQ9"/>
      <c r="AR9"/>
      <c r="AS9"/>
      <c r="AT9"/>
    </row>
    <row r="10" spans="1:46" x14ac:dyDescent="0.25">
      <c r="A10" s="16">
        <v>1992</v>
      </c>
      <c r="B10" s="15">
        <f t="shared" si="0"/>
        <v>36727.144194359971</v>
      </c>
      <c r="C10" s="15">
        <f t="shared" si="1"/>
        <v>84291.066181250004</v>
      </c>
      <c r="D10" s="15">
        <f t="shared" si="2"/>
        <v>10720.222391900001</v>
      </c>
      <c r="E10" s="15">
        <f t="shared" si="3"/>
        <v>51130.9720055</v>
      </c>
      <c r="F10" s="15">
        <f t="shared" si="4"/>
        <v>64879.784360110003</v>
      </c>
      <c r="G10" s="15">
        <f t="shared" si="6"/>
        <v>247749.18913311997</v>
      </c>
      <c r="H10" s="5"/>
      <c r="I10" s="5"/>
      <c r="J10" s="16">
        <v>1992</v>
      </c>
      <c r="K10" s="15">
        <f t="shared" ref="K10:O10" si="13">U10+AK10</f>
        <v>36180.502266679978</v>
      </c>
      <c r="L10" s="15">
        <f t="shared" si="13"/>
        <v>83990.220186750026</v>
      </c>
      <c r="M10" s="15">
        <f t="shared" si="13"/>
        <v>10720.222391900004</v>
      </c>
      <c r="N10" s="15">
        <f t="shared" si="13"/>
        <v>8479.4158070689973</v>
      </c>
      <c r="O10" s="15">
        <f t="shared" si="13"/>
        <v>64879.784360109988</v>
      </c>
      <c r="P10" s="15">
        <f t="shared" si="8"/>
        <v>204250.14501250902</v>
      </c>
      <c r="Q10" s="5"/>
      <c r="R10" s="5"/>
      <c r="T10" s="30">
        <v>1992</v>
      </c>
      <c r="U10" s="5">
        <v>0</v>
      </c>
      <c r="V10" s="5">
        <v>43343</v>
      </c>
      <c r="W10" s="5">
        <v>0</v>
      </c>
      <c r="X10" s="5">
        <v>7</v>
      </c>
      <c r="Y10" s="5">
        <v>36</v>
      </c>
      <c r="AB10" s="30">
        <v>1992</v>
      </c>
      <c r="AC10" s="5">
        <v>36727.144194359971</v>
      </c>
      <c r="AD10" s="5">
        <v>40948.066181250004</v>
      </c>
      <c r="AE10" s="5">
        <v>10720.222391900001</v>
      </c>
      <c r="AF10" s="5">
        <v>51123.9720055</v>
      </c>
      <c r="AG10" s="5">
        <v>64843.784360110003</v>
      </c>
      <c r="AJ10" s="30">
        <v>1992</v>
      </c>
      <c r="AK10" s="5">
        <v>36180.502266679978</v>
      </c>
      <c r="AL10" s="5">
        <v>40647.220186750019</v>
      </c>
      <c r="AM10" s="5">
        <v>10720.222391900004</v>
      </c>
      <c r="AN10" s="5">
        <v>8472.4158070689973</v>
      </c>
      <c r="AO10" s="5">
        <v>64843.784360109988</v>
      </c>
      <c r="AP10"/>
      <c r="AQ10"/>
      <c r="AR10"/>
      <c r="AS10"/>
      <c r="AT10"/>
    </row>
    <row r="11" spans="1:46" x14ac:dyDescent="0.25">
      <c r="A11" s="16">
        <v>1993</v>
      </c>
      <c r="B11" s="15">
        <f t="shared" si="0"/>
        <v>62316.154357009997</v>
      </c>
      <c r="C11" s="15">
        <f t="shared" si="1"/>
        <v>107010.56066608001</v>
      </c>
      <c r="D11" s="15">
        <f t="shared" si="2"/>
        <v>8342.6836241800011</v>
      </c>
      <c r="E11" s="15">
        <f t="shared" si="3"/>
        <v>16525.979177190999</v>
      </c>
      <c r="F11" s="15">
        <f t="shared" si="4"/>
        <v>38631.903101094991</v>
      </c>
      <c r="G11" s="15">
        <f t="shared" si="6"/>
        <v>232827.28092555603</v>
      </c>
      <c r="H11" s="5"/>
      <c r="I11" s="5"/>
      <c r="J11" s="16">
        <v>1993</v>
      </c>
      <c r="K11" s="15">
        <f t="shared" ref="K11:O11" si="14">U11+AK11</f>
        <v>75674.997017299975</v>
      </c>
      <c r="L11" s="15">
        <f t="shared" si="14"/>
        <v>107799.74682408001</v>
      </c>
      <c r="M11" s="15">
        <f t="shared" si="14"/>
        <v>8342.6836241799992</v>
      </c>
      <c r="N11" s="15">
        <f t="shared" si="14"/>
        <v>13366.550886759998</v>
      </c>
      <c r="O11" s="15">
        <f t="shared" si="14"/>
        <v>40378.460486153985</v>
      </c>
      <c r="P11" s="15">
        <f t="shared" si="8"/>
        <v>245562.43883847399</v>
      </c>
      <c r="Q11" s="5"/>
      <c r="R11" s="5"/>
      <c r="T11" s="30">
        <v>1993</v>
      </c>
      <c r="U11" s="5">
        <v>2492</v>
      </c>
      <c r="V11" s="5">
        <v>43437</v>
      </c>
      <c r="W11" s="5">
        <v>0</v>
      </c>
      <c r="X11" s="5">
        <v>1436</v>
      </c>
      <c r="Y11" s="5">
        <v>148</v>
      </c>
      <c r="AB11" s="30">
        <v>1993</v>
      </c>
      <c r="AC11" s="5">
        <v>59824.154357009997</v>
      </c>
      <c r="AD11" s="5">
        <v>63573.560666080011</v>
      </c>
      <c r="AE11" s="5">
        <v>8342.6836241800011</v>
      </c>
      <c r="AF11" s="5">
        <v>15089.979177190999</v>
      </c>
      <c r="AG11" s="5">
        <v>38483.903101094991</v>
      </c>
      <c r="AJ11" s="30">
        <v>1993</v>
      </c>
      <c r="AK11" s="5">
        <v>73182.997017299975</v>
      </c>
      <c r="AL11" s="5">
        <v>64362.746824080008</v>
      </c>
      <c r="AM11" s="5">
        <v>8342.6836241799992</v>
      </c>
      <c r="AN11" s="5">
        <v>11930.550886759998</v>
      </c>
      <c r="AO11" s="5">
        <v>40230.460486153985</v>
      </c>
      <c r="AP11"/>
      <c r="AQ11"/>
      <c r="AR11"/>
      <c r="AS11"/>
      <c r="AT11"/>
    </row>
    <row r="12" spans="1:46" x14ac:dyDescent="0.25">
      <c r="A12" s="16">
        <v>1994</v>
      </c>
      <c r="B12" s="15">
        <f t="shared" si="0"/>
        <v>72668.084089759985</v>
      </c>
      <c r="C12" s="15">
        <f t="shared" si="1"/>
        <v>107050.39157824995</v>
      </c>
      <c r="D12" s="15">
        <f t="shared" si="2"/>
        <v>24597.859115310002</v>
      </c>
      <c r="E12" s="15">
        <f t="shared" si="3"/>
        <v>45170.599390789997</v>
      </c>
      <c r="F12" s="15">
        <f t="shared" si="4"/>
        <v>32633.021798909995</v>
      </c>
      <c r="G12" s="15">
        <f t="shared" si="6"/>
        <v>282119.95597301994</v>
      </c>
      <c r="H12" s="5"/>
      <c r="I12" s="5"/>
      <c r="J12" s="16">
        <v>1994</v>
      </c>
      <c r="K12" s="15">
        <f t="shared" ref="K12:O12" si="15">U12+AK12</f>
        <v>108188.06766636002</v>
      </c>
      <c r="L12" s="15">
        <f t="shared" si="15"/>
        <v>106621.81004995003</v>
      </c>
      <c r="M12" s="15">
        <f t="shared" si="15"/>
        <v>24597.859115310006</v>
      </c>
      <c r="N12" s="15">
        <f t="shared" si="15"/>
        <v>44441.163961890001</v>
      </c>
      <c r="O12" s="15">
        <f t="shared" si="15"/>
        <v>33251.561826719997</v>
      </c>
      <c r="P12" s="15">
        <f t="shared" si="8"/>
        <v>317100.46262023004</v>
      </c>
      <c r="Q12" s="5"/>
      <c r="R12" s="5"/>
      <c r="T12" s="30">
        <v>1994</v>
      </c>
      <c r="U12" s="5">
        <v>9</v>
      </c>
      <c r="V12" s="5">
        <v>38521</v>
      </c>
      <c r="W12" s="5">
        <v>1</v>
      </c>
      <c r="X12" s="5">
        <v>7049</v>
      </c>
      <c r="Y12" s="5">
        <v>33</v>
      </c>
      <c r="AB12" s="30">
        <v>1994</v>
      </c>
      <c r="AC12" s="5">
        <v>72659.084089759985</v>
      </c>
      <c r="AD12" s="5">
        <v>68529.391578249953</v>
      </c>
      <c r="AE12" s="5">
        <v>24596.859115310002</v>
      </c>
      <c r="AF12" s="5">
        <v>38121.599390789997</v>
      </c>
      <c r="AG12" s="5">
        <v>32600.021798909995</v>
      </c>
      <c r="AJ12" s="30">
        <v>1994</v>
      </c>
      <c r="AK12" s="5">
        <v>108179.06766636002</v>
      </c>
      <c r="AL12" s="5">
        <v>68100.810049950029</v>
      </c>
      <c r="AM12" s="5">
        <v>24596.859115310006</v>
      </c>
      <c r="AN12" s="5">
        <v>37392.163961890001</v>
      </c>
      <c r="AO12" s="5">
        <v>33218.561826719997</v>
      </c>
      <c r="AP12"/>
      <c r="AQ12"/>
      <c r="AR12"/>
      <c r="AS12"/>
      <c r="AT12"/>
    </row>
    <row r="13" spans="1:46" x14ac:dyDescent="0.25">
      <c r="A13" s="16">
        <v>1995</v>
      </c>
      <c r="B13" s="15">
        <f t="shared" si="0"/>
        <v>15171.695219000001</v>
      </c>
      <c r="C13" s="15">
        <f t="shared" si="1"/>
        <v>100855.70097042997</v>
      </c>
      <c r="D13" s="15">
        <f t="shared" si="2"/>
        <v>7370.8616677</v>
      </c>
      <c r="E13" s="15">
        <f t="shared" si="3"/>
        <v>16343.674732698999</v>
      </c>
      <c r="F13" s="15">
        <f t="shared" si="4"/>
        <v>38241.796931020006</v>
      </c>
      <c r="G13" s="15">
        <f t="shared" si="6"/>
        <v>177983.72952084898</v>
      </c>
      <c r="H13" s="5"/>
      <c r="I13" s="5"/>
      <c r="J13" s="16">
        <v>1995</v>
      </c>
      <c r="K13" s="15">
        <f t="shared" ref="K13:O13" si="16">U13+AK13</f>
        <v>15200.634627899999</v>
      </c>
      <c r="L13" s="15">
        <f t="shared" si="16"/>
        <v>99798.705880329973</v>
      </c>
      <c r="M13" s="15">
        <f t="shared" si="16"/>
        <v>7370.8616677000018</v>
      </c>
      <c r="N13" s="15">
        <f t="shared" si="16"/>
        <v>17409.051810430996</v>
      </c>
      <c r="O13" s="15">
        <f t="shared" si="16"/>
        <v>38658.46191237001</v>
      </c>
      <c r="P13" s="15">
        <f t="shared" si="8"/>
        <v>178437.71589873097</v>
      </c>
      <c r="Q13" s="5"/>
      <c r="R13" s="5"/>
      <c r="T13" s="30">
        <v>1995</v>
      </c>
      <c r="U13" s="5">
        <v>494</v>
      </c>
      <c r="V13" s="5">
        <v>44506</v>
      </c>
      <c r="W13" s="5">
        <v>6</v>
      </c>
      <c r="X13" s="5">
        <v>7292</v>
      </c>
      <c r="Y13" s="5">
        <v>40</v>
      </c>
      <c r="AB13" s="30">
        <v>1995</v>
      </c>
      <c r="AC13" s="5">
        <v>14677.695219000001</v>
      </c>
      <c r="AD13" s="5">
        <v>56349.700970429971</v>
      </c>
      <c r="AE13" s="5">
        <v>7364.8616677</v>
      </c>
      <c r="AF13" s="5">
        <v>9051.6747326989989</v>
      </c>
      <c r="AG13" s="5">
        <v>38201.796931020006</v>
      </c>
      <c r="AJ13" s="30">
        <v>1995</v>
      </c>
      <c r="AK13" s="5">
        <v>14706.634627899999</v>
      </c>
      <c r="AL13" s="5">
        <v>55292.705880329973</v>
      </c>
      <c r="AM13" s="5">
        <v>7364.8616677000018</v>
      </c>
      <c r="AN13" s="5">
        <v>10117.051810430998</v>
      </c>
      <c r="AO13" s="5">
        <v>38618.46191237001</v>
      </c>
      <c r="AP13"/>
      <c r="AQ13"/>
      <c r="AR13"/>
      <c r="AS13"/>
      <c r="AT13"/>
    </row>
    <row r="14" spans="1:46" x14ac:dyDescent="0.25">
      <c r="A14" s="16">
        <v>1996</v>
      </c>
      <c r="B14" s="15">
        <f t="shared" si="0"/>
        <v>43771.225392560023</v>
      </c>
      <c r="C14" s="15">
        <f t="shared" si="1"/>
        <v>74484.704731735997</v>
      </c>
      <c r="D14" s="15">
        <f t="shared" si="2"/>
        <v>3819.3151780000003</v>
      </c>
      <c r="E14" s="15">
        <f t="shared" si="3"/>
        <v>10924.130679370799</v>
      </c>
      <c r="F14" s="15">
        <f t="shared" si="4"/>
        <v>40023.328815390007</v>
      </c>
      <c r="G14" s="15">
        <f t="shared" si="6"/>
        <v>173022.70479705682</v>
      </c>
      <c r="H14" s="5"/>
      <c r="I14" s="5"/>
      <c r="J14" s="16">
        <v>1996</v>
      </c>
      <c r="K14" s="15">
        <f t="shared" ref="K14:O14" si="17">U14+AK14</f>
        <v>44012.086911400023</v>
      </c>
      <c r="L14" s="15">
        <f t="shared" si="17"/>
        <v>71619.398264616</v>
      </c>
      <c r="M14" s="15">
        <f t="shared" si="17"/>
        <v>3819.3151780000003</v>
      </c>
      <c r="N14" s="15">
        <f t="shared" si="17"/>
        <v>8675.1703705339987</v>
      </c>
      <c r="O14" s="15">
        <f t="shared" si="17"/>
        <v>40099.627645379987</v>
      </c>
      <c r="P14" s="15">
        <f t="shared" si="8"/>
        <v>168225.59836993003</v>
      </c>
      <c r="Q14" s="5"/>
      <c r="R14" s="5"/>
      <c r="T14" s="30">
        <v>1996</v>
      </c>
      <c r="U14" s="5">
        <v>3226</v>
      </c>
      <c r="V14" s="5">
        <v>42120</v>
      </c>
      <c r="W14" s="5">
        <v>0</v>
      </c>
      <c r="X14" s="5">
        <v>370</v>
      </c>
      <c r="Y14" s="5">
        <v>47</v>
      </c>
      <c r="AB14" s="30">
        <v>1996</v>
      </c>
      <c r="AC14" s="5">
        <v>40545.225392560023</v>
      </c>
      <c r="AD14" s="5">
        <v>32364.704731736001</v>
      </c>
      <c r="AE14" s="5">
        <v>3819.3151780000003</v>
      </c>
      <c r="AF14" s="5">
        <v>10554.130679370799</v>
      </c>
      <c r="AG14" s="5">
        <v>39976.328815390007</v>
      </c>
      <c r="AJ14" s="30">
        <v>1996</v>
      </c>
      <c r="AK14" s="5">
        <v>40786.086911400023</v>
      </c>
      <c r="AL14" s="5">
        <v>29499.398264615997</v>
      </c>
      <c r="AM14" s="5">
        <v>3819.3151780000003</v>
      </c>
      <c r="AN14" s="5">
        <v>8305.1703705339987</v>
      </c>
      <c r="AO14" s="5">
        <v>40052.627645379987</v>
      </c>
      <c r="AP14"/>
      <c r="AQ14"/>
      <c r="AR14"/>
      <c r="AS14"/>
      <c r="AT14"/>
    </row>
    <row r="15" spans="1:46" x14ac:dyDescent="0.25">
      <c r="A15" s="16">
        <v>1997</v>
      </c>
      <c r="B15" s="15">
        <f t="shared" si="0"/>
        <v>20052.256260478993</v>
      </c>
      <c r="C15" s="15">
        <f t="shared" si="1"/>
        <v>63456.193891407005</v>
      </c>
      <c r="D15" s="15">
        <f t="shared" si="2"/>
        <v>2738.7745800000002</v>
      </c>
      <c r="E15" s="15">
        <f t="shared" si="3"/>
        <v>32516.527719534002</v>
      </c>
      <c r="F15" s="15">
        <f t="shared" si="4"/>
        <v>100631.39915660003</v>
      </c>
      <c r="G15" s="15">
        <f t="shared" si="6"/>
        <v>219395.15160802004</v>
      </c>
      <c r="H15" s="5"/>
      <c r="I15" s="5"/>
      <c r="J15" s="16">
        <v>1997</v>
      </c>
      <c r="K15" s="15">
        <f t="shared" ref="K15:O15" si="18">U15+AK15</f>
        <v>20103.383808732993</v>
      </c>
      <c r="L15" s="15">
        <f t="shared" si="18"/>
        <v>63450.376008896004</v>
      </c>
      <c r="M15" s="15">
        <f t="shared" si="18"/>
        <v>2738.7745800000002</v>
      </c>
      <c r="N15" s="15">
        <f t="shared" si="18"/>
        <v>33655.963114734994</v>
      </c>
      <c r="O15" s="15">
        <f t="shared" si="18"/>
        <v>100781.11607759999</v>
      </c>
      <c r="P15" s="15">
        <f t="shared" si="8"/>
        <v>220729.61358996399</v>
      </c>
      <c r="Q15" s="5"/>
      <c r="R15" s="5"/>
      <c r="T15" s="30">
        <v>1997</v>
      </c>
      <c r="U15" s="5">
        <v>3845</v>
      </c>
      <c r="V15" s="5">
        <v>36550</v>
      </c>
      <c r="W15" s="5">
        <v>0</v>
      </c>
      <c r="X15" s="5">
        <v>73</v>
      </c>
      <c r="Y15" s="5">
        <v>419</v>
      </c>
      <c r="AB15" s="30">
        <v>1997</v>
      </c>
      <c r="AC15" s="5">
        <v>16207.256260478995</v>
      </c>
      <c r="AD15" s="5">
        <v>26906.193891407005</v>
      </c>
      <c r="AE15" s="5">
        <v>2738.7745800000002</v>
      </c>
      <c r="AF15" s="5">
        <v>32443.527719534002</v>
      </c>
      <c r="AG15" s="5">
        <v>100212.39915660003</v>
      </c>
      <c r="AJ15" s="30">
        <v>1997</v>
      </c>
      <c r="AK15" s="5">
        <v>16258.383808732995</v>
      </c>
      <c r="AL15" s="5">
        <v>26900.376008896004</v>
      </c>
      <c r="AM15" s="5">
        <v>2738.7745800000002</v>
      </c>
      <c r="AN15" s="5">
        <v>33582.963114734994</v>
      </c>
      <c r="AO15" s="5">
        <v>100362.11607759999</v>
      </c>
      <c r="AP15"/>
      <c r="AQ15"/>
      <c r="AR15"/>
      <c r="AS15"/>
      <c r="AT15"/>
    </row>
    <row r="16" spans="1:46" x14ac:dyDescent="0.25">
      <c r="A16" s="16">
        <v>1998</v>
      </c>
      <c r="B16" s="15">
        <f t="shared" si="0"/>
        <v>28901.645065473997</v>
      </c>
      <c r="C16" s="15">
        <f t="shared" si="1"/>
        <v>70141.179578440002</v>
      </c>
      <c r="D16" s="15">
        <f t="shared" si="2"/>
        <v>2515.8117148899996</v>
      </c>
      <c r="E16" s="15">
        <f t="shared" si="3"/>
        <v>6052.9249247670004</v>
      </c>
      <c r="F16" s="15">
        <f t="shared" si="4"/>
        <v>20957.428854713999</v>
      </c>
      <c r="G16" s="15">
        <f t="shared" si="6"/>
        <v>128568.99013828501</v>
      </c>
      <c r="H16" s="5"/>
      <c r="I16" s="5"/>
      <c r="J16" s="16">
        <v>1998</v>
      </c>
      <c r="K16" s="15">
        <f t="shared" ref="K16:O16" si="19">U16+AK16</f>
        <v>29048.761660396998</v>
      </c>
      <c r="L16" s="15">
        <f t="shared" si="19"/>
        <v>70127.846393400003</v>
      </c>
      <c r="M16" s="15">
        <f t="shared" si="19"/>
        <v>2515.8117148900001</v>
      </c>
      <c r="N16" s="15">
        <f t="shared" si="19"/>
        <v>4626.446661392999</v>
      </c>
      <c r="O16" s="15">
        <f t="shared" si="19"/>
        <v>21366.490322449004</v>
      </c>
      <c r="P16" s="15">
        <f t="shared" si="8"/>
        <v>127685.35675252901</v>
      </c>
      <c r="Q16" s="5"/>
      <c r="R16" s="5"/>
      <c r="T16" s="30">
        <v>1998</v>
      </c>
      <c r="U16" s="5">
        <v>1008</v>
      </c>
      <c r="V16" s="5">
        <v>42874</v>
      </c>
      <c r="W16" s="5">
        <v>0</v>
      </c>
      <c r="X16" s="5">
        <v>213</v>
      </c>
      <c r="Y16" s="5">
        <v>190</v>
      </c>
      <c r="AB16" s="30">
        <v>1998</v>
      </c>
      <c r="AC16" s="5">
        <v>27893.645065473997</v>
      </c>
      <c r="AD16" s="5">
        <v>27267.179578440002</v>
      </c>
      <c r="AE16" s="5">
        <v>2515.8117148899996</v>
      </c>
      <c r="AF16" s="5">
        <v>5839.9249247670004</v>
      </c>
      <c r="AG16" s="5">
        <v>20767.428854713999</v>
      </c>
      <c r="AJ16" s="30">
        <v>1998</v>
      </c>
      <c r="AK16" s="5">
        <v>28040.761660396998</v>
      </c>
      <c r="AL16" s="5">
        <v>27253.846393400003</v>
      </c>
      <c r="AM16" s="5">
        <v>2515.8117148900001</v>
      </c>
      <c r="AN16" s="5">
        <v>4413.446661392999</v>
      </c>
      <c r="AO16" s="5">
        <v>21176.490322449004</v>
      </c>
      <c r="AP16"/>
      <c r="AQ16"/>
      <c r="AR16"/>
      <c r="AS16"/>
      <c r="AT16"/>
    </row>
    <row r="17" spans="1:53" x14ac:dyDescent="0.25">
      <c r="A17" s="16">
        <v>1999</v>
      </c>
      <c r="B17" s="15">
        <f t="shared" si="0"/>
        <v>43894.566444776006</v>
      </c>
      <c r="C17" s="15">
        <f t="shared" si="1"/>
        <v>75457.641002877004</v>
      </c>
      <c r="D17" s="15">
        <f t="shared" si="2"/>
        <v>13064.2921885</v>
      </c>
      <c r="E17" s="15">
        <f t="shared" si="3"/>
        <v>385.35789399999993</v>
      </c>
      <c r="F17" s="15">
        <f t="shared" si="4"/>
        <v>17753.001834956998</v>
      </c>
      <c r="G17" s="15">
        <f t="shared" si="6"/>
        <v>150554.85936510999</v>
      </c>
      <c r="H17" s="5"/>
      <c r="I17" s="5"/>
      <c r="J17" s="16">
        <v>1999</v>
      </c>
      <c r="K17" s="15">
        <f t="shared" ref="K17:O17" si="20">U17+AK17</f>
        <v>55771.216516756023</v>
      </c>
      <c r="L17" s="15">
        <f t="shared" si="20"/>
        <v>75872.055511729006</v>
      </c>
      <c r="M17" s="15">
        <f t="shared" si="20"/>
        <v>13064.292188499998</v>
      </c>
      <c r="N17" s="15">
        <f t="shared" si="20"/>
        <v>385.35789399999993</v>
      </c>
      <c r="O17" s="15">
        <f t="shared" si="20"/>
        <v>17509.668714033007</v>
      </c>
      <c r="P17" s="15">
        <f t="shared" si="8"/>
        <v>162602.59082501801</v>
      </c>
      <c r="Q17" s="5"/>
      <c r="R17" s="5"/>
      <c r="T17" s="30">
        <v>1999</v>
      </c>
      <c r="U17" s="5">
        <v>958</v>
      </c>
      <c r="V17" s="5">
        <v>44297</v>
      </c>
      <c r="W17" s="5">
        <v>0</v>
      </c>
      <c r="X17" s="5">
        <v>2</v>
      </c>
      <c r="Y17" s="5">
        <v>0</v>
      </c>
      <c r="AB17" s="30">
        <v>1999</v>
      </c>
      <c r="AC17" s="5">
        <v>42936.566444776006</v>
      </c>
      <c r="AD17" s="5">
        <v>31160.641002877001</v>
      </c>
      <c r="AE17" s="5">
        <v>13064.2921885</v>
      </c>
      <c r="AF17" s="5">
        <v>383.35789399999993</v>
      </c>
      <c r="AG17" s="5">
        <v>17753.001834956998</v>
      </c>
      <c r="AJ17" s="30">
        <v>1999</v>
      </c>
      <c r="AK17" s="5">
        <v>54813.216516756023</v>
      </c>
      <c r="AL17" s="5">
        <v>31575.055511729002</v>
      </c>
      <c r="AM17" s="5">
        <v>13064.292188499998</v>
      </c>
      <c r="AN17" s="5">
        <v>383.35789399999993</v>
      </c>
      <c r="AO17" s="5">
        <v>17509.668714033007</v>
      </c>
      <c r="AP17"/>
      <c r="AQ17"/>
      <c r="AR17"/>
      <c r="AS17"/>
      <c r="AT17"/>
    </row>
    <row r="18" spans="1:53" x14ac:dyDescent="0.25">
      <c r="A18" s="16">
        <v>2000</v>
      </c>
      <c r="B18" s="15">
        <f t="shared" si="0"/>
        <v>38980.90098477601</v>
      </c>
      <c r="C18" s="15">
        <f t="shared" si="1"/>
        <v>85377.565405583009</v>
      </c>
      <c r="D18" s="15">
        <f t="shared" si="2"/>
        <v>3312.8780983000006</v>
      </c>
      <c r="E18" s="15">
        <f t="shared" si="3"/>
        <v>789.8160330799999</v>
      </c>
      <c r="F18" s="15">
        <f t="shared" si="4"/>
        <v>62422.495876548004</v>
      </c>
      <c r="G18" s="15">
        <f t="shared" si="6"/>
        <v>190883.65639828701</v>
      </c>
      <c r="H18" s="5"/>
      <c r="I18" s="5"/>
      <c r="J18" s="16">
        <v>2000</v>
      </c>
      <c r="K18" s="15">
        <f t="shared" ref="K18:O18" si="21">U18+AK18</f>
        <v>35557.819187990004</v>
      </c>
      <c r="L18" s="15">
        <f t="shared" si="21"/>
        <v>84230.294886588992</v>
      </c>
      <c r="M18" s="15">
        <f t="shared" si="21"/>
        <v>3312.8780983000001</v>
      </c>
      <c r="N18" s="15">
        <f t="shared" si="21"/>
        <v>648.94605599999988</v>
      </c>
      <c r="O18" s="15">
        <f t="shared" si="21"/>
        <v>67263.673567558013</v>
      </c>
      <c r="P18" s="15">
        <f t="shared" si="8"/>
        <v>191013.61179643701</v>
      </c>
      <c r="Q18" s="5"/>
      <c r="R18" s="5"/>
      <c r="T18" s="30">
        <v>2000</v>
      </c>
      <c r="U18" s="5">
        <v>3238</v>
      </c>
      <c r="V18" s="5">
        <v>35549</v>
      </c>
      <c r="W18" s="5">
        <v>0</v>
      </c>
      <c r="X18" s="5">
        <v>0</v>
      </c>
      <c r="Y18" s="5">
        <v>0</v>
      </c>
      <c r="AB18" s="30">
        <v>2000</v>
      </c>
      <c r="AC18" s="5">
        <v>35742.90098477601</v>
      </c>
      <c r="AD18" s="5">
        <v>49828.565405583009</v>
      </c>
      <c r="AE18" s="5">
        <v>3312.8780983000006</v>
      </c>
      <c r="AF18" s="5">
        <v>789.8160330799999</v>
      </c>
      <c r="AG18" s="5">
        <v>62422.495876548004</v>
      </c>
      <c r="AJ18" s="30">
        <v>2000</v>
      </c>
      <c r="AK18" s="5">
        <v>32319.819187990004</v>
      </c>
      <c r="AL18" s="5">
        <v>48681.294886588999</v>
      </c>
      <c r="AM18" s="5">
        <v>3312.8780983000001</v>
      </c>
      <c r="AN18" s="5">
        <v>648.94605599999988</v>
      </c>
      <c r="AO18" s="5">
        <v>67263.673567558013</v>
      </c>
      <c r="AP18"/>
      <c r="AQ18"/>
      <c r="AR18"/>
      <c r="AS18"/>
      <c r="AT18"/>
    </row>
    <row r="19" spans="1:53" x14ac:dyDescent="0.25">
      <c r="A19" s="16">
        <v>2001</v>
      </c>
      <c r="B19" s="15">
        <f t="shared" si="0"/>
        <v>43495.099387236987</v>
      </c>
      <c r="C19" s="15">
        <f t="shared" si="1"/>
        <v>77452.463111784004</v>
      </c>
      <c r="D19" s="15">
        <f t="shared" si="2"/>
        <v>4691.9784599000004</v>
      </c>
      <c r="E19" s="15">
        <f t="shared" si="3"/>
        <v>15614.4960164</v>
      </c>
      <c r="F19" s="15">
        <f t="shared" si="4"/>
        <v>50770.739054819082</v>
      </c>
      <c r="G19" s="15">
        <f t="shared" si="6"/>
        <v>192024.77603014006</v>
      </c>
      <c r="H19" s="5"/>
      <c r="I19" s="5"/>
      <c r="J19" s="16">
        <v>2001</v>
      </c>
      <c r="K19" s="15">
        <f t="shared" ref="K19:O19" si="22">U19+AK19</f>
        <v>34714.82301694397</v>
      </c>
      <c r="L19" s="15">
        <f t="shared" si="22"/>
        <v>76155.923688684008</v>
      </c>
      <c r="M19" s="15">
        <f t="shared" si="22"/>
        <v>4691.9784599000013</v>
      </c>
      <c r="N19" s="15">
        <f t="shared" si="22"/>
        <v>15623.0758618</v>
      </c>
      <c r="O19" s="15">
        <f t="shared" si="22"/>
        <v>50359.464171726082</v>
      </c>
      <c r="P19" s="15">
        <f t="shared" si="8"/>
        <v>181545.26519905406</v>
      </c>
      <c r="Q19" s="5"/>
      <c r="R19" s="5"/>
      <c r="T19" s="30">
        <v>2001</v>
      </c>
      <c r="U19" s="5">
        <v>918</v>
      </c>
      <c r="V19" s="5">
        <v>44020</v>
      </c>
      <c r="W19" s="5">
        <v>0</v>
      </c>
      <c r="X19" s="5">
        <v>0</v>
      </c>
      <c r="Y19" s="5">
        <v>0</v>
      </c>
      <c r="AB19" s="30">
        <v>2001</v>
      </c>
      <c r="AC19" s="5">
        <v>42577.099387236987</v>
      </c>
      <c r="AD19" s="5">
        <v>33432.463111784004</v>
      </c>
      <c r="AE19" s="5">
        <v>4691.9784599000004</v>
      </c>
      <c r="AF19" s="5">
        <v>15614.4960164</v>
      </c>
      <c r="AG19" s="5">
        <v>50770.739054819082</v>
      </c>
      <c r="AH19" s="17"/>
      <c r="AI19" s="17"/>
      <c r="AJ19" s="30">
        <v>2001</v>
      </c>
      <c r="AK19" s="5">
        <v>33796.82301694397</v>
      </c>
      <c r="AL19" s="5">
        <v>32135.923688684004</v>
      </c>
      <c r="AM19" s="5">
        <v>4691.9784599000013</v>
      </c>
      <c r="AN19" s="5">
        <v>15623.0758618</v>
      </c>
      <c r="AO19" s="5">
        <v>50359.464171726082</v>
      </c>
      <c r="AU19" s="17"/>
      <c r="AV19" s="17"/>
      <c r="AW19" s="17"/>
      <c r="AX19" s="17"/>
      <c r="AY19" s="17"/>
      <c r="AZ19" s="17"/>
      <c r="BA19" s="17"/>
    </row>
    <row r="20" spans="1:53" x14ac:dyDescent="0.25">
      <c r="A20" s="16">
        <v>2002</v>
      </c>
      <c r="B20" s="15">
        <f t="shared" si="0"/>
        <v>51764.141448233036</v>
      </c>
      <c r="C20" s="15">
        <f t="shared" si="1"/>
        <v>83597.333836634018</v>
      </c>
      <c r="D20" s="15">
        <f t="shared" si="2"/>
        <v>4403.3257483200005</v>
      </c>
      <c r="E20" s="15">
        <f t="shared" si="3"/>
        <v>3636.4983757200007</v>
      </c>
      <c r="F20" s="15">
        <f t="shared" si="4"/>
        <v>65100.126187476009</v>
      </c>
      <c r="G20" s="15">
        <f t="shared" si="6"/>
        <v>208501.42559638305</v>
      </c>
      <c r="H20" s="5"/>
      <c r="I20" s="5"/>
      <c r="J20" s="16">
        <v>2002</v>
      </c>
      <c r="K20" s="15">
        <f t="shared" ref="K20:O20" si="23">U20+AK20</f>
        <v>51610.238246362031</v>
      </c>
      <c r="L20" s="15">
        <f t="shared" si="23"/>
        <v>82822.132145634008</v>
      </c>
      <c r="M20" s="15">
        <f t="shared" si="23"/>
        <v>4403.3257483200014</v>
      </c>
      <c r="N20" s="15">
        <f t="shared" si="23"/>
        <v>3636.9492592700003</v>
      </c>
      <c r="O20" s="15">
        <f t="shared" si="23"/>
        <v>55133.972790232998</v>
      </c>
      <c r="P20" s="15">
        <f t="shared" si="8"/>
        <v>197606.61818981907</v>
      </c>
      <c r="Q20" s="5"/>
      <c r="R20" s="5"/>
      <c r="T20" s="30">
        <v>2002</v>
      </c>
      <c r="U20" s="5">
        <v>978</v>
      </c>
      <c r="V20" s="5">
        <v>36935</v>
      </c>
      <c r="W20" s="5">
        <v>0</v>
      </c>
      <c r="X20" s="5">
        <v>1</v>
      </c>
      <c r="Y20" s="5">
        <v>1</v>
      </c>
      <c r="AB20" s="30">
        <v>2002</v>
      </c>
      <c r="AC20" s="5">
        <v>50786.141448233036</v>
      </c>
      <c r="AD20" s="5">
        <v>46662.333836634018</v>
      </c>
      <c r="AE20" s="5">
        <v>4403.3257483200005</v>
      </c>
      <c r="AF20" s="5">
        <v>3635.4983757200007</v>
      </c>
      <c r="AG20" s="5">
        <v>65099.126187476009</v>
      </c>
      <c r="AH20" s="17"/>
      <c r="AI20" s="17"/>
      <c r="AJ20" s="30">
        <v>2002</v>
      </c>
      <c r="AK20" s="5">
        <v>50632.238246362031</v>
      </c>
      <c r="AL20" s="5">
        <v>45887.132145634008</v>
      </c>
      <c r="AM20" s="5">
        <v>4403.3257483200014</v>
      </c>
      <c r="AN20" s="5">
        <v>3635.9492592700003</v>
      </c>
      <c r="AO20" s="5">
        <v>55132.972790232998</v>
      </c>
      <c r="AU20" s="17"/>
      <c r="AV20" s="17"/>
      <c r="AW20" s="17"/>
      <c r="AX20" s="17"/>
      <c r="AY20" s="17"/>
      <c r="AZ20" s="17"/>
      <c r="BA20" s="17"/>
    </row>
    <row r="21" spans="1:53" x14ac:dyDescent="0.25">
      <c r="A21" s="16">
        <v>2003</v>
      </c>
      <c r="B21" s="15">
        <f t="shared" si="0"/>
        <v>83181.230075120082</v>
      </c>
      <c r="C21" s="15">
        <f t="shared" si="1"/>
        <v>60142.011496361993</v>
      </c>
      <c r="D21" s="15">
        <f t="shared" si="2"/>
        <v>4372.7581378840005</v>
      </c>
      <c r="E21" s="15">
        <f t="shared" si="3"/>
        <v>9227.7309589699998</v>
      </c>
      <c r="F21" s="15">
        <f t="shared" si="4"/>
        <v>37260.054427973992</v>
      </c>
      <c r="G21" s="15">
        <f t="shared" si="6"/>
        <v>194183.78509631005</v>
      </c>
      <c r="H21" s="5"/>
      <c r="I21" s="5"/>
      <c r="J21" s="16">
        <v>2003</v>
      </c>
      <c r="K21" s="15">
        <f t="shared" ref="K21:O21" si="24">U21+AK21</f>
        <v>83182.686323510075</v>
      </c>
      <c r="L21" s="15">
        <f t="shared" si="24"/>
        <v>59730.025310161996</v>
      </c>
      <c r="M21" s="15">
        <f t="shared" si="24"/>
        <v>4372.7581378839996</v>
      </c>
      <c r="N21" s="15">
        <f t="shared" si="24"/>
        <v>9231.9391079999987</v>
      </c>
      <c r="O21" s="15">
        <f t="shared" si="24"/>
        <v>37155.075439093998</v>
      </c>
      <c r="P21" s="15">
        <f t="shared" si="8"/>
        <v>193672.48431865004</v>
      </c>
      <c r="Q21" s="5"/>
      <c r="R21" s="5"/>
      <c r="T21" s="30">
        <v>2003</v>
      </c>
      <c r="U21" s="5">
        <v>2682</v>
      </c>
      <c r="V21" s="5">
        <v>17811</v>
      </c>
      <c r="W21" s="5">
        <v>0</v>
      </c>
      <c r="X21" s="5">
        <v>8</v>
      </c>
      <c r="Y21" s="5">
        <v>0</v>
      </c>
      <c r="AB21" s="30">
        <v>2003</v>
      </c>
      <c r="AC21" s="5">
        <v>80499.230075120082</v>
      </c>
      <c r="AD21" s="5">
        <v>42331.011496361993</v>
      </c>
      <c r="AE21" s="5">
        <v>4372.7581378840005</v>
      </c>
      <c r="AF21" s="5">
        <v>9219.7309589699998</v>
      </c>
      <c r="AG21" s="5">
        <v>37260.054427973992</v>
      </c>
      <c r="AJ21" s="30">
        <v>2003</v>
      </c>
      <c r="AK21" s="5">
        <v>80500.686323510075</v>
      </c>
      <c r="AL21" s="5">
        <v>41919.025310161996</v>
      </c>
      <c r="AM21" s="5">
        <v>4372.7581378839996</v>
      </c>
      <c r="AN21" s="5">
        <v>9223.9391079999987</v>
      </c>
      <c r="AO21" s="5">
        <v>37155.075439093998</v>
      </c>
      <c r="AP21"/>
      <c r="AQ21"/>
      <c r="AR21"/>
      <c r="AS21"/>
      <c r="AT21"/>
    </row>
    <row r="22" spans="1:53" x14ac:dyDescent="0.25">
      <c r="A22" s="16">
        <v>2004</v>
      </c>
      <c r="B22" s="15">
        <f t="shared" si="0"/>
        <v>62629.84330385401</v>
      </c>
      <c r="C22" s="15">
        <f t="shared" si="1"/>
        <v>61509.65430165422</v>
      </c>
      <c r="D22" s="15">
        <f t="shared" si="2"/>
        <v>2598.3833321689999</v>
      </c>
      <c r="E22" s="15">
        <f t="shared" si="3"/>
        <v>8497.0973780599998</v>
      </c>
      <c r="F22" s="15">
        <f t="shared" si="4"/>
        <v>17570.610075537003</v>
      </c>
      <c r="G22" s="15">
        <f t="shared" si="6"/>
        <v>152805.58839127421</v>
      </c>
      <c r="H22" s="5"/>
      <c r="I22" s="5"/>
      <c r="J22" s="16">
        <v>2004</v>
      </c>
      <c r="K22" s="15">
        <f t="shared" ref="K22:O22" si="25">U22+AK22</f>
        <v>65701.343448684012</v>
      </c>
      <c r="L22" s="15">
        <f t="shared" si="25"/>
        <v>61310.160797154225</v>
      </c>
      <c r="M22" s="15">
        <f t="shared" si="25"/>
        <v>2598.3833321689995</v>
      </c>
      <c r="N22" s="15">
        <f t="shared" si="25"/>
        <v>8498.6262273089978</v>
      </c>
      <c r="O22" s="15">
        <f t="shared" si="25"/>
        <v>16705.245390252003</v>
      </c>
      <c r="P22" s="15">
        <f t="shared" si="8"/>
        <v>154813.75919556824</v>
      </c>
      <c r="Q22" s="5"/>
      <c r="R22" s="5"/>
      <c r="T22" s="30">
        <v>2004</v>
      </c>
      <c r="U22" s="5">
        <v>3432</v>
      </c>
      <c r="V22" s="5">
        <v>16163</v>
      </c>
      <c r="W22" s="5">
        <v>0</v>
      </c>
      <c r="X22" s="5">
        <v>0</v>
      </c>
      <c r="Y22" s="5">
        <v>29</v>
      </c>
      <c r="AB22" s="30">
        <v>2004</v>
      </c>
      <c r="AC22" s="5">
        <v>59197.84330385401</v>
      </c>
      <c r="AD22" s="5">
        <v>45346.65430165422</v>
      </c>
      <c r="AE22" s="5">
        <v>2598.3833321689999</v>
      </c>
      <c r="AF22" s="5">
        <v>8497.0973780599998</v>
      </c>
      <c r="AG22" s="5">
        <v>17541.610075537003</v>
      </c>
      <c r="AH22" s="17"/>
      <c r="AI22" s="17"/>
      <c r="AJ22" s="30">
        <v>2004</v>
      </c>
      <c r="AK22" s="5">
        <v>62269.343448684012</v>
      </c>
      <c r="AL22" s="5">
        <v>45147.160797154225</v>
      </c>
      <c r="AM22" s="5">
        <v>2598.3833321689995</v>
      </c>
      <c r="AN22" s="5">
        <v>8498.6262273089978</v>
      </c>
      <c r="AO22" s="5">
        <v>16676.245390252003</v>
      </c>
      <c r="AU22" s="17"/>
      <c r="AV22" s="17"/>
      <c r="AW22" s="17"/>
      <c r="AX22" s="17"/>
      <c r="AY22" s="17"/>
      <c r="AZ22" s="17"/>
      <c r="BA22" s="17"/>
    </row>
    <row r="23" spans="1:53" x14ac:dyDescent="0.25">
      <c r="A23" s="16">
        <v>2005</v>
      </c>
      <c r="B23" s="15">
        <f t="shared" si="0"/>
        <v>42352.382302018996</v>
      </c>
      <c r="C23" s="15">
        <f t="shared" si="1"/>
        <v>71721.840227630993</v>
      </c>
      <c r="D23" s="15">
        <f t="shared" si="2"/>
        <v>5722.2640606469995</v>
      </c>
      <c r="E23" s="15">
        <f t="shared" si="3"/>
        <v>20933.552779129997</v>
      </c>
      <c r="F23" s="15">
        <f t="shared" si="4"/>
        <v>42615.617095886999</v>
      </c>
      <c r="G23" s="15">
        <f t="shared" si="6"/>
        <v>183345.65646531398</v>
      </c>
      <c r="H23" s="5"/>
      <c r="I23" s="5"/>
      <c r="J23" s="16">
        <v>2005</v>
      </c>
      <c r="K23" s="15">
        <f t="shared" ref="K23:O23" si="26">U23+AK23</f>
        <v>42206.739460718993</v>
      </c>
      <c r="L23" s="15">
        <f t="shared" si="26"/>
        <v>68679.382317030977</v>
      </c>
      <c r="M23" s="15">
        <f t="shared" si="26"/>
        <v>5722.2640606470004</v>
      </c>
      <c r="N23" s="15">
        <f t="shared" si="26"/>
        <v>20942.297840310006</v>
      </c>
      <c r="O23" s="15">
        <f t="shared" si="26"/>
        <v>41386.741246906</v>
      </c>
      <c r="P23" s="15">
        <f t="shared" si="8"/>
        <v>178937.42492561296</v>
      </c>
      <c r="Q23" s="5"/>
      <c r="R23" s="5"/>
      <c r="T23" s="30">
        <v>2005</v>
      </c>
      <c r="U23" s="5">
        <v>3719</v>
      </c>
      <c r="V23" s="5">
        <v>14293</v>
      </c>
      <c r="W23" s="5">
        <v>0</v>
      </c>
      <c r="X23" s="5">
        <v>813</v>
      </c>
      <c r="Y23" s="5">
        <v>0</v>
      </c>
      <c r="AB23" s="30">
        <v>2005</v>
      </c>
      <c r="AC23" s="5">
        <v>38633.382302018996</v>
      </c>
      <c r="AD23" s="5">
        <v>57428.840227630993</v>
      </c>
      <c r="AE23" s="5">
        <v>5722.2640606469995</v>
      </c>
      <c r="AF23" s="5">
        <v>20120.552779129997</v>
      </c>
      <c r="AG23" s="5">
        <v>42615.617095886999</v>
      </c>
      <c r="AH23" s="17"/>
      <c r="AI23" s="17"/>
      <c r="AJ23" s="30">
        <v>2005</v>
      </c>
      <c r="AK23" s="5">
        <v>38487.739460718993</v>
      </c>
      <c r="AL23" s="5">
        <v>54386.382317030984</v>
      </c>
      <c r="AM23" s="5">
        <v>5722.2640606470004</v>
      </c>
      <c r="AN23" s="5">
        <v>20129.297840310006</v>
      </c>
      <c r="AO23" s="5">
        <v>41386.741246906</v>
      </c>
      <c r="AU23" s="17"/>
      <c r="AV23" s="17"/>
      <c r="AW23" s="17"/>
      <c r="AX23" s="17"/>
      <c r="AY23" s="17"/>
      <c r="AZ23" s="17"/>
      <c r="BA23" s="17"/>
    </row>
    <row r="24" spans="1:53" x14ac:dyDescent="0.25">
      <c r="A24" s="16">
        <v>2006</v>
      </c>
      <c r="B24" s="15">
        <f t="shared" si="0"/>
        <v>37282.339916197001</v>
      </c>
      <c r="C24" s="15">
        <f t="shared" si="1"/>
        <v>38976.942787624997</v>
      </c>
      <c r="D24" s="15">
        <f t="shared" si="2"/>
        <v>4677.2138624030003</v>
      </c>
      <c r="E24" s="15">
        <f t="shared" si="3"/>
        <v>10176.508101523999</v>
      </c>
      <c r="F24" s="15">
        <f t="shared" si="4"/>
        <v>17320.378538904297</v>
      </c>
      <c r="G24" s="15">
        <f t="shared" si="6"/>
        <v>108433.38320665329</v>
      </c>
      <c r="H24" s="5"/>
      <c r="I24" s="5"/>
      <c r="J24" s="16">
        <v>2006</v>
      </c>
      <c r="K24" s="15">
        <f t="shared" ref="K24:O24" si="27">U24+AK24</f>
        <v>37214.192742972991</v>
      </c>
      <c r="L24" s="15">
        <f t="shared" si="27"/>
        <v>38971.176612061005</v>
      </c>
      <c r="M24" s="15">
        <f t="shared" si="27"/>
        <v>4677.2138624029994</v>
      </c>
      <c r="N24" s="15">
        <f t="shared" si="27"/>
        <v>10177.172159155001</v>
      </c>
      <c r="O24" s="15">
        <f t="shared" si="27"/>
        <v>17589.446281611494</v>
      </c>
      <c r="P24" s="15">
        <f t="shared" si="8"/>
        <v>108629.2016582035</v>
      </c>
      <c r="Q24" s="5"/>
      <c r="R24" s="5"/>
      <c r="T24" s="30">
        <v>2006</v>
      </c>
      <c r="U24" s="5">
        <v>1955</v>
      </c>
      <c r="V24" s="5">
        <v>22996</v>
      </c>
      <c r="W24" s="5">
        <v>0</v>
      </c>
      <c r="X24" s="5">
        <v>642</v>
      </c>
      <c r="Y24" s="5">
        <v>0</v>
      </c>
      <c r="AB24" s="30">
        <v>2006</v>
      </c>
      <c r="AC24" s="5">
        <v>35327.339916197001</v>
      </c>
      <c r="AD24" s="5">
        <v>15980.942787624999</v>
      </c>
      <c r="AE24" s="5">
        <v>4677.2138624030003</v>
      </c>
      <c r="AF24" s="5">
        <v>9534.5081015239994</v>
      </c>
      <c r="AG24" s="5">
        <v>17320.378538904297</v>
      </c>
      <c r="AH24" s="17"/>
      <c r="AI24" s="17"/>
      <c r="AJ24" s="30">
        <v>2006</v>
      </c>
      <c r="AK24" s="5">
        <v>35259.192742972991</v>
      </c>
      <c r="AL24" s="5">
        <v>15975.176612061003</v>
      </c>
      <c r="AM24" s="5">
        <v>4677.2138624029994</v>
      </c>
      <c r="AN24" s="5">
        <v>9535.1721591550013</v>
      </c>
      <c r="AO24" s="5">
        <v>17589.446281611494</v>
      </c>
      <c r="AU24" s="17"/>
      <c r="AV24" s="17"/>
      <c r="AW24" s="17"/>
      <c r="AX24" s="17"/>
      <c r="AY24" s="17"/>
      <c r="AZ24" s="17"/>
      <c r="BA24" s="17"/>
    </row>
    <row r="25" spans="1:53" x14ac:dyDescent="0.25">
      <c r="A25" s="16">
        <v>2007</v>
      </c>
      <c r="B25" s="15">
        <f t="shared" si="0"/>
        <v>54789.003827783032</v>
      </c>
      <c r="C25" s="15">
        <f t="shared" si="1"/>
        <v>44014.562468505006</v>
      </c>
      <c r="D25" s="15">
        <f t="shared" si="2"/>
        <v>959.28601970800003</v>
      </c>
      <c r="E25" s="15">
        <f t="shared" si="3"/>
        <v>8235.1813396429989</v>
      </c>
      <c r="F25" s="15">
        <f t="shared" si="4"/>
        <v>39267.744894709991</v>
      </c>
      <c r="G25" s="15">
        <f t="shared" si="6"/>
        <v>147265.77855034903</v>
      </c>
      <c r="H25" s="5"/>
      <c r="I25" s="5"/>
      <c r="J25" s="16">
        <v>2007</v>
      </c>
      <c r="K25" s="15">
        <f t="shared" ref="K25:O25" si="28">U25+AK25</f>
        <v>48393.467010972017</v>
      </c>
      <c r="L25" s="15">
        <f t="shared" si="28"/>
        <v>43282.884028027001</v>
      </c>
      <c r="M25" s="15">
        <f t="shared" si="28"/>
        <v>959.28601970799991</v>
      </c>
      <c r="N25" s="15">
        <f t="shared" si="28"/>
        <v>8236.380698697998</v>
      </c>
      <c r="O25" s="15">
        <f t="shared" si="28"/>
        <v>37547.279768691995</v>
      </c>
      <c r="P25" s="15">
        <f t="shared" si="8"/>
        <v>138419.29752609698</v>
      </c>
      <c r="Q25" s="5"/>
      <c r="R25" s="5"/>
      <c r="T25" s="30">
        <v>2007</v>
      </c>
      <c r="U25" s="5">
        <v>1423</v>
      </c>
      <c r="V25" s="5">
        <v>20379</v>
      </c>
      <c r="W25" s="5">
        <v>0</v>
      </c>
      <c r="X25" s="5">
        <v>140</v>
      </c>
      <c r="Y25" s="5">
        <v>0</v>
      </c>
      <c r="AB25" s="30">
        <v>2007</v>
      </c>
      <c r="AC25" s="5">
        <v>53366.003827783032</v>
      </c>
      <c r="AD25" s="5">
        <v>23635.562468505006</v>
      </c>
      <c r="AE25" s="5">
        <v>959.28601970800003</v>
      </c>
      <c r="AF25" s="5">
        <v>8095.1813396429989</v>
      </c>
      <c r="AG25" s="5">
        <v>39267.744894709991</v>
      </c>
      <c r="AJ25" s="30">
        <v>2007</v>
      </c>
      <c r="AK25" s="5">
        <v>46970.467010972017</v>
      </c>
      <c r="AL25" s="5">
        <v>22903.884028027001</v>
      </c>
      <c r="AM25" s="5">
        <v>959.28601970799991</v>
      </c>
      <c r="AN25" s="5">
        <v>8096.3806986979989</v>
      </c>
      <c r="AO25" s="5">
        <v>37547.279768691995</v>
      </c>
      <c r="AP25"/>
      <c r="AQ25"/>
      <c r="AR25"/>
      <c r="AS25"/>
      <c r="AT25"/>
    </row>
    <row r="26" spans="1:53" x14ac:dyDescent="0.25">
      <c r="A26" s="16">
        <v>2008</v>
      </c>
      <c r="B26" s="15">
        <f t="shared" si="0"/>
        <v>66869.909171654988</v>
      </c>
      <c r="C26" s="15">
        <f t="shared" si="1"/>
        <v>46368.971560088001</v>
      </c>
      <c r="D26" s="15">
        <f t="shared" si="2"/>
        <v>684.56798279999998</v>
      </c>
      <c r="E26" s="15">
        <f t="shared" si="3"/>
        <v>5886.4109562000003</v>
      </c>
      <c r="F26" s="15">
        <f t="shared" si="4"/>
        <v>52865.962689392014</v>
      </c>
      <c r="G26" s="15">
        <f t="shared" si="6"/>
        <v>172675.822360135</v>
      </c>
      <c r="H26" s="5"/>
      <c r="I26" s="5"/>
      <c r="J26" s="16">
        <v>2008</v>
      </c>
      <c r="K26" s="15">
        <f t="shared" ref="K26:O26" si="29">U26+AK26</f>
        <v>68243.809243885014</v>
      </c>
      <c r="L26" s="15">
        <f t="shared" si="29"/>
        <v>47508.079365105994</v>
      </c>
      <c r="M26" s="15">
        <f t="shared" si="29"/>
        <v>684.56798279999998</v>
      </c>
      <c r="N26" s="15">
        <f t="shared" si="29"/>
        <v>5886.4109562000003</v>
      </c>
      <c r="O26" s="15">
        <f t="shared" si="29"/>
        <v>52865.962689391999</v>
      </c>
      <c r="P26" s="15">
        <f t="shared" si="8"/>
        <v>175188.83023738299</v>
      </c>
      <c r="Q26" s="5"/>
      <c r="R26" s="5"/>
      <c r="T26" s="30">
        <v>2008</v>
      </c>
      <c r="U26" s="5">
        <v>2107</v>
      </c>
      <c r="V26" s="5">
        <v>24956</v>
      </c>
      <c r="W26" s="5">
        <v>0</v>
      </c>
      <c r="X26" s="5">
        <v>170</v>
      </c>
      <c r="Y26" s="5">
        <v>5</v>
      </c>
      <c r="AB26" s="30">
        <v>2008</v>
      </c>
      <c r="AC26" s="5">
        <v>64762.909171654996</v>
      </c>
      <c r="AD26" s="5">
        <v>21412.971560087997</v>
      </c>
      <c r="AE26" s="5">
        <v>684.56798279999998</v>
      </c>
      <c r="AF26" s="5">
        <v>5716.4109562000003</v>
      </c>
      <c r="AG26" s="5">
        <v>52860.962689392014</v>
      </c>
      <c r="AJ26" s="30">
        <v>2008</v>
      </c>
      <c r="AK26" s="5">
        <v>66136.809243885014</v>
      </c>
      <c r="AL26" s="5">
        <v>22552.079365105994</v>
      </c>
      <c r="AM26" s="5">
        <v>684.56798279999998</v>
      </c>
      <c r="AN26" s="5">
        <v>5716.4109562000003</v>
      </c>
      <c r="AO26" s="5">
        <v>52860.962689391999</v>
      </c>
      <c r="AP26"/>
      <c r="AQ26"/>
      <c r="AR26"/>
      <c r="AS26"/>
      <c r="AT26"/>
    </row>
    <row r="27" spans="1:53" x14ac:dyDescent="0.25">
      <c r="A27" s="16">
        <v>2009</v>
      </c>
      <c r="B27" s="15">
        <f t="shared" si="0"/>
        <v>61600.331973159999</v>
      </c>
      <c r="C27" s="15">
        <f t="shared" si="1"/>
        <v>47774.065251199012</v>
      </c>
      <c r="D27" s="15">
        <f t="shared" si="2"/>
        <v>1256.5499737</v>
      </c>
      <c r="E27" s="15">
        <f t="shared" si="3"/>
        <v>8898.034930400001</v>
      </c>
      <c r="F27" s="15">
        <f t="shared" si="4"/>
        <v>13488.923454627</v>
      </c>
      <c r="G27" s="15">
        <f t="shared" si="6"/>
        <v>133017.90558308602</v>
      </c>
      <c r="H27" s="5"/>
      <c r="I27" s="5"/>
      <c r="J27" s="16">
        <v>2009</v>
      </c>
      <c r="K27" s="15">
        <f t="shared" ref="K27:O27" si="30">U27+AK27</f>
        <v>61133.038585589988</v>
      </c>
      <c r="L27" s="15">
        <f t="shared" si="30"/>
        <v>48964.101307354009</v>
      </c>
      <c r="M27" s="15">
        <f t="shared" si="30"/>
        <v>1256.5499736999996</v>
      </c>
      <c r="N27" s="15">
        <f t="shared" si="30"/>
        <v>8898.034930400001</v>
      </c>
      <c r="O27" s="15">
        <f t="shared" si="30"/>
        <v>15214.709659033997</v>
      </c>
      <c r="P27" s="15">
        <f t="shared" si="8"/>
        <v>135466.43445607799</v>
      </c>
      <c r="Q27" s="5"/>
      <c r="R27" s="5"/>
      <c r="T27" s="30">
        <v>2009</v>
      </c>
      <c r="U27" s="5">
        <v>2602</v>
      </c>
      <c r="V27" s="5">
        <v>20853</v>
      </c>
      <c r="W27" s="5">
        <v>0</v>
      </c>
      <c r="X27" s="5">
        <v>347</v>
      </c>
      <c r="Y27" s="5">
        <v>30</v>
      </c>
      <c r="AB27" s="30">
        <v>2009</v>
      </c>
      <c r="AC27" s="5">
        <v>58998.331973159999</v>
      </c>
      <c r="AD27" s="5">
        <v>26921.065251199012</v>
      </c>
      <c r="AE27" s="5">
        <v>1256.5499737</v>
      </c>
      <c r="AF27" s="5">
        <v>8551.034930400001</v>
      </c>
      <c r="AG27" s="5">
        <v>13458.923454627</v>
      </c>
      <c r="AJ27" s="30">
        <v>2009</v>
      </c>
      <c r="AK27" s="5">
        <v>58531.038585589988</v>
      </c>
      <c r="AL27" s="5">
        <v>28111.101307354009</v>
      </c>
      <c r="AM27" s="5">
        <v>1256.5499736999996</v>
      </c>
      <c r="AN27" s="5">
        <v>8551.034930400001</v>
      </c>
      <c r="AO27" s="5">
        <v>15184.709659033997</v>
      </c>
      <c r="AP27"/>
      <c r="AQ27"/>
      <c r="AR27"/>
      <c r="AS27"/>
      <c r="AT27"/>
    </row>
    <row r="28" spans="1:53" x14ac:dyDescent="0.25">
      <c r="A28" s="16">
        <v>2010</v>
      </c>
      <c r="B28" s="15">
        <f t="shared" si="0"/>
        <v>52291.577886439998</v>
      </c>
      <c r="C28" s="15">
        <f t="shared" si="1"/>
        <v>40190.388280079991</v>
      </c>
      <c r="D28" s="15">
        <f t="shared" si="2"/>
        <v>1630.9688555</v>
      </c>
      <c r="E28" s="15">
        <f t="shared" si="3"/>
        <v>13441.407745367998</v>
      </c>
      <c r="F28" s="15">
        <f t="shared" si="4"/>
        <v>58622.8844816973</v>
      </c>
      <c r="G28" s="15">
        <f>SUM(B28:F28)</f>
        <v>166177.22724908529</v>
      </c>
      <c r="H28" s="5"/>
      <c r="I28" s="5"/>
      <c r="J28" s="16">
        <v>2010</v>
      </c>
      <c r="K28" s="15">
        <f t="shared" ref="K28:O28" si="31">U28+AK28</f>
        <v>57614.173756239987</v>
      </c>
      <c r="L28" s="15">
        <f t="shared" si="31"/>
        <v>39751.951464341</v>
      </c>
      <c r="M28" s="15">
        <f t="shared" si="31"/>
        <v>1630.9688555</v>
      </c>
      <c r="N28" s="15">
        <f t="shared" si="31"/>
        <v>13444.13836628</v>
      </c>
      <c r="O28" s="15">
        <f t="shared" si="31"/>
        <v>58796.470306287265</v>
      </c>
      <c r="P28" s="15">
        <f>SUM(K28:O28)</f>
        <v>171237.70274864824</v>
      </c>
      <c r="Q28" s="5"/>
      <c r="R28" s="5"/>
      <c r="T28" s="30">
        <v>2010</v>
      </c>
      <c r="U28" s="5">
        <v>2031</v>
      </c>
      <c r="V28" s="5">
        <v>23455</v>
      </c>
      <c r="W28" s="5">
        <v>0</v>
      </c>
      <c r="X28" s="5">
        <v>108</v>
      </c>
      <c r="Y28" s="5">
        <v>0</v>
      </c>
      <c r="AB28" s="30">
        <v>2010</v>
      </c>
      <c r="AC28" s="5">
        <v>50260.577886439998</v>
      </c>
      <c r="AD28" s="5">
        <v>16735.388280079995</v>
      </c>
      <c r="AE28" s="5">
        <v>1630.9688555</v>
      </c>
      <c r="AF28" s="5">
        <v>13333.407745367998</v>
      </c>
      <c r="AG28" s="5">
        <v>58622.8844816973</v>
      </c>
      <c r="AJ28" s="30">
        <v>2010</v>
      </c>
      <c r="AK28" s="5">
        <v>55583.173756239987</v>
      </c>
      <c r="AL28" s="5">
        <v>16296.951464340998</v>
      </c>
      <c r="AM28" s="5">
        <v>1630.9688555</v>
      </c>
      <c r="AN28" s="5">
        <v>13336.13836628</v>
      </c>
      <c r="AO28" s="5">
        <v>58796.470306287265</v>
      </c>
      <c r="AP28"/>
      <c r="AQ28"/>
      <c r="AR28"/>
      <c r="AS28"/>
      <c r="AT28"/>
    </row>
    <row r="29" spans="1:53" x14ac:dyDescent="0.25">
      <c r="A29" s="16">
        <v>2011</v>
      </c>
      <c r="B29" s="15">
        <f t="shared" si="0"/>
        <v>34046.545690218001</v>
      </c>
      <c r="C29" s="15">
        <f t="shared" si="1"/>
        <v>35585.973487479998</v>
      </c>
      <c r="D29" s="15">
        <f t="shared" si="2"/>
        <v>436.62103000000002</v>
      </c>
      <c r="E29" s="15">
        <f t="shared" si="3"/>
        <v>8624.9657303870972</v>
      </c>
      <c r="F29" s="15">
        <f t="shared" si="4"/>
        <v>50207.718176651993</v>
      </c>
      <c r="G29" s="15">
        <f>SUM(B29:F29)</f>
        <v>128901.82411473709</v>
      </c>
      <c r="H29" s="5"/>
      <c r="I29" s="5"/>
      <c r="J29" s="16">
        <v>2011</v>
      </c>
      <c r="K29" s="15">
        <f t="shared" ref="K29:O29" si="32">U29+AK29</f>
        <v>34170.562346643012</v>
      </c>
      <c r="L29" s="15">
        <f t="shared" si="32"/>
        <v>35582.957305839998</v>
      </c>
      <c r="M29" s="15">
        <f t="shared" si="32"/>
        <v>436.62103000000002</v>
      </c>
      <c r="N29" s="15">
        <f t="shared" si="32"/>
        <v>8507.5984832446993</v>
      </c>
      <c r="O29" s="15">
        <f t="shared" si="32"/>
        <v>51228.768333282009</v>
      </c>
      <c r="P29" s="15">
        <f>SUM(K29:O29)</f>
        <v>129926.50749900972</v>
      </c>
      <c r="Q29" s="5"/>
      <c r="R29" s="5"/>
      <c r="T29" s="30">
        <v>2011</v>
      </c>
      <c r="U29" s="5">
        <v>4766</v>
      </c>
      <c r="V29" s="5">
        <v>27410</v>
      </c>
      <c r="W29" s="5">
        <v>0</v>
      </c>
      <c r="X29" s="5">
        <v>24</v>
      </c>
      <c r="Y29" s="5">
        <v>16</v>
      </c>
      <c r="AB29" s="30">
        <v>2011</v>
      </c>
      <c r="AC29" s="5">
        <v>29280.545690218005</v>
      </c>
      <c r="AD29" s="5">
        <v>8175.9734874799997</v>
      </c>
      <c r="AE29" s="5">
        <v>436.62103000000002</v>
      </c>
      <c r="AF29" s="5">
        <v>8600.9657303870972</v>
      </c>
      <c r="AG29" s="5">
        <v>50191.718176651993</v>
      </c>
      <c r="AJ29" s="30">
        <v>2011</v>
      </c>
      <c r="AK29" s="5">
        <v>29404.562346643008</v>
      </c>
      <c r="AL29" s="5">
        <v>8172.9573058400001</v>
      </c>
      <c r="AM29" s="5">
        <v>436.62103000000002</v>
      </c>
      <c r="AN29" s="5">
        <v>8483.5984832446993</v>
      </c>
      <c r="AO29" s="5">
        <v>51212.768333282009</v>
      </c>
      <c r="AP29"/>
      <c r="AQ29"/>
      <c r="AR29"/>
      <c r="AS29"/>
      <c r="AT29"/>
    </row>
    <row r="30" spans="1:53" s="17" customFormat="1" x14ac:dyDescent="0.25">
      <c r="A30" s="16">
        <v>2012</v>
      </c>
      <c r="B30" s="15">
        <f t="shared" si="0"/>
        <v>70774.704311358975</v>
      </c>
      <c r="C30" s="15">
        <f t="shared" si="1"/>
        <v>78103.996043520005</v>
      </c>
      <c r="D30" s="15">
        <f t="shared" si="2"/>
        <v>6916.9066391900005</v>
      </c>
      <c r="E30" s="15">
        <f t="shared" si="3"/>
        <v>9839.1842041640011</v>
      </c>
      <c r="F30" s="15">
        <f t="shared" si="4"/>
        <v>51608.314539015308</v>
      </c>
      <c r="G30" s="15">
        <f t="shared" ref="G30:G32" si="33">SUM(B30:F30)</f>
        <v>217243.10573724826</v>
      </c>
      <c r="H30" s="5">
        <f t="shared" ref="H30:H35" si="34">SUM(B43:F43)</f>
        <v>149748.81872056212</v>
      </c>
      <c r="I30" s="5"/>
      <c r="J30" s="16">
        <v>2012</v>
      </c>
      <c r="K30" s="15">
        <f t="shared" ref="K30:O30" si="35">U30+AK30</f>
        <v>71849.086539286945</v>
      </c>
      <c r="L30" s="15">
        <f t="shared" si="35"/>
        <v>79511.22835284</v>
      </c>
      <c r="M30" s="15">
        <f t="shared" si="35"/>
        <v>6916.9066391900005</v>
      </c>
      <c r="N30" s="15">
        <f t="shared" si="35"/>
        <v>8818.0187824419991</v>
      </c>
      <c r="O30" s="15">
        <f t="shared" si="35"/>
        <v>50464.805824834293</v>
      </c>
      <c r="P30" s="15">
        <f t="shared" ref="P30:P35" si="36">SUM(K30:O30)</f>
        <v>217560.04613859326</v>
      </c>
      <c r="Q30" s="5">
        <f>SUM(K43:O43)</f>
        <v>150321.28537569108</v>
      </c>
      <c r="R30" s="5"/>
      <c r="T30" s="30">
        <v>2012</v>
      </c>
      <c r="U30" s="5">
        <v>7772</v>
      </c>
      <c r="V30" s="5">
        <v>21936</v>
      </c>
      <c r="W30" s="5">
        <v>0</v>
      </c>
      <c r="X30" s="5">
        <v>51</v>
      </c>
      <c r="Y30" s="5">
        <v>3</v>
      </c>
      <c r="AB30" s="30">
        <v>2012</v>
      </c>
      <c r="AC30" s="5">
        <v>63002.704311358968</v>
      </c>
      <c r="AD30" s="5">
        <v>56167.996043520005</v>
      </c>
      <c r="AE30" s="5">
        <v>6916.9066391900005</v>
      </c>
      <c r="AF30" s="5">
        <v>9788.1842041640011</v>
      </c>
      <c r="AG30" s="5">
        <v>51605.314539015308</v>
      </c>
      <c r="AH30"/>
      <c r="AI30"/>
      <c r="AJ30" s="30">
        <v>2012</v>
      </c>
      <c r="AK30" s="5">
        <v>64077.086539286953</v>
      </c>
      <c r="AL30" s="5">
        <v>57575.228352840008</v>
      </c>
      <c r="AM30" s="5">
        <v>6916.9066391900005</v>
      </c>
      <c r="AN30" s="5">
        <v>8767.0187824419991</v>
      </c>
      <c r="AO30" s="5">
        <v>50461.805824834293</v>
      </c>
      <c r="AP30"/>
      <c r="AQ30"/>
      <c r="AR30"/>
      <c r="AS30"/>
      <c r="AT30"/>
      <c r="AU30"/>
      <c r="AV30"/>
      <c r="AW30"/>
      <c r="AX30"/>
      <c r="AY30"/>
      <c r="AZ30"/>
      <c r="BA30"/>
    </row>
    <row r="31" spans="1:53" s="17" customFormat="1" x14ac:dyDescent="0.25">
      <c r="A31" s="16">
        <v>2013</v>
      </c>
      <c r="B31" s="15">
        <f t="shared" si="0"/>
        <v>102658.15984520604</v>
      </c>
      <c r="C31" s="15">
        <f t="shared" si="1"/>
        <v>52483.364952081989</v>
      </c>
      <c r="D31" s="15">
        <f t="shared" si="2"/>
        <v>4639.9226671500001</v>
      </c>
      <c r="E31" s="15">
        <f t="shared" si="3"/>
        <v>7169.031052944998</v>
      </c>
      <c r="F31" s="15">
        <f t="shared" si="4"/>
        <v>43980.337950239002</v>
      </c>
      <c r="G31" s="15">
        <f t="shared" si="33"/>
        <v>210930.81646762206</v>
      </c>
      <c r="H31" s="5">
        <f t="shared" si="34"/>
        <v>149748.81872056212</v>
      </c>
      <c r="I31" s="5"/>
      <c r="J31" s="16">
        <v>2013</v>
      </c>
      <c r="K31" s="15">
        <f t="shared" ref="K31:O31" si="37">U31+AK31</f>
        <v>100703.84680395405</v>
      </c>
      <c r="L31" s="15">
        <f t="shared" si="37"/>
        <v>59168.070598002007</v>
      </c>
      <c r="M31" s="15">
        <f t="shared" si="37"/>
        <v>4639.9226671500001</v>
      </c>
      <c r="N31" s="15">
        <f t="shared" si="37"/>
        <v>7171.1183265049985</v>
      </c>
      <c r="O31" s="15">
        <f t="shared" si="37"/>
        <v>44426.300823270001</v>
      </c>
      <c r="P31" s="15">
        <f t="shared" si="36"/>
        <v>216109.25921888105</v>
      </c>
      <c r="Q31" s="5">
        <f t="shared" ref="Q31:Q35" si="38">SUM(K44:O44)</f>
        <v>150321.28537569108</v>
      </c>
      <c r="R31" s="5"/>
      <c r="T31" s="30">
        <v>2013</v>
      </c>
      <c r="U31" s="5">
        <v>8260</v>
      </c>
      <c r="V31" s="5">
        <v>22493</v>
      </c>
      <c r="W31" s="5">
        <v>0</v>
      </c>
      <c r="X31" s="5">
        <v>340</v>
      </c>
      <c r="Y31" s="5">
        <v>17</v>
      </c>
      <c r="AB31" s="30">
        <v>2013</v>
      </c>
      <c r="AC31" s="5">
        <v>94398.159845206043</v>
      </c>
      <c r="AD31" s="5">
        <v>29990.364952081993</v>
      </c>
      <c r="AE31" s="5">
        <v>4639.9226671500001</v>
      </c>
      <c r="AF31" s="5">
        <v>6829.031052944998</v>
      </c>
      <c r="AG31" s="5">
        <v>43963.337950239002</v>
      </c>
      <c r="AH31"/>
      <c r="AI31"/>
      <c r="AJ31" s="30">
        <v>2013</v>
      </c>
      <c r="AK31" s="5">
        <v>92443.846803954046</v>
      </c>
      <c r="AL31" s="5">
        <v>36675.070598002007</v>
      </c>
      <c r="AM31" s="5">
        <v>4639.9226671500001</v>
      </c>
      <c r="AN31" s="5">
        <v>6831.1183265049985</v>
      </c>
      <c r="AO31" s="5">
        <v>44409.300823270001</v>
      </c>
      <c r="AP31"/>
      <c r="AQ31"/>
      <c r="AR31"/>
      <c r="AS31"/>
      <c r="AT31"/>
      <c r="AU31"/>
      <c r="AV31"/>
      <c r="AW31"/>
      <c r="AX31"/>
      <c r="AY31"/>
      <c r="AZ31"/>
      <c r="BA31"/>
    </row>
    <row r="32" spans="1:53" x14ac:dyDescent="0.25">
      <c r="A32" s="16">
        <v>2014</v>
      </c>
      <c r="B32" s="15">
        <f t="shared" si="0"/>
        <v>132888.80306784995</v>
      </c>
      <c r="C32" s="15">
        <f t="shared" si="1"/>
        <v>62639.56440452001</v>
      </c>
      <c r="D32" s="15">
        <f t="shared" si="2"/>
        <v>33.975090600000001</v>
      </c>
      <c r="E32" s="15">
        <f t="shared" si="3"/>
        <v>12468.912919289001</v>
      </c>
      <c r="F32" s="15">
        <f t="shared" si="4"/>
        <v>141844.19382347897</v>
      </c>
      <c r="G32" s="15">
        <f t="shared" si="33"/>
        <v>349875.44930573791</v>
      </c>
      <c r="H32" s="5">
        <f t="shared" si="34"/>
        <v>149748.81872056212</v>
      </c>
      <c r="I32" s="5" t="s">
        <v>282</v>
      </c>
      <c r="J32" s="16">
        <v>2014</v>
      </c>
      <c r="K32" s="15">
        <f t="shared" ref="K32:O32" si="39">U32+AK32</f>
        <v>129107.87096284996</v>
      </c>
      <c r="L32" s="15">
        <f t="shared" si="39"/>
        <v>64233.804396060004</v>
      </c>
      <c r="M32" s="15">
        <f t="shared" si="39"/>
        <v>33.975090600000001</v>
      </c>
      <c r="N32" s="15">
        <f t="shared" si="39"/>
        <v>12075.385292209998</v>
      </c>
      <c r="O32" s="15">
        <f t="shared" si="39"/>
        <v>141844.19382347894</v>
      </c>
      <c r="P32" s="15">
        <f t="shared" si="36"/>
        <v>347295.22956519888</v>
      </c>
      <c r="Q32" s="5">
        <f t="shared" si="38"/>
        <v>150321.28537569108</v>
      </c>
      <c r="R32" s="5" t="s">
        <v>282</v>
      </c>
      <c r="T32" s="30">
        <v>2014</v>
      </c>
      <c r="U32" s="5">
        <v>7067</v>
      </c>
      <c r="V32" s="5">
        <v>32568</v>
      </c>
      <c r="W32" s="5">
        <v>0</v>
      </c>
      <c r="X32" s="5">
        <v>109</v>
      </c>
      <c r="Y32" s="5">
        <v>108</v>
      </c>
      <c r="AB32" s="30">
        <v>2014</v>
      </c>
      <c r="AC32" s="5">
        <v>125821.80306784995</v>
      </c>
      <c r="AD32" s="5">
        <v>30071.56440452001</v>
      </c>
      <c r="AE32" s="5">
        <v>33.975090600000001</v>
      </c>
      <c r="AF32" s="5">
        <v>12359.912919289001</v>
      </c>
      <c r="AG32" s="5">
        <v>141736.19382347897</v>
      </c>
      <c r="AJ32" s="30">
        <v>2014</v>
      </c>
      <c r="AK32" s="5">
        <v>122040.87096284996</v>
      </c>
      <c r="AL32" s="5">
        <v>31665.804396060008</v>
      </c>
      <c r="AM32" s="5">
        <v>33.975090600000001</v>
      </c>
      <c r="AN32" s="5">
        <v>11966.385292209998</v>
      </c>
      <c r="AO32" s="5">
        <v>141736.19382347894</v>
      </c>
      <c r="AP32"/>
      <c r="AQ32"/>
      <c r="AR32"/>
      <c r="AS32"/>
      <c r="AT32"/>
    </row>
    <row r="33" spans="1:53" s="17" customFormat="1" x14ac:dyDescent="0.25">
      <c r="A33" s="16">
        <v>2015</v>
      </c>
      <c r="B33" s="15">
        <f t="shared" si="0"/>
        <v>148371.32188786607</v>
      </c>
      <c r="C33" s="15">
        <f t="shared" si="1"/>
        <v>23649.995058327997</v>
      </c>
      <c r="D33" s="15">
        <f t="shared" si="2"/>
        <v>122.60705220000001</v>
      </c>
      <c r="E33" s="15">
        <f t="shared" si="3"/>
        <v>13798.8254511901</v>
      </c>
      <c r="F33" s="15">
        <f t="shared" si="4"/>
        <v>55585.714840288005</v>
      </c>
      <c r="G33" s="15">
        <f t="shared" ref="G33" si="40">SUM(B33:F33)</f>
        <v>241528.46428987218</v>
      </c>
      <c r="H33" s="5">
        <f t="shared" si="34"/>
        <v>149748.81872056212</v>
      </c>
      <c r="I33" s="316">
        <v>0.33799999999999997</v>
      </c>
      <c r="J33" s="16">
        <v>2015</v>
      </c>
      <c r="K33" s="15">
        <f t="shared" ref="K33:O33" si="41">U33+AK33</f>
        <v>150061.93544617807</v>
      </c>
      <c r="L33" s="15">
        <f t="shared" si="41"/>
        <v>23642.698349576</v>
      </c>
      <c r="M33" s="15">
        <f t="shared" si="41"/>
        <v>122.60705220000001</v>
      </c>
      <c r="N33" s="15">
        <f t="shared" si="41"/>
        <v>11555.5630651054</v>
      </c>
      <c r="O33" s="15">
        <f t="shared" si="41"/>
        <v>54967.351508129992</v>
      </c>
      <c r="P33" s="15">
        <f t="shared" si="36"/>
        <v>240350.1554211895</v>
      </c>
      <c r="Q33" s="5">
        <f t="shared" si="38"/>
        <v>150321.28537569108</v>
      </c>
      <c r="R33" s="316">
        <v>0.33799999999999997</v>
      </c>
      <c r="T33" s="30">
        <v>2015</v>
      </c>
      <c r="U33" s="5">
        <v>11688</v>
      </c>
      <c r="V33" s="5">
        <v>10931</v>
      </c>
      <c r="W33" s="5">
        <v>2</v>
      </c>
      <c r="X33" s="5">
        <v>32</v>
      </c>
      <c r="Y33" s="5">
        <v>20</v>
      </c>
      <c r="AB33" s="30">
        <v>2015</v>
      </c>
      <c r="AC33" s="5">
        <v>136683.32188786607</v>
      </c>
      <c r="AD33" s="5">
        <v>12718.995058327997</v>
      </c>
      <c r="AE33" s="5">
        <v>120.60705220000001</v>
      </c>
      <c r="AF33" s="5">
        <v>13766.8254511901</v>
      </c>
      <c r="AG33" s="5">
        <v>55565.714840288005</v>
      </c>
      <c r="AH33"/>
      <c r="AI33"/>
      <c r="AJ33" s="30">
        <v>2015</v>
      </c>
      <c r="AK33" s="5">
        <v>138373.93544617807</v>
      </c>
      <c r="AL33" s="5">
        <v>12711.698349575998</v>
      </c>
      <c r="AM33" s="5">
        <v>120.60705220000001</v>
      </c>
      <c r="AN33" s="5">
        <v>11523.5630651054</v>
      </c>
      <c r="AO33" s="5">
        <v>54947.351508129992</v>
      </c>
      <c r="AP33"/>
      <c r="AQ33"/>
      <c r="AR33"/>
      <c r="AS33"/>
      <c r="AT33"/>
      <c r="AU33"/>
      <c r="AV33"/>
      <c r="AW33"/>
      <c r="AX33"/>
      <c r="AY33"/>
      <c r="AZ33"/>
      <c r="BA33"/>
    </row>
    <row r="34" spans="1:53" s="17" customFormat="1" x14ac:dyDescent="0.25">
      <c r="A34" s="16">
        <v>2016</v>
      </c>
      <c r="B34" s="15">
        <f t="shared" si="0"/>
        <v>181188.37635517897</v>
      </c>
      <c r="C34" s="15">
        <f t="shared" si="1"/>
        <v>15891.876981763</v>
      </c>
      <c r="D34" s="15">
        <f t="shared" si="2"/>
        <v>227.32671899000002</v>
      </c>
      <c r="E34" s="15">
        <f t="shared" si="3"/>
        <v>7983.9571500000011</v>
      </c>
      <c r="F34" s="15">
        <f t="shared" si="4"/>
        <v>55797.068094964015</v>
      </c>
      <c r="G34" s="15">
        <f t="shared" ref="G34:G35" si="42">SUM(B34:F34)</f>
        <v>261088.60530089599</v>
      </c>
      <c r="H34" s="5">
        <f t="shared" si="34"/>
        <v>149748.81872056212</v>
      </c>
      <c r="I34" s="316">
        <v>0.47799999999999998</v>
      </c>
      <c r="J34" s="16">
        <v>2016</v>
      </c>
      <c r="K34" s="15">
        <f t="shared" ref="K34:O34" si="43">U34+AK34</f>
        <v>187878.66666957899</v>
      </c>
      <c r="L34" s="15">
        <f t="shared" si="43"/>
        <v>15889.079866831</v>
      </c>
      <c r="M34" s="15">
        <f t="shared" si="43"/>
        <v>227.32671899000005</v>
      </c>
      <c r="N34" s="15">
        <f t="shared" si="43"/>
        <v>7983.9571500000011</v>
      </c>
      <c r="O34" s="15">
        <f t="shared" si="43"/>
        <v>54092.553692534028</v>
      </c>
      <c r="P34" s="15">
        <f t="shared" si="36"/>
        <v>266071.58409793401</v>
      </c>
      <c r="Q34" s="5">
        <f t="shared" si="38"/>
        <v>150321.28537569108</v>
      </c>
      <c r="R34" s="316">
        <v>0.47799999999999998</v>
      </c>
      <c r="T34" s="30">
        <v>2016</v>
      </c>
      <c r="U34" s="5">
        <v>14751</v>
      </c>
      <c r="V34" s="5">
        <v>8986</v>
      </c>
      <c r="W34" s="5">
        <v>0</v>
      </c>
      <c r="X34" s="5">
        <v>24.8</v>
      </c>
      <c r="Y34" s="5">
        <v>120</v>
      </c>
      <c r="AB34" s="30">
        <v>2016</v>
      </c>
      <c r="AC34" s="5">
        <v>166437.37635517897</v>
      </c>
      <c r="AD34" s="5">
        <v>6905.876981763</v>
      </c>
      <c r="AE34" s="5">
        <v>227.32671899000002</v>
      </c>
      <c r="AF34" s="5">
        <v>7959.1571500000009</v>
      </c>
      <c r="AG34" s="5">
        <v>55677.068094964015</v>
      </c>
      <c r="AH34"/>
      <c r="AI34"/>
      <c r="AJ34" s="30">
        <v>2016</v>
      </c>
      <c r="AK34" s="5">
        <v>173127.66666957899</v>
      </c>
      <c r="AL34" s="5">
        <v>6903.0798668309999</v>
      </c>
      <c r="AM34" s="5">
        <v>227.32671899000005</v>
      </c>
      <c r="AN34" s="5">
        <v>7959.1571500000009</v>
      </c>
      <c r="AO34" s="5">
        <v>53972.553692534028</v>
      </c>
      <c r="AP34"/>
      <c r="AQ34"/>
      <c r="AR34"/>
      <c r="AS34"/>
      <c r="AT34"/>
      <c r="AU34"/>
      <c r="AV34"/>
      <c r="AW34"/>
      <c r="AX34"/>
      <c r="AY34"/>
      <c r="AZ34"/>
      <c r="BA34"/>
    </row>
    <row r="35" spans="1:53" s="17" customFormat="1" x14ac:dyDescent="0.25">
      <c r="A35" s="16">
        <v>2017</v>
      </c>
      <c r="B35" s="15">
        <f t="shared" si="0"/>
        <v>51079.398856170003</v>
      </c>
      <c r="C35" s="15">
        <f t="shared" si="1"/>
        <v>18815.807580184999</v>
      </c>
      <c r="D35" s="15">
        <f t="shared" si="2"/>
        <v>3.1195089999999999</v>
      </c>
      <c r="E35" s="15">
        <f t="shared" si="3"/>
        <v>10543.224473061002</v>
      </c>
      <c r="F35" s="15">
        <f t="shared" si="4"/>
        <v>50400.815979586994</v>
      </c>
      <c r="G35" s="15">
        <f t="shared" si="42"/>
        <v>130842.36639800298</v>
      </c>
      <c r="H35" s="5">
        <f t="shared" si="34"/>
        <v>149748.81872056212</v>
      </c>
      <c r="I35" s="316">
        <v>0.89900000000000002</v>
      </c>
      <c r="J35" s="16">
        <v>2017</v>
      </c>
      <c r="K35" s="15">
        <f t="shared" ref="K35:O35" si="44">U35+AK35</f>
        <v>52271.060046350009</v>
      </c>
      <c r="L35" s="15">
        <f t="shared" si="44"/>
        <v>18815.554278540003</v>
      </c>
      <c r="M35" s="15">
        <f t="shared" si="44"/>
        <v>3.1195089999999999</v>
      </c>
      <c r="N35" s="15">
        <f t="shared" si="44"/>
        <v>10546.021462265999</v>
      </c>
      <c r="O35" s="15">
        <f t="shared" si="44"/>
        <v>52362.497179248021</v>
      </c>
      <c r="P35" s="15">
        <f t="shared" si="36"/>
        <v>133998.25247540404</v>
      </c>
      <c r="Q35" s="5">
        <f t="shared" si="38"/>
        <v>150321.28537569108</v>
      </c>
      <c r="R35" s="316">
        <v>0.89900000000000002</v>
      </c>
      <c r="T35" s="30">
        <v>2017</v>
      </c>
      <c r="U35" s="5">
        <v>6982</v>
      </c>
      <c r="V35" s="5">
        <v>14412</v>
      </c>
      <c r="W35" s="5">
        <v>0</v>
      </c>
      <c r="X35" s="5">
        <v>1</v>
      </c>
      <c r="Y35" s="5">
        <v>4944</v>
      </c>
      <c r="AB35" s="30">
        <v>2017</v>
      </c>
      <c r="AC35" s="5">
        <v>44097.398856170003</v>
      </c>
      <c r="AD35" s="5">
        <v>4403.8075801850009</v>
      </c>
      <c r="AE35" s="5">
        <v>3.1195089999999999</v>
      </c>
      <c r="AF35" s="5">
        <v>10542.224473061002</v>
      </c>
      <c r="AG35" s="5">
        <v>45456.815979586994</v>
      </c>
      <c r="AH35"/>
      <c r="AI35"/>
      <c r="AJ35" s="30">
        <v>2017</v>
      </c>
      <c r="AK35" s="5">
        <v>45289.060046350009</v>
      </c>
      <c r="AL35" s="5">
        <v>4403.5542785400012</v>
      </c>
      <c r="AM35" s="5">
        <v>3.1195089999999999</v>
      </c>
      <c r="AN35" s="5">
        <v>10545.021462265999</v>
      </c>
      <c r="AO35" s="5">
        <v>47418.497179248021</v>
      </c>
      <c r="AP35"/>
      <c r="AQ35"/>
      <c r="AR35"/>
      <c r="AS35"/>
      <c r="AT35"/>
      <c r="AU35"/>
      <c r="AV35"/>
      <c r="AW35"/>
      <c r="AX35"/>
      <c r="AY35"/>
      <c r="AZ35"/>
      <c r="BA35"/>
    </row>
    <row r="36" spans="1:53" x14ac:dyDescent="0.25">
      <c r="A36" s="18" t="s">
        <v>71</v>
      </c>
      <c r="B36" s="5">
        <f>AVERAGE(B17:B25)</f>
        <v>50929.945298888349</v>
      </c>
      <c r="C36" s="5">
        <f t="shared" ref="C36:F36" si="45">AVERAGE(C17:C25)</f>
        <v>66472.223848739464</v>
      </c>
      <c r="D36" s="5">
        <f t="shared" si="45"/>
        <v>4866.9311008701106</v>
      </c>
      <c r="E36" s="5">
        <f t="shared" si="45"/>
        <v>8610.6932085029985</v>
      </c>
      <c r="F36" s="5">
        <f t="shared" si="45"/>
        <v>38897.863109645819</v>
      </c>
      <c r="G36" s="59"/>
      <c r="H36" s="5" t="s">
        <v>283</v>
      </c>
      <c r="I36" s="316">
        <f>AVERAGE(I33:I35)</f>
        <v>0.57166666666666666</v>
      </c>
      <c r="J36" s="18" t="s">
        <v>71</v>
      </c>
      <c r="K36" s="5">
        <f>AVERAGE(K17:K25)</f>
        <v>50483.613994990017</v>
      </c>
      <c r="L36" s="5">
        <f t="shared" ref="L36:O36" si="46">AVERAGE(L17:L25)</f>
        <v>65672.670588563473</v>
      </c>
      <c r="M36" s="5">
        <f t="shared" si="46"/>
        <v>4866.9311008701106</v>
      </c>
      <c r="N36" s="5">
        <f t="shared" si="46"/>
        <v>8597.860567171334</v>
      </c>
      <c r="O36" s="5">
        <f t="shared" si="46"/>
        <v>37850.063041122849</v>
      </c>
      <c r="P36" s="59"/>
      <c r="Q36" s="5" t="s">
        <v>283</v>
      </c>
      <c r="R36" s="316">
        <f>AVERAGE(R33:R35)</f>
        <v>0.57166666666666666</v>
      </c>
      <c r="S36" s="17"/>
      <c r="T36" s="18"/>
      <c r="U36" s="5"/>
      <c r="V36" s="5"/>
      <c r="W36" s="5"/>
      <c r="X36" s="5"/>
      <c r="Y36" s="5"/>
      <c r="AJ36" s="18"/>
      <c r="AK36" s="5"/>
      <c r="AL36" s="5"/>
      <c r="AM36" s="5"/>
      <c r="AN36" s="5"/>
      <c r="AO36" s="5"/>
    </row>
    <row r="37" spans="1:53" x14ac:dyDescent="0.25">
      <c r="A37" s="18" t="s">
        <v>70</v>
      </c>
      <c r="B37" s="5">
        <f>AVERAGE(B30:B35)</f>
        <v>114493.460720605</v>
      </c>
      <c r="C37" s="5">
        <f t="shared" ref="C37:D37" si="47">AVERAGE(C30:C35)</f>
        <v>41930.767503399671</v>
      </c>
      <c r="D37" s="5">
        <f t="shared" si="47"/>
        <v>1990.6429461883338</v>
      </c>
      <c r="E37" s="5">
        <f t="shared" ref="E37:F37" si="48">AVERAGE(E30:E35)</f>
        <v>10300.52254177485</v>
      </c>
      <c r="F37" s="5">
        <f t="shared" si="48"/>
        <v>66536.074204595381</v>
      </c>
      <c r="G37" s="59"/>
      <c r="H37" s="5" t="s">
        <v>284</v>
      </c>
      <c r="I37" s="5">
        <f>C39*I36</f>
        <v>11120.380060974814</v>
      </c>
      <c r="J37" s="18" t="s">
        <v>70</v>
      </c>
      <c r="K37" s="5">
        <f>AVERAGE(K30:K35)</f>
        <v>115312.07774469967</v>
      </c>
      <c r="L37" s="5">
        <f t="shared" ref="L37:O37" si="49">AVERAGE(L30:L35)</f>
        <v>43543.4059736415</v>
      </c>
      <c r="M37" s="5">
        <f t="shared" si="49"/>
        <v>1990.6429461883338</v>
      </c>
      <c r="N37" s="5">
        <f t="shared" si="49"/>
        <v>9691.6773464214002</v>
      </c>
      <c r="O37" s="5">
        <f t="shared" si="49"/>
        <v>66359.617141915878</v>
      </c>
      <c r="P37" s="59"/>
      <c r="Q37" s="5" t="s">
        <v>284</v>
      </c>
      <c r="R37" s="5">
        <f>L39*R36</f>
        <v>11118.408358759347</v>
      </c>
      <c r="T37" s="18"/>
      <c r="U37" s="5"/>
      <c r="V37" s="5"/>
      <c r="W37" s="5"/>
      <c r="X37" s="5"/>
      <c r="Y37" s="5"/>
      <c r="AJ37" s="18"/>
      <c r="AK37" s="5"/>
      <c r="AL37" s="5"/>
      <c r="AM37" s="5"/>
      <c r="AN37" s="5"/>
      <c r="AO37" s="5"/>
    </row>
    <row r="38" spans="1:53" x14ac:dyDescent="0.25">
      <c r="A38" s="18" t="s">
        <v>85</v>
      </c>
      <c r="B38" s="73">
        <f>B37/B36</f>
        <v>2.248057798780005</v>
      </c>
      <c r="C38" s="73">
        <f t="shared" ref="C38:D38" si="50">C37/C36</f>
        <v>0.63080133438614927</v>
      </c>
      <c r="D38" s="73">
        <f t="shared" si="50"/>
        <v>0.40901399771869512</v>
      </c>
      <c r="E38" s="73">
        <f t="shared" ref="E38:F38" si="51">E37/E36</f>
        <v>1.1962477691811335</v>
      </c>
      <c r="F38" s="73">
        <f t="shared" si="51"/>
        <v>1.7105328901241337</v>
      </c>
      <c r="G38" s="59"/>
      <c r="H38" s="5" t="s">
        <v>41</v>
      </c>
      <c r="I38" s="5">
        <f>I37+C39</f>
        <v>30572.939934400147</v>
      </c>
      <c r="J38" s="18" t="s">
        <v>85</v>
      </c>
      <c r="K38" s="73">
        <f>K37/K36</f>
        <v>2.2841486300117739</v>
      </c>
      <c r="L38" s="73">
        <f t="shared" ref="L38:O38" si="52">L37/L36</f>
        <v>0.66303693124403473</v>
      </c>
      <c r="M38" s="73">
        <f t="shared" si="52"/>
        <v>0.40901399771869512</v>
      </c>
      <c r="N38" s="73">
        <f t="shared" si="52"/>
        <v>1.1272196461787851</v>
      </c>
      <c r="O38" s="73">
        <f t="shared" si="52"/>
        <v>1.7532234244846128</v>
      </c>
      <c r="P38" s="59"/>
      <c r="Q38" s="5" t="s">
        <v>41</v>
      </c>
      <c r="R38" s="5">
        <f>R37+L39</f>
        <v>30567.519190408348</v>
      </c>
      <c r="S38" s="17"/>
      <c r="T38" s="86"/>
      <c r="U38" s="87"/>
      <c r="V38" s="87"/>
      <c r="W38" s="5"/>
      <c r="X38" s="17"/>
      <c r="Y38" s="17"/>
    </row>
    <row r="39" spans="1:53" x14ac:dyDescent="0.25">
      <c r="C39" s="5">
        <f>AVERAGE(C33:C35)</f>
        <v>19452.559873425333</v>
      </c>
      <c r="H39" s="128" t="s">
        <v>285</v>
      </c>
      <c r="I39" s="5">
        <f>ROUND(I38,-3)</f>
        <v>31000</v>
      </c>
      <c r="J39" s="315" t="s">
        <v>68</v>
      </c>
      <c r="L39" s="5">
        <f>AVERAGE(L33:L35)</f>
        <v>19449.110831649003</v>
      </c>
      <c r="Q39" s="128" t="s">
        <v>285</v>
      </c>
      <c r="R39" s="5">
        <f>ROUND(R38,-3)</f>
        <v>31000</v>
      </c>
      <c r="T39" s="86"/>
      <c r="U39" s="87"/>
      <c r="V39" s="87"/>
      <c r="W39" s="5"/>
      <c r="X39" s="17"/>
      <c r="Y39" s="17"/>
    </row>
    <row r="40" spans="1:53" x14ac:dyDescent="0.25">
      <c r="A40" s="18" t="s">
        <v>335</v>
      </c>
      <c r="B40" s="73">
        <f>B43/B36</f>
        <v>1.0757718962046268</v>
      </c>
      <c r="C40" s="73">
        <f>VLOOKUP(VLOOKUP(3,B$130:$F$138,B$142,FALSE),$A$17:$G$25,B$141,FALSE)/C36</f>
        <v>1.165185375594332</v>
      </c>
      <c r="D40" s="73">
        <f t="shared" ref="D40:F40" si="53">D43/D36</f>
        <v>0.9640527804186847</v>
      </c>
      <c r="E40" s="73">
        <f t="shared" si="53"/>
        <v>0.98680758590599604</v>
      </c>
      <c r="F40" s="73">
        <f t="shared" si="53"/>
        <v>1.3052320872153269</v>
      </c>
      <c r="G40" s="17"/>
      <c r="H40" s="128"/>
      <c r="I40" s="5"/>
      <c r="J40" s="18" t="s">
        <v>335</v>
      </c>
      <c r="K40" s="73">
        <f>K43/K36</f>
        <v>1.1047389856496952</v>
      </c>
      <c r="L40" s="73">
        <f>VLOOKUP(VLOOKUP(3,B$113:$F$121,B$125,FALSE),$J$17:$P$25,B$124,FALSE)/L36</f>
        <v>1.1596288533140013</v>
      </c>
      <c r="M40" s="73">
        <f t="shared" ref="M40:O40" si="54">M43/M36</f>
        <v>0.96405278041868492</v>
      </c>
      <c r="N40" s="73">
        <f t="shared" si="54"/>
        <v>0.98845825201664284</v>
      </c>
      <c r="O40" s="73">
        <f t="shared" si="54"/>
        <v>1.3304988189058544</v>
      </c>
      <c r="Q40" s="128"/>
      <c r="R40" s="5"/>
      <c r="S40" s="17"/>
      <c r="T40" s="86"/>
      <c r="U40" s="87"/>
      <c r="V40" s="87"/>
      <c r="W40" s="5"/>
      <c r="X40" s="17"/>
      <c r="Y40" s="17"/>
      <c r="Z40" s="17"/>
      <c r="AA40" s="17"/>
      <c r="AB40" s="17"/>
      <c r="AC40" s="17"/>
      <c r="AD40" s="17"/>
      <c r="AE40" s="17"/>
      <c r="AF40" s="17"/>
      <c r="AG40" s="17"/>
      <c r="AH40" s="17"/>
      <c r="AI40" s="17"/>
      <c r="AJ40" s="17"/>
      <c r="AK40" s="17"/>
      <c r="AL40" s="17"/>
      <c r="AM40" s="17"/>
      <c r="AN40" s="17"/>
    </row>
    <row r="41" spans="1:53" x14ac:dyDescent="0.25">
      <c r="A41" s="17"/>
      <c r="B41" s="17"/>
      <c r="C41" s="5"/>
      <c r="D41" s="17"/>
      <c r="E41" s="17"/>
      <c r="F41" s="17"/>
      <c r="G41" s="17"/>
      <c r="H41" s="128"/>
      <c r="I41" s="5"/>
      <c r="J41" s="315"/>
      <c r="L41" s="5"/>
      <c r="Q41" s="128"/>
      <c r="R41" s="5"/>
      <c r="S41" s="17"/>
      <c r="T41" s="86"/>
      <c r="U41" s="87"/>
      <c r="V41" s="87"/>
      <c r="W41" s="5"/>
      <c r="X41" s="17"/>
      <c r="Y41" s="17"/>
      <c r="Z41" s="17"/>
      <c r="AA41" s="17"/>
      <c r="AB41" s="17"/>
      <c r="AC41" s="17"/>
      <c r="AD41" s="17"/>
      <c r="AE41" s="17"/>
      <c r="AF41" s="17"/>
      <c r="AG41" s="17"/>
      <c r="AH41" s="17"/>
      <c r="AI41" s="17"/>
      <c r="AJ41" s="17"/>
      <c r="AK41" s="17"/>
      <c r="AL41" s="17"/>
      <c r="AM41" s="17"/>
      <c r="AN41" s="17"/>
    </row>
    <row r="42" spans="1:53" x14ac:dyDescent="0.25">
      <c r="A42" s="29" t="s">
        <v>20</v>
      </c>
      <c r="B42" s="30" t="s">
        <v>328</v>
      </c>
      <c r="C42" s="30" t="s">
        <v>328</v>
      </c>
      <c r="D42" s="30" t="s">
        <v>328</v>
      </c>
      <c r="E42" s="30" t="s">
        <v>328</v>
      </c>
      <c r="F42" s="30" t="s">
        <v>328</v>
      </c>
      <c r="G42" s="333" t="s">
        <v>121</v>
      </c>
      <c r="J42" s="55" t="s">
        <v>20</v>
      </c>
      <c r="K42" s="30" t="s">
        <v>329</v>
      </c>
      <c r="L42" s="30" t="s">
        <v>329</v>
      </c>
      <c r="M42" s="30" t="s">
        <v>329</v>
      </c>
      <c r="N42" s="30" t="s">
        <v>329</v>
      </c>
      <c r="O42" s="30" t="s">
        <v>329</v>
      </c>
      <c r="P42" s="147" t="s">
        <v>121</v>
      </c>
      <c r="T42" s="40"/>
      <c r="U42" s="87"/>
      <c r="V42" s="87"/>
      <c r="W42" s="5"/>
      <c r="X42" s="17"/>
      <c r="Y42" s="17"/>
    </row>
    <row r="43" spans="1:53" x14ac:dyDescent="0.25">
      <c r="A43" s="32">
        <v>2012</v>
      </c>
      <c r="B43" s="5">
        <f>VLOOKUP(VLOOKUP(3,A$130:$F$138,A$142,FALSE),$A$17:$G$25,A$141,FALSE)</f>
        <v>54789.003827783032</v>
      </c>
      <c r="C43" s="5">
        <f>$I$39</f>
        <v>31000</v>
      </c>
      <c r="D43" s="5">
        <f>VLOOKUP(VLOOKUP(3,C$130:$F$138,C$142,FALSE),$A$17:$G$25,C$141,FALSE)</f>
        <v>4691.9784599000004</v>
      </c>
      <c r="E43" s="5">
        <f>$G$43</f>
        <v>8497.0973780599998</v>
      </c>
      <c r="F43" s="5">
        <f>VLOOKUP(VLOOKUP(3,E$130:$F$138,E$142,FALSE),$A$17:$G$25,E$141,FALSE)</f>
        <v>50770.739054819082</v>
      </c>
      <c r="G43" s="5">
        <f>MEDIAN($E$17:$E$25)</f>
        <v>8497.0973780599998</v>
      </c>
      <c r="J43" s="32">
        <v>2012</v>
      </c>
      <c r="K43" s="5">
        <f>VLOOKUP(VLOOKUP(3,A$113:$F$121,A$125,FALSE),$J$17:$P$25,A$124,FALSE)</f>
        <v>55771.216516756023</v>
      </c>
      <c r="L43" s="5">
        <f>$R$39</f>
        <v>31000</v>
      </c>
      <c r="M43" s="5">
        <f>VLOOKUP(VLOOKUP(3,C$113:$F$121,C$125,FALSE),$J$17:$P$25,C$124,FALSE)</f>
        <v>4691.9784599000013</v>
      </c>
      <c r="N43" s="5">
        <f>$P$43</f>
        <v>8498.6262273089978</v>
      </c>
      <c r="O43" s="5">
        <f>VLOOKUP(VLOOKUP(3,E$113:$F$121,E$125,FALSE),$J$17:$P$25,E$124,FALSE)</f>
        <v>50359.464171726082</v>
      </c>
      <c r="P43" s="5">
        <f>MEDIAN($N$17:$N$25)</f>
        <v>8498.6262273089978</v>
      </c>
      <c r="T43" s="86"/>
      <c r="U43" s="87"/>
      <c r="V43" s="87"/>
      <c r="W43" s="5"/>
      <c r="X43" s="17"/>
      <c r="Y43" s="17"/>
    </row>
    <row r="44" spans="1:53" x14ac:dyDescent="0.25">
      <c r="A44" s="32">
        <v>2013</v>
      </c>
      <c r="B44" s="5">
        <f>VLOOKUP(VLOOKUP(3,A$130:$F$138,A$142,FALSE),$A$17:$G$25,A$141,FALSE)</f>
        <v>54789.003827783032</v>
      </c>
      <c r="C44" s="5">
        <f t="shared" ref="C44:C48" si="55">$I$39</f>
        <v>31000</v>
      </c>
      <c r="D44" s="5">
        <f>VLOOKUP(VLOOKUP(3,C$130:$F$138,C$142,FALSE),$A$17:$G$25,C$141,FALSE)</f>
        <v>4691.9784599000004</v>
      </c>
      <c r="E44" s="5">
        <f t="shared" ref="E44:E48" si="56">$G$43</f>
        <v>8497.0973780599998</v>
      </c>
      <c r="F44" s="5">
        <f>VLOOKUP(VLOOKUP(3,E$130:$F$138,E$142,FALSE),$A$17:$G$25,E$141,FALSE)</f>
        <v>50770.739054819082</v>
      </c>
      <c r="G44" s="5"/>
      <c r="J44" s="32">
        <v>2013</v>
      </c>
      <c r="K44" s="5">
        <f>VLOOKUP(VLOOKUP(3,A$113:$F$121,A$125,FALSE),$J$17:$P$25,A$124,FALSE)</f>
        <v>55771.216516756023</v>
      </c>
      <c r="L44" s="5">
        <f t="shared" ref="L44:L48" si="57">$R$39</f>
        <v>31000</v>
      </c>
      <c r="M44" s="5">
        <f>VLOOKUP(VLOOKUP(3,C$113:$F$121,C$125,FALSE),$J$17:$P$25,C$124,FALSE)</f>
        <v>4691.9784599000013</v>
      </c>
      <c r="N44" s="5">
        <f t="shared" ref="N44:N48" si="58">$P$43</f>
        <v>8498.6262273089978</v>
      </c>
      <c r="O44" s="5">
        <f>VLOOKUP(VLOOKUP(3,E$113:$F$121,E$125,FALSE),$J$17:$P$25,E$124,FALSE)</f>
        <v>50359.464171726082</v>
      </c>
      <c r="P44" s="5"/>
      <c r="T44" s="40"/>
      <c r="U44" s="87"/>
      <c r="V44" s="87"/>
      <c r="W44" s="5"/>
      <c r="X44" s="17"/>
      <c r="Y44" s="17"/>
    </row>
    <row r="45" spans="1:53" x14ac:dyDescent="0.25">
      <c r="A45" s="32">
        <v>2014</v>
      </c>
      <c r="B45" s="5">
        <f>VLOOKUP(VLOOKUP(3,A$130:$F$138,A$142,FALSE),$A$17:$G$25,A$141,FALSE)</f>
        <v>54789.003827783032</v>
      </c>
      <c r="C45" s="5">
        <f t="shared" si="55"/>
        <v>31000</v>
      </c>
      <c r="D45" s="5">
        <f>VLOOKUP(VLOOKUP(3,C$130:$F$138,C$142,FALSE),$A$17:$G$25,C$141,FALSE)</f>
        <v>4691.9784599000004</v>
      </c>
      <c r="E45" s="5">
        <f t="shared" si="56"/>
        <v>8497.0973780599998</v>
      </c>
      <c r="F45" s="5">
        <f>VLOOKUP(VLOOKUP(3,E$130:$F$138,E$142,FALSE),$A$17:$G$25,E$141,FALSE)</f>
        <v>50770.739054819082</v>
      </c>
      <c r="G45" s="5"/>
      <c r="J45" s="32">
        <v>2014</v>
      </c>
      <c r="K45" s="5">
        <f>VLOOKUP(VLOOKUP(3,A$113:$F$121,A$125,FALSE),$J$17:$P$25,A$124,FALSE)</f>
        <v>55771.216516756023</v>
      </c>
      <c r="L45" s="5">
        <f t="shared" si="57"/>
        <v>31000</v>
      </c>
      <c r="M45" s="5">
        <f>VLOOKUP(VLOOKUP(3,C$113:$F$121,C$125,FALSE),$J$17:$P$25,C$124,FALSE)</f>
        <v>4691.9784599000013</v>
      </c>
      <c r="N45" s="5">
        <f t="shared" si="58"/>
        <v>8498.6262273089978</v>
      </c>
      <c r="O45" s="5">
        <f>VLOOKUP(VLOOKUP(3,E$113:$F$121,E$125,FALSE),$J$17:$P$25,E$124,FALSE)</f>
        <v>50359.464171726082</v>
      </c>
      <c r="P45" s="5"/>
      <c r="T45" s="86"/>
      <c r="U45" s="87"/>
      <c r="V45" s="87"/>
      <c r="W45" s="5"/>
      <c r="X45" s="17"/>
      <c r="Y45" s="17"/>
    </row>
    <row r="46" spans="1:53" x14ac:dyDescent="0.25">
      <c r="A46" s="32">
        <v>2015</v>
      </c>
      <c r="B46" s="5">
        <f>VLOOKUP(VLOOKUP(3,A$130:$F$138,A$142,FALSE),$A$17:$G$25,A$141,FALSE)</f>
        <v>54789.003827783032</v>
      </c>
      <c r="C46" s="5">
        <f t="shared" si="55"/>
        <v>31000</v>
      </c>
      <c r="D46" s="5">
        <f>VLOOKUP(VLOOKUP(3,C$130:$F$138,C$142,FALSE),$A$17:$G$25,C$141,FALSE)</f>
        <v>4691.9784599000004</v>
      </c>
      <c r="E46" s="5">
        <f t="shared" si="56"/>
        <v>8497.0973780599998</v>
      </c>
      <c r="F46" s="5">
        <f>VLOOKUP(VLOOKUP(3,E$130:$F$138,E$142,FALSE),$A$17:$G$25,E$141,FALSE)</f>
        <v>50770.739054819082</v>
      </c>
      <c r="G46" s="5"/>
      <c r="J46" s="32">
        <v>2015</v>
      </c>
      <c r="K46" s="5">
        <f>VLOOKUP(VLOOKUP(3,A$113:$F$121,A$125,FALSE),$J$17:$P$25,A$124,FALSE)</f>
        <v>55771.216516756023</v>
      </c>
      <c r="L46" s="5">
        <f t="shared" si="57"/>
        <v>31000</v>
      </c>
      <c r="M46" s="5">
        <f>VLOOKUP(VLOOKUP(3,C$113:$F$121,C$125,FALSE),$J$17:$P$25,C$124,FALSE)</f>
        <v>4691.9784599000013</v>
      </c>
      <c r="N46" s="5">
        <f t="shared" si="58"/>
        <v>8498.6262273089978</v>
      </c>
      <c r="O46" s="5">
        <f>VLOOKUP(VLOOKUP(3,E$113:$F$121,E$125,FALSE),$J$17:$P$25,E$124,FALSE)</f>
        <v>50359.464171726082</v>
      </c>
      <c r="P46" s="5"/>
      <c r="T46" s="40"/>
      <c r="U46" s="87"/>
      <c r="V46" s="87"/>
      <c r="W46" s="5"/>
      <c r="X46" s="17"/>
      <c r="Y46" s="17"/>
    </row>
    <row r="47" spans="1:53" x14ac:dyDescent="0.25">
      <c r="A47" s="32">
        <v>2016</v>
      </c>
      <c r="B47" s="5">
        <f>VLOOKUP(VLOOKUP(3,A$130:$F$138,A$142,FALSE),$A$17:$G$25,A$141,FALSE)</f>
        <v>54789.003827783032</v>
      </c>
      <c r="C47" s="5">
        <f t="shared" si="55"/>
        <v>31000</v>
      </c>
      <c r="D47" s="5">
        <f>VLOOKUP(VLOOKUP(3,C$130:$F$138,C$142,FALSE),$A$17:$G$25,C$141,FALSE)</f>
        <v>4691.9784599000004</v>
      </c>
      <c r="E47" s="5">
        <f t="shared" si="56"/>
        <v>8497.0973780599998</v>
      </c>
      <c r="F47" s="5">
        <f>VLOOKUP(VLOOKUP(3,E$130:$F$138,E$142,FALSE),$A$17:$G$25,E$141,FALSE)</f>
        <v>50770.739054819082</v>
      </c>
      <c r="G47" s="5"/>
      <c r="J47" s="32">
        <v>2016</v>
      </c>
      <c r="K47" s="5">
        <f>VLOOKUP(VLOOKUP(3,A$113:$F$121,A$125,FALSE),$J$17:$P$25,A$124,FALSE)</f>
        <v>55771.216516756023</v>
      </c>
      <c r="L47" s="5">
        <f t="shared" si="57"/>
        <v>31000</v>
      </c>
      <c r="M47" s="5">
        <f>VLOOKUP(VLOOKUP(3,C$113:$F$121,C$125,FALSE),$J$17:$P$25,C$124,FALSE)</f>
        <v>4691.9784599000013</v>
      </c>
      <c r="N47" s="5">
        <f t="shared" si="58"/>
        <v>8498.6262273089978</v>
      </c>
      <c r="O47" s="5">
        <f>VLOOKUP(VLOOKUP(3,E$113:$F$121,E$125,FALSE),$J$17:$P$25,E$124,FALSE)</f>
        <v>50359.464171726082</v>
      </c>
      <c r="P47" s="5"/>
      <c r="U47" s="17"/>
      <c r="V47" s="17"/>
      <c r="W47" s="17"/>
      <c r="X47" s="17"/>
      <c r="Y47" s="17"/>
    </row>
    <row r="48" spans="1:53" x14ac:dyDescent="0.25">
      <c r="A48" s="32">
        <v>2017</v>
      </c>
      <c r="B48" s="5">
        <f>VLOOKUP(VLOOKUP(3,A$130:$F$138,A$142,FALSE),$A$17:$G$25,A$141,FALSE)</f>
        <v>54789.003827783032</v>
      </c>
      <c r="C48" s="5">
        <f t="shared" si="55"/>
        <v>31000</v>
      </c>
      <c r="D48" s="5">
        <f>VLOOKUP(VLOOKUP(3,C$130:$F$138,C$142,FALSE),$A$17:$G$25,C$141,FALSE)</f>
        <v>4691.9784599000004</v>
      </c>
      <c r="E48" s="5">
        <f t="shared" si="56"/>
        <v>8497.0973780599998</v>
      </c>
      <c r="F48" s="5">
        <f>VLOOKUP(VLOOKUP(3,E$130:$F$138,E$142,FALSE),$A$17:$G$25,E$141,FALSE)</f>
        <v>50770.739054819082</v>
      </c>
      <c r="G48" s="5"/>
      <c r="J48" s="32">
        <v>2017</v>
      </c>
      <c r="K48" s="5">
        <f>VLOOKUP(VLOOKUP(3,A$113:$F$121,A$125,FALSE),$J$17:$P$25,A$124,FALSE)</f>
        <v>55771.216516756023</v>
      </c>
      <c r="L48" s="5">
        <f t="shared" si="57"/>
        <v>31000</v>
      </c>
      <c r="M48" s="5">
        <f>VLOOKUP(VLOOKUP(3,C$113:$F$121,C$125,FALSE),$J$17:$P$25,C$124,FALSE)</f>
        <v>4691.9784599000013</v>
      </c>
      <c r="N48" s="5">
        <f t="shared" si="58"/>
        <v>8498.6262273089978</v>
      </c>
      <c r="O48" s="5">
        <f>VLOOKUP(VLOOKUP(3,E$113:$F$121,E$125,FALSE),$J$17:$P$25,E$124,FALSE)</f>
        <v>50359.464171726082</v>
      </c>
      <c r="P48" s="5"/>
      <c r="U48" s="17"/>
      <c r="V48" s="17"/>
      <c r="W48" s="17"/>
      <c r="X48" s="17"/>
      <c r="Y48" s="17"/>
      <c r="AU48" s="17"/>
      <c r="AV48" s="17"/>
      <c r="AW48" s="17"/>
    </row>
    <row r="49" spans="19:49" x14ac:dyDescent="0.25">
      <c r="U49" s="17"/>
      <c r="V49" s="17"/>
      <c r="W49" s="17"/>
      <c r="X49" s="17"/>
      <c r="Y49" s="17"/>
      <c r="AU49" s="17"/>
      <c r="AV49" s="17"/>
      <c r="AW49" s="17"/>
    </row>
    <row r="50" spans="19:49" x14ac:dyDescent="0.25">
      <c r="S50" s="17"/>
      <c r="U50" s="17"/>
      <c r="V50" s="17"/>
      <c r="W50" s="17"/>
      <c r="X50" s="17"/>
      <c r="Y50" s="17"/>
      <c r="Z50" s="17"/>
      <c r="AE50" s="17"/>
      <c r="AO50"/>
      <c r="AQ50"/>
      <c r="AU50" s="17"/>
      <c r="AV50" s="17"/>
      <c r="AW50" s="17"/>
    </row>
    <row r="51" spans="19:49" x14ac:dyDescent="0.25">
      <c r="S51" s="17"/>
      <c r="U51" s="17"/>
      <c r="V51" s="17"/>
      <c r="W51" s="17"/>
      <c r="X51" s="17"/>
      <c r="Y51" s="17"/>
      <c r="Z51" s="17"/>
      <c r="AE51" s="17"/>
      <c r="AO51"/>
      <c r="AQ51"/>
      <c r="AU51" s="17"/>
      <c r="AV51" s="17"/>
      <c r="AW51" s="17"/>
    </row>
    <row r="52" spans="19:49" x14ac:dyDescent="0.25">
      <c r="S52" s="17"/>
      <c r="U52" s="17"/>
      <c r="V52" s="17"/>
      <c r="W52" s="17"/>
      <c r="X52" s="17"/>
      <c r="Y52" s="17"/>
      <c r="Z52" s="17"/>
      <c r="AE52" s="17"/>
      <c r="AO52"/>
      <c r="AQ52"/>
      <c r="AU52" s="17"/>
      <c r="AV52" s="17"/>
      <c r="AW52" s="17"/>
    </row>
    <row r="53" spans="19:49" x14ac:dyDescent="0.25">
      <c r="S53" s="17"/>
      <c r="U53" s="17"/>
      <c r="V53" s="17"/>
      <c r="W53" s="17"/>
      <c r="X53" s="17"/>
      <c r="Y53" s="17"/>
      <c r="Z53" s="17"/>
      <c r="AE53" s="17"/>
      <c r="AO53"/>
      <c r="AQ53"/>
      <c r="AU53" s="17"/>
      <c r="AV53" s="17"/>
      <c r="AW53" s="17"/>
    </row>
    <row r="54" spans="19:49" x14ac:dyDescent="0.25">
      <c r="U54" s="17"/>
      <c r="V54" s="17"/>
      <c r="W54" s="17"/>
      <c r="X54" s="17"/>
      <c r="Y54" s="17"/>
      <c r="Z54" s="17"/>
      <c r="AE54" s="17"/>
      <c r="AO54"/>
      <c r="AQ54"/>
      <c r="AU54" s="17"/>
      <c r="AV54" s="17"/>
      <c r="AW54" s="17"/>
    </row>
    <row r="55" spans="19:49" x14ac:dyDescent="0.25">
      <c r="U55" s="17"/>
      <c r="V55" s="17"/>
      <c r="W55" s="17"/>
      <c r="X55" s="17"/>
      <c r="Y55" s="17"/>
      <c r="Z55" s="17"/>
      <c r="AE55" s="17"/>
      <c r="AO55"/>
      <c r="AQ55"/>
      <c r="AU55" s="17"/>
      <c r="AV55" s="17"/>
      <c r="AW55" s="17"/>
    </row>
    <row r="56" spans="19:49" x14ac:dyDescent="0.25">
      <c r="U56" s="17"/>
      <c r="V56" s="17"/>
      <c r="W56" s="17"/>
      <c r="X56" s="17"/>
      <c r="Y56" s="17"/>
      <c r="Z56" s="17"/>
      <c r="AE56" s="17"/>
      <c r="AO56"/>
      <c r="AQ56"/>
      <c r="AU56" s="17"/>
      <c r="AV56" s="17"/>
      <c r="AW56" s="17"/>
    </row>
    <row r="57" spans="19:49" x14ac:dyDescent="0.25">
      <c r="U57" s="17"/>
      <c r="V57" s="17"/>
      <c r="W57" s="17"/>
      <c r="X57" s="17"/>
      <c r="Y57" s="17"/>
      <c r="Z57" s="17"/>
      <c r="AE57" s="17"/>
      <c r="AO57"/>
      <c r="AQ57"/>
      <c r="AU57" s="17"/>
      <c r="AV57" s="17"/>
      <c r="AW57" s="17"/>
    </row>
    <row r="58" spans="19:49" x14ac:dyDescent="0.25">
      <c r="U58" s="17"/>
      <c r="V58" s="17"/>
      <c r="W58" s="17"/>
      <c r="X58" s="17"/>
      <c r="Y58" s="17"/>
      <c r="Z58" s="17"/>
      <c r="AE58" s="17"/>
      <c r="AO58"/>
      <c r="AQ58"/>
      <c r="AU58" s="17"/>
      <c r="AV58" s="17"/>
      <c r="AW58" s="17"/>
    </row>
    <row r="59" spans="19:49" x14ac:dyDescent="0.25">
      <c r="U59" s="17"/>
      <c r="V59" s="17"/>
      <c r="W59" s="17"/>
      <c r="X59" s="17"/>
      <c r="Y59" s="17"/>
      <c r="Z59" s="17"/>
      <c r="AE59" s="17"/>
      <c r="AO59"/>
      <c r="AQ59"/>
      <c r="AU59" s="17"/>
      <c r="AV59" s="17"/>
      <c r="AW59" s="17"/>
    </row>
    <row r="60" spans="19:49" x14ac:dyDescent="0.25">
      <c r="U60" s="17"/>
      <c r="V60" s="17"/>
      <c r="W60" s="17"/>
      <c r="X60" s="17"/>
      <c r="AE60" s="17"/>
      <c r="AO60"/>
      <c r="AQ60"/>
      <c r="AU60" s="17"/>
      <c r="AV60" s="17"/>
      <c r="AW60" s="17"/>
    </row>
    <row r="61" spans="19:49" x14ac:dyDescent="0.25">
      <c r="U61" s="17"/>
      <c r="V61" s="17"/>
      <c r="W61" s="17"/>
      <c r="X61" s="17"/>
      <c r="AE61" s="17"/>
      <c r="AO61"/>
      <c r="AQ61"/>
      <c r="AU61" s="17"/>
      <c r="AV61" s="17"/>
      <c r="AW61" s="17"/>
    </row>
    <row r="62" spans="19:49" x14ac:dyDescent="0.25">
      <c r="U62" s="17"/>
      <c r="V62" s="17"/>
      <c r="W62" s="17"/>
      <c r="X62" s="17"/>
      <c r="AE62" s="17"/>
      <c r="AO62"/>
      <c r="AQ62"/>
      <c r="AU62" s="17"/>
      <c r="AV62" s="17"/>
      <c r="AW62" s="17"/>
    </row>
    <row r="63" spans="19:49" x14ac:dyDescent="0.25">
      <c r="U63" s="17"/>
      <c r="V63" s="17"/>
      <c r="W63" s="17"/>
      <c r="X63" s="17"/>
      <c r="AE63" s="17"/>
      <c r="AO63"/>
      <c r="AQ63"/>
      <c r="AU63" s="17"/>
      <c r="AV63" s="17"/>
      <c r="AW63" s="17"/>
    </row>
    <row r="64" spans="19:49" x14ac:dyDescent="0.25">
      <c r="U64" s="17"/>
      <c r="AE64" s="17"/>
      <c r="AO64"/>
      <c r="AQ64"/>
      <c r="AU64" s="17"/>
      <c r="AV64" s="17"/>
      <c r="AW64" s="17"/>
    </row>
    <row r="65" spans="21:49" x14ac:dyDescent="0.25">
      <c r="U65" s="17"/>
      <c r="AE65" s="17"/>
      <c r="AO65"/>
      <c r="AQ65"/>
      <c r="AU65" s="17"/>
      <c r="AV65" s="17"/>
      <c r="AW65" s="17"/>
    </row>
    <row r="66" spans="21:49" x14ac:dyDescent="0.25">
      <c r="U66" s="17"/>
      <c r="AE66" s="17"/>
      <c r="AO66"/>
      <c r="AQ66"/>
      <c r="AU66" s="17"/>
      <c r="AV66" s="17"/>
      <c r="AW66" s="17"/>
    </row>
    <row r="67" spans="21:49" x14ac:dyDescent="0.25">
      <c r="U67" s="17"/>
      <c r="AE67" s="17"/>
      <c r="AO67"/>
      <c r="AQ67"/>
      <c r="AU67" s="17"/>
      <c r="AV67" s="17"/>
      <c r="AW67" s="17"/>
    </row>
    <row r="68" spans="21:49" x14ac:dyDescent="0.25">
      <c r="U68" s="17"/>
      <c r="AE68" s="17"/>
      <c r="AO68"/>
      <c r="AQ68"/>
      <c r="AU68" s="17"/>
      <c r="AV68" s="17"/>
      <c r="AW68" s="17"/>
    </row>
    <row r="69" spans="21:49" x14ac:dyDescent="0.25">
      <c r="U69" s="17"/>
      <c r="AE69" s="17"/>
      <c r="AO69"/>
      <c r="AQ69"/>
      <c r="AU69" s="17"/>
      <c r="AV69" s="17"/>
      <c r="AW69" s="17"/>
    </row>
    <row r="70" spans="21:49" x14ac:dyDescent="0.25">
      <c r="U70" s="17"/>
      <c r="AE70" s="17"/>
      <c r="AO70"/>
      <c r="AQ70"/>
      <c r="AU70" s="17"/>
      <c r="AV70" s="17"/>
      <c r="AW70" s="17"/>
    </row>
    <row r="71" spans="21:49" x14ac:dyDescent="0.25">
      <c r="U71" s="17"/>
      <c r="AE71" s="17"/>
      <c r="AO71"/>
      <c r="AQ71"/>
      <c r="AU71" s="17"/>
      <c r="AV71" s="17"/>
      <c r="AW71" s="17"/>
    </row>
    <row r="72" spans="21:49" x14ac:dyDescent="0.25">
      <c r="U72" s="17"/>
      <c r="AE72" s="17"/>
      <c r="AO72"/>
      <c r="AQ72"/>
      <c r="AU72" s="17"/>
      <c r="AV72" s="17"/>
      <c r="AW72" s="17"/>
    </row>
    <row r="73" spans="21:49" x14ac:dyDescent="0.25">
      <c r="U73" s="17"/>
      <c r="AE73" s="17"/>
      <c r="AO73"/>
      <c r="AQ73"/>
      <c r="AU73" s="17"/>
      <c r="AV73" s="17"/>
      <c r="AW73" s="17"/>
    </row>
    <row r="74" spans="21:49" x14ac:dyDescent="0.25">
      <c r="U74" s="17"/>
      <c r="AE74" s="17"/>
      <c r="AO74"/>
      <c r="AQ74"/>
      <c r="AU74" s="17"/>
      <c r="AV74" s="17"/>
      <c r="AW74" s="17"/>
    </row>
    <row r="75" spans="21:49" x14ac:dyDescent="0.25">
      <c r="U75" s="17"/>
      <c r="AE75" s="17"/>
      <c r="AO75"/>
      <c r="AQ75"/>
      <c r="AU75" s="17"/>
      <c r="AV75" s="17"/>
      <c r="AW75" s="17"/>
    </row>
    <row r="76" spans="21:49" x14ac:dyDescent="0.25">
      <c r="U76" s="17"/>
      <c r="AE76" s="17"/>
      <c r="AO76"/>
      <c r="AQ76"/>
      <c r="AU76" s="17"/>
      <c r="AV76" s="17"/>
      <c r="AW76" s="17"/>
    </row>
    <row r="77" spans="21:49" x14ac:dyDescent="0.25">
      <c r="U77" s="17"/>
      <c r="AE77" s="17"/>
      <c r="AO77"/>
      <c r="AQ77"/>
      <c r="AU77" s="17"/>
      <c r="AV77" s="17"/>
      <c r="AW77" s="17"/>
    </row>
    <row r="78" spans="21:49" x14ac:dyDescent="0.25">
      <c r="U78" s="17"/>
      <c r="AE78" s="17"/>
      <c r="AI78" s="370" t="s">
        <v>22</v>
      </c>
      <c r="AJ78" s="371"/>
      <c r="AK78" s="371"/>
      <c r="AL78" s="371"/>
      <c r="AM78" s="371"/>
      <c r="AN78" s="371"/>
      <c r="AO78" s="371"/>
      <c r="AP78" s="371"/>
      <c r="AQ78" s="371"/>
      <c r="AR78" s="372"/>
      <c r="AU78" s="17"/>
      <c r="AV78" s="17"/>
      <c r="AW78" s="17"/>
    </row>
    <row r="79" spans="21:49" x14ac:dyDescent="0.25">
      <c r="U79" s="17"/>
      <c r="AE79" s="17"/>
      <c r="AI79" s="111" t="s">
        <v>20</v>
      </c>
      <c r="AJ79" s="112" t="s">
        <v>94</v>
      </c>
      <c r="AK79" s="112" t="s">
        <v>95</v>
      </c>
      <c r="AL79" s="112" t="s">
        <v>101</v>
      </c>
      <c r="AM79" s="113" t="s">
        <v>50</v>
      </c>
      <c r="AN79" s="112" t="s">
        <v>45</v>
      </c>
      <c r="AO79" s="112" t="s">
        <v>98</v>
      </c>
      <c r="AP79" s="112" t="s">
        <v>97</v>
      </c>
      <c r="AQ79" s="112" t="s">
        <v>99</v>
      </c>
      <c r="AR79" s="114" t="s">
        <v>103</v>
      </c>
      <c r="AU79" s="17"/>
      <c r="AV79" s="17"/>
      <c r="AW79" s="17"/>
    </row>
    <row r="80" spans="21:49" x14ac:dyDescent="0.25">
      <c r="U80" s="17"/>
      <c r="AE80" s="17"/>
      <c r="AI80" s="115">
        <v>1986</v>
      </c>
      <c r="AJ80" s="37"/>
      <c r="AK80" s="37"/>
      <c r="AL80" s="37"/>
      <c r="AM80" s="94">
        <v>762.27792819999991</v>
      </c>
      <c r="AN80" s="37">
        <v>762.27792819999991</v>
      </c>
      <c r="AO80" s="37">
        <f t="shared" ref="AO80:AO111" si="59">AL80+AN80</f>
        <v>762.27792819999991</v>
      </c>
      <c r="AP80" s="37">
        <f t="shared" ref="AP80:AP111" si="60">AM80-AO80</f>
        <v>0</v>
      </c>
      <c r="AQ80" s="116">
        <f t="shared" ref="AQ80:AQ111" si="61">AP80/AO80</f>
        <v>0</v>
      </c>
      <c r="AR80" s="117">
        <f>AP80/$AO$112</f>
        <v>0</v>
      </c>
      <c r="AU80" s="17"/>
      <c r="AV80" s="17"/>
      <c r="AW80" s="17"/>
    </row>
    <row r="81" spans="21:49" x14ac:dyDescent="0.25">
      <c r="U81" s="17"/>
      <c r="AE81" s="17"/>
      <c r="AI81" s="115">
        <v>1987</v>
      </c>
      <c r="AJ81" s="37"/>
      <c r="AK81" s="37"/>
      <c r="AL81" s="37"/>
      <c r="AM81" s="94">
        <v>396.35842020000001</v>
      </c>
      <c r="AN81" s="37">
        <v>396.35842020000001</v>
      </c>
      <c r="AO81" s="37">
        <f t="shared" si="59"/>
        <v>396.35842020000001</v>
      </c>
      <c r="AP81" s="37">
        <f t="shared" si="60"/>
        <v>0</v>
      </c>
      <c r="AQ81" s="116">
        <f t="shared" si="61"/>
        <v>0</v>
      </c>
      <c r="AR81" s="117">
        <f t="shared" ref="AR81:AR111" si="62">AP81/$AO$112</f>
        <v>0</v>
      </c>
      <c r="AU81" s="17"/>
      <c r="AV81" s="17"/>
      <c r="AW81" s="17"/>
    </row>
    <row r="82" spans="21:49" x14ac:dyDescent="0.25">
      <c r="U82" s="17"/>
      <c r="AE82" s="17"/>
      <c r="AI82" s="118">
        <v>1988</v>
      </c>
      <c r="AJ82" s="128"/>
      <c r="AK82" s="128"/>
      <c r="AL82" s="128"/>
      <c r="AM82" s="94">
        <v>1141.4338546000001</v>
      </c>
      <c r="AN82" s="128">
        <v>1141.4338546000001</v>
      </c>
      <c r="AO82" s="128">
        <f t="shared" si="59"/>
        <v>1141.4338546000001</v>
      </c>
      <c r="AP82" s="128">
        <f t="shared" si="60"/>
        <v>0</v>
      </c>
      <c r="AQ82" s="129">
        <f t="shared" si="61"/>
        <v>0</v>
      </c>
      <c r="AR82" s="130">
        <f t="shared" si="62"/>
        <v>0</v>
      </c>
      <c r="AU82" s="17"/>
      <c r="AV82" s="17"/>
      <c r="AW82" s="17"/>
    </row>
    <row r="83" spans="21:49" x14ac:dyDescent="0.25">
      <c r="U83" s="17"/>
      <c r="AE83" s="17"/>
      <c r="AI83" s="115">
        <v>1989</v>
      </c>
      <c r="AJ83" s="37"/>
      <c r="AK83" s="37"/>
      <c r="AL83" s="37"/>
      <c r="AM83" s="94">
        <v>218.87268800000001</v>
      </c>
      <c r="AN83" s="37">
        <v>218.87268800000001</v>
      </c>
      <c r="AO83" s="37">
        <f t="shared" si="59"/>
        <v>218.87268800000001</v>
      </c>
      <c r="AP83" s="37">
        <f t="shared" si="60"/>
        <v>0</v>
      </c>
      <c r="AQ83" s="116">
        <f t="shared" si="61"/>
        <v>0</v>
      </c>
      <c r="AR83" s="117">
        <f t="shared" si="62"/>
        <v>0</v>
      </c>
      <c r="AU83" s="17"/>
      <c r="AV83" s="17"/>
      <c r="AW83" s="17"/>
    </row>
    <row r="84" spans="21:49" x14ac:dyDescent="0.25">
      <c r="U84" s="17"/>
      <c r="AE84" s="17"/>
      <c r="AI84" s="118">
        <v>1990</v>
      </c>
      <c r="AJ84" s="128">
        <v>1</v>
      </c>
      <c r="AK84" s="128">
        <v>0</v>
      </c>
      <c r="AL84" s="128">
        <v>779.72427042931133</v>
      </c>
      <c r="AM84" s="94">
        <v>441.75322702</v>
      </c>
      <c r="AN84" s="128">
        <v>149.47188</v>
      </c>
      <c r="AO84" s="128">
        <f t="shared" si="59"/>
        <v>929.19615042931127</v>
      </c>
      <c r="AP84" s="128">
        <f t="shared" si="60"/>
        <v>-487.44292340931128</v>
      </c>
      <c r="AQ84" s="129">
        <f t="shared" si="61"/>
        <v>-0.52458560357153949</v>
      </c>
      <c r="AR84" s="130">
        <f t="shared" si="62"/>
        <v>-7.2645221661317635E-2</v>
      </c>
      <c r="AU84" s="17"/>
      <c r="AV84" s="17"/>
      <c r="AW84" s="17"/>
    </row>
    <row r="85" spans="21:49" x14ac:dyDescent="0.25">
      <c r="U85" s="17"/>
      <c r="AE85" s="17"/>
      <c r="AI85" s="118">
        <v>1991</v>
      </c>
      <c r="AJ85" s="128"/>
      <c r="AK85" s="128"/>
      <c r="AL85" s="128"/>
      <c r="AM85" s="94">
        <v>1438.5015000000001</v>
      </c>
      <c r="AN85" s="128">
        <v>1438.5015000000001</v>
      </c>
      <c r="AO85" s="128">
        <f t="shared" si="59"/>
        <v>1438.5015000000001</v>
      </c>
      <c r="AP85" s="128">
        <f t="shared" si="60"/>
        <v>0</v>
      </c>
      <c r="AQ85" s="129">
        <f t="shared" si="61"/>
        <v>0</v>
      </c>
      <c r="AR85" s="130">
        <f t="shared" si="62"/>
        <v>0</v>
      </c>
      <c r="AU85" s="17"/>
      <c r="AV85" s="17"/>
      <c r="AW85" s="17"/>
    </row>
    <row r="86" spans="21:49" x14ac:dyDescent="0.25">
      <c r="U86" s="17"/>
      <c r="AE86" s="17"/>
      <c r="AI86" s="118">
        <v>1992</v>
      </c>
      <c r="AJ86" s="128">
        <v>4</v>
      </c>
      <c r="AK86" s="128">
        <v>0</v>
      </c>
      <c r="AL86" s="128">
        <v>7153.7843178667226</v>
      </c>
      <c r="AM86" s="94">
        <v>10720.222391900004</v>
      </c>
      <c r="AN86" s="128">
        <v>4231.0242279999993</v>
      </c>
      <c r="AO86" s="128">
        <f t="shared" si="59"/>
        <v>11384.808545866723</v>
      </c>
      <c r="AP86" s="128">
        <f t="shared" si="60"/>
        <v>-664.58615396671848</v>
      </c>
      <c r="AQ86" s="129">
        <f t="shared" si="61"/>
        <v>-5.8374820383606522E-2</v>
      </c>
      <c r="AR86" s="130">
        <f t="shared" si="62"/>
        <v>-9.9045459784866771E-2</v>
      </c>
      <c r="AU86" s="17"/>
      <c r="AV86" s="17"/>
      <c r="AW86" s="17"/>
    </row>
    <row r="87" spans="21:49" x14ac:dyDescent="0.25">
      <c r="U87" s="17"/>
      <c r="AE87" s="17"/>
      <c r="AI87" s="118">
        <v>1993</v>
      </c>
      <c r="AJ87" s="128">
        <v>15</v>
      </c>
      <c r="AK87" s="128">
        <v>0</v>
      </c>
      <c r="AL87" s="128">
        <v>6411.0177938115485</v>
      </c>
      <c r="AM87" s="94">
        <v>8342.6836241799992</v>
      </c>
      <c r="AN87" s="128">
        <v>4035.7628059999997</v>
      </c>
      <c r="AO87" s="128">
        <f t="shared" si="59"/>
        <v>10446.780599811547</v>
      </c>
      <c r="AP87" s="128">
        <f t="shared" si="60"/>
        <v>-2104.096975631548</v>
      </c>
      <c r="AQ87" s="129">
        <f t="shared" si="61"/>
        <v>-0.20141104290727657</v>
      </c>
      <c r="AR87" s="130">
        <f t="shared" si="62"/>
        <v>-0.31358049086561424</v>
      </c>
      <c r="AU87" s="17"/>
      <c r="AV87" s="17"/>
      <c r="AW87" s="17"/>
    </row>
    <row r="88" spans="21:49" x14ac:dyDescent="0.25">
      <c r="U88" s="17"/>
      <c r="AE88" s="17"/>
      <c r="AI88" s="118">
        <v>1994</v>
      </c>
      <c r="AJ88" s="128">
        <v>8</v>
      </c>
      <c r="AK88" s="128">
        <v>2</v>
      </c>
      <c r="AL88" s="128">
        <v>71022.71494139111</v>
      </c>
      <c r="AM88" s="94">
        <v>24596.859115310006</v>
      </c>
      <c r="AN88" s="128">
        <v>2756.3011500000002</v>
      </c>
      <c r="AO88" s="128">
        <f t="shared" si="59"/>
        <v>73779.01609139111</v>
      </c>
      <c r="AP88" s="128">
        <f t="shared" si="60"/>
        <v>-49182.156976081103</v>
      </c>
      <c r="AQ88" s="129">
        <f t="shared" si="61"/>
        <v>-0.66661443295961642</v>
      </c>
      <c r="AR88" s="130">
        <f t="shared" si="62"/>
        <v>-7.3297785724729252</v>
      </c>
      <c r="AU88" s="17"/>
      <c r="AV88" s="17"/>
      <c r="AW88" s="17"/>
    </row>
    <row r="89" spans="21:49" x14ac:dyDescent="0.25">
      <c r="U89" s="17"/>
      <c r="AE89" s="17"/>
      <c r="AI89" s="118">
        <v>1995</v>
      </c>
      <c r="AJ89" s="128">
        <v>2</v>
      </c>
      <c r="AK89" s="128">
        <v>0</v>
      </c>
      <c r="AL89" s="128">
        <v>27692.957491921654</v>
      </c>
      <c r="AM89" s="94">
        <v>7364.8616677000018</v>
      </c>
      <c r="AN89" s="128">
        <v>2219.2385439999998</v>
      </c>
      <c r="AO89" s="128">
        <f t="shared" si="59"/>
        <v>29912.196035921654</v>
      </c>
      <c r="AP89" s="128">
        <f t="shared" si="60"/>
        <v>-22547.334368221651</v>
      </c>
      <c r="AQ89" s="129">
        <f t="shared" si="61"/>
        <v>-0.7537839863427106</v>
      </c>
      <c r="AR89" s="130">
        <f t="shared" si="62"/>
        <v>-3.3603033799218722</v>
      </c>
      <c r="AU89" s="17"/>
      <c r="AV89" s="17"/>
      <c r="AW89" s="17"/>
    </row>
    <row r="90" spans="21:49" x14ac:dyDescent="0.25">
      <c r="U90" s="17"/>
      <c r="AE90" s="17"/>
      <c r="AI90" s="118">
        <v>1996</v>
      </c>
      <c r="AJ90" s="128"/>
      <c r="AK90" s="128"/>
      <c r="AL90" s="128"/>
      <c r="AM90" s="94">
        <v>3819.3151780000003</v>
      </c>
      <c r="AN90" s="128">
        <v>3819.3151780000003</v>
      </c>
      <c r="AO90" s="128">
        <f t="shared" si="59"/>
        <v>3819.3151780000003</v>
      </c>
      <c r="AP90" s="128">
        <f t="shared" si="60"/>
        <v>0</v>
      </c>
      <c r="AQ90" s="129">
        <f t="shared" si="61"/>
        <v>0</v>
      </c>
      <c r="AR90" s="130">
        <f t="shared" si="62"/>
        <v>0</v>
      </c>
      <c r="AU90" s="17"/>
      <c r="AV90" s="17"/>
      <c r="AW90" s="17"/>
    </row>
    <row r="91" spans="21:49" x14ac:dyDescent="0.25">
      <c r="U91" s="17"/>
      <c r="AE91" s="17"/>
      <c r="AI91" s="118">
        <v>1997</v>
      </c>
      <c r="AJ91" s="128"/>
      <c r="AK91" s="128"/>
      <c r="AL91" s="128"/>
      <c r="AM91" s="94">
        <v>2738.7745800000002</v>
      </c>
      <c r="AN91" s="128">
        <v>2738.7745800000002</v>
      </c>
      <c r="AO91" s="128">
        <f t="shared" si="59"/>
        <v>2738.7745800000002</v>
      </c>
      <c r="AP91" s="128">
        <f t="shared" si="60"/>
        <v>0</v>
      </c>
      <c r="AQ91" s="129">
        <f t="shared" si="61"/>
        <v>0</v>
      </c>
      <c r="AR91" s="130">
        <f t="shared" si="62"/>
        <v>0</v>
      </c>
      <c r="AU91" s="17"/>
      <c r="AV91" s="17"/>
      <c r="AW91" s="17"/>
    </row>
    <row r="92" spans="21:49" x14ac:dyDescent="0.25">
      <c r="U92" s="17"/>
      <c r="AE92" s="17"/>
      <c r="AI92" s="118">
        <v>1998</v>
      </c>
      <c r="AJ92" s="128">
        <v>2</v>
      </c>
      <c r="AK92" s="128">
        <v>0</v>
      </c>
      <c r="AL92" s="128">
        <v>978.47659147352942</v>
      </c>
      <c r="AM92" s="94">
        <v>2515.8117148900001</v>
      </c>
      <c r="AN92" s="128">
        <v>2054.8856139999998</v>
      </c>
      <c r="AO92" s="128">
        <f t="shared" si="59"/>
        <v>3033.3622054735292</v>
      </c>
      <c r="AP92" s="128">
        <f t="shared" si="60"/>
        <v>-517.55049058352915</v>
      </c>
      <c r="AQ92" s="129">
        <f t="shared" si="61"/>
        <v>-0.17061941684696894</v>
      </c>
      <c r="AR92" s="130">
        <f t="shared" si="62"/>
        <v>-7.7132251395499396E-2</v>
      </c>
      <c r="AU92" s="17"/>
      <c r="AV92" s="17"/>
      <c r="AW92" s="17"/>
    </row>
    <row r="93" spans="21:49" x14ac:dyDescent="0.25">
      <c r="U93" s="17"/>
      <c r="AE93" s="17"/>
      <c r="AI93" s="118">
        <v>1999</v>
      </c>
      <c r="AJ93" s="128">
        <v>10</v>
      </c>
      <c r="AK93" s="128">
        <v>0</v>
      </c>
      <c r="AL93" s="128">
        <v>20270.368250150459</v>
      </c>
      <c r="AM93" s="94">
        <v>13064.292188499998</v>
      </c>
      <c r="AN93" s="128">
        <v>1601.928498</v>
      </c>
      <c r="AO93" s="128">
        <f t="shared" si="59"/>
        <v>21872.29674815046</v>
      </c>
      <c r="AP93" s="128">
        <f t="shared" si="60"/>
        <v>-8808.0045596504624</v>
      </c>
      <c r="AQ93" s="129">
        <f t="shared" si="61"/>
        <v>-0.40270140173529212</v>
      </c>
      <c r="AR93" s="130">
        <f t="shared" si="62"/>
        <v>-1.3126858815681421</v>
      </c>
      <c r="AU93" s="17"/>
      <c r="AV93" s="17"/>
      <c r="AW93" s="17"/>
    </row>
    <row r="94" spans="21:49" x14ac:dyDescent="0.25">
      <c r="U94" s="17"/>
      <c r="AE94" s="17"/>
      <c r="AI94" s="118">
        <v>2000</v>
      </c>
      <c r="AJ94" s="128">
        <v>1</v>
      </c>
      <c r="AK94" s="128">
        <v>0</v>
      </c>
      <c r="AL94" s="128">
        <v>1794.9755110739627</v>
      </c>
      <c r="AM94" s="94">
        <v>3312.8780983000001</v>
      </c>
      <c r="AN94" s="128">
        <v>2298.8246040000004</v>
      </c>
      <c r="AO94" s="128">
        <f t="shared" si="59"/>
        <v>4093.8001150739628</v>
      </c>
      <c r="AP94" s="128">
        <f t="shared" si="60"/>
        <v>-780.9220167739627</v>
      </c>
      <c r="AQ94" s="129">
        <f t="shared" si="61"/>
        <v>-0.19075724139498046</v>
      </c>
      <c r="AR94" s="130">
        <f t="shared" si="62"/>
        <v>-0.11638337594884046</v>
      </c>
      <c r="AU94" s="17"/>
      <c r="AV94" s="17"/>
      <c r="AW94" s="17"/>
    </row>
    <row r="95" spans="21:49" x14ac:dyDescent="0.25">
      <c r="U95" s="17"/>
      <c r="AE95" s="17"/>
      <c r="AI95" s="118">
        <v>2001</v>
      </c>
      <c r="AJ95" s="128">
        <v>1</v>
      </c>
      <c r="AK95" s="128">
        <v>0</v>
      </c>
      <c r="AL95" s="128">
        <v>1329.5245052777232</v>
      </c>
      <c r="AM95" s="94">
        <v>4691.9784599000013</v>
      </c>
      <c r="AN95" s="128">
        <v>3118.6271600000005</v>
      </c>
      <c r="AO95" s="128">
        <f t="shared" si="59"/>
        <v>4448.1516652777236</v>
      </c>
      <c r="AP95" s="128">
        <f t="shared" si="60"/>
        <v>243.8267946222777</v>
      </c>
      <c r="AQ95" s="129">
        <f t="shared" si="61"/>
        <v>5.4815305990033994E-2</v>
      </c>
      <c r="AR95" s="130">
        <f t="shared" si="62"/>
        <v>3.6338308941722505E-2</v>
      </c>
      <c r="AU95" s="17"/>
      <c r="AV95" s="17"/>
      <c r="AW95" s="17"/>
    </row>
    <row r="96" spans="21:49" x14ac:dyDescent="0.25">
      <c r="U96" s="17"/>
      <c r="AE96" s="17"/>
      <c r="AI96" s="118">
        <v>2002</v>
      </c>
      <c r="AJ96" s="128">
        <v>3</v>
      </c>
      <c r="AK96" s="128">
        <v>0</v>
      </c>
      <c r="AL96" s="128">
        <v>3658.1255868567632</v>
      </c>
      <c r="AM96" s="94">
        <v>4403.3257483200014</v>
      </c>
      <c r="AN96" s="128">
        <v>831.00192400000014</v>
      </c>
      <c r="AO96" s="128">
        <f t="shared" si="59"/>
        <v>4489.1275108567634</v>
      </c>
      <c r="AP96" s="128">
        <f t="shared" si="60"/>
        <v>-85.801762536761998</v>
      </c>
      <c r="AQ96" s="129">
        <f t="shared" si="61"/>
        <v>-1.9113238002095974E-2</v>
      </c>
      <c r="AR96" s="130">
        <f t="shared" si="62"/>
        <v>-1.2787318799950698E-2</v>
      </c>
      <c r="AU96" s="17"/>
      <c r="AV96" s="17"/>
      <c r="AW96" s="17"/>
    </row>
    <row r="97" spans="1:48" x14ac:dyDescent="0.25">
      <c r="U97" s="17"/>
      <c r="AE97" s="17"/>
      <c r="AI97" s="118">
        <v>2003</v>
      </c>
      <c r="AJ97" s="128">
        <v>4</v>
      </c>
      <c r="AK97" s="128">
        <v>0</v>
      </c>
      <c r="AL97" s="128">
        <v>2847.8212018486993</v>
      </c>
      <c r="AM97" s="94">
        <v>4372.7581378839996</v>
      </c>
      <c r="AN97" s="128">
        <v>2543.0281460000006</v>
      </c>
      <c r="AO97" s="128">
        <f t="shared" si="59"/>
        <v>5390.8493478486998</v>
      </c>
      <c r="AP97" s="128">
        <f t="shared" si="60"/>
        <v>-1018.0912099647003</v>
      </c>
      <c r="AQ97" s="129">
        <f t="shared" si="61"/>
        <v>-0.18885543710676778</v>
      </c>
      <c r="AR97" s="130">
        <f t="shared" si="62"/>
        <v>-0.15172948065802594</v>
      </c>
      <c r="AU97" s="17"/>
      <c r="AV97" s="17"/>
    </row>
    <row r="98" spans="1:48" x14ac:dyDescent="0.25">
      <c r="U98" s="17"/>
      <c r="AE98" s="17"/>
      <c r="AI98" s="118">
        <v>2004</v>
      </c>
      <c r="AJ98" s="128">
        <v>1</v>
      </c>
      <c r="AK98" s="128">
        <v>0</v>
      </c>
      <c r="AL98" s="128">
        <v>87.322748103568046</v>
      </c>
      <c r="AM98" s="94">
        <v>2598.3833321689995</v>
      </c>
      <c r="AN98" s="128">
        <v>2558.4382999999998</v>
      </c>
      <c r="AO98" s="128">
        <f t="shared" si="59"/>
        <v>2645.7610481035676</v>
      </c>
      <c r="AP98" s="128">
        <f t="shared" si="60"/>
        <v>-47.377715934568187</v>
      </c>
      <c r="AQ98" s="129">
        <f t="shared" si="61"/>
        <v>-1.7907027533165799E-2</v>
      </c>
      <c r="AR98" s="130">
        <f t="shared" si="62"/>
        <v>-7.0608567907827803E-3</v>
      </c>
      <c r="AU98" s="17"/>
      <c r="AV98" s="17"/>
    </row>
    <row r="99" spans="1:48" x14ac:dyDescent="0.25">
      <c r="U99" s="17"/>
      <c r="AE99" s="17"/>
      <c r="AI99" s="118">
        <v>2005</v>
      </c>
      <c r="AJ99" s="128">
        <v>7</v>
      </c>
      <c r="AK99" s="128">
        <v>0</v>
      </c>
      <c r="AL99" s="128">
        <v>8536.8771893785852</v>
      </c>
      <c r="AM99" s="94">
        <v>5722.2640606470004</v>
      </c>
      <c r="AN99" s="128">
        <v>206.50488200000001</v>
      </c>
      <c r="AO99" s="128">
        <f t="shared" si="59"/>
        <v>8743.3820713785844</v>
      </c>
      <c r="AP99" s="128">
        <f t="shared" si="60"/>
        <v>-3021.118010731584</v>
      </c>
      <c r="AQ99" s="129">
        <f t="shared" si="61"/>
        <v>-0.34553196761482013</v>
      </c>
      <c r="AR99" s="130">
        <f t="shared" si="62"/>
        <v>-0.45024715102962659</v>
      </c>
      <c r="AU99" s="17"/>
      <c r="AV99" s="17"/>
    </row>
    <row r="100" spans="1:48" x14ac:dyDescent="0.25">
      <c r="U100" s="17"/>
      <c r="AE100" s="17"/>
      <c r="AI100" s="118">
        <v>2006</v>
      </c>
      <c r="AJ100" s="128">
        <v>3</v>
      </c>
      <c r="AK100" s="128">
        <v>0</v>
      </c>
      <c r="AL100" s="128">
        <v>3525.0735224074429</v>
      </c>
      <c r="AM100" s="94">
        <v>4677.2138624029994</v>
      </c>
      <c r="AN100" s="128">
        <v>1508.695964</v>
      </c>
      <c r="AO100" s="128">
        <f t="shared" si="59"/>
        <v>5033.7694864074429</v>
      </c>
      <c r="AP100" s="128">
        <f t="shared" si="60"/>
        <v>-356.55562400444342</v>
      </c>
      <c r="AQ100" s="129">
        <f t="shared" si="61"/>
        <v>-7.0832727832937384E-2</v>
      </c>
      <c r="AR100" s="130">
        <f t="shared" si="62"/>
        <v>-5.3138657053888469E-2</v>
      </c>
      <c r="AU100" s="17"/>
      <c r="AV100" s="17"/>
    </row>
    <row r="101" spans="1:48" x14ac:dyDescent="0.25">
      <c r="U101" s="17"/>
      <c r="AE101" s="17"/>
      <c r="AI101" s="118">
        <v>2007</v>
      </c>
      <c r="AJ101" s="128">
        <v>2</v>
      </c>
      <c r="AK101" s="128">
        <v>0</v>
      </c>
      <c r="AL101" s="128">
        <v>103.66664457198189</v>
      </c>
      <c r="AM101" s="94">
        <v>959.28601970799991</v>
      </c>
      <c r="AN101" s="128">
        <v>884.98375959999998</v>
      </c>
      <c r="AO101" s="128">
        <f t="shared" si="59"/>
        <v>988.6504041719819</v>
      </c>
      <c r="AP101" s="128">
        <f t="shared" si="60"/>
        <v>-29.364384463981992</v>
      </c>
      <c r="AQ101" s="129">
        <f t="shared" si="61"/>
        <v>-2.9701484306351302E-2</v>
      </c>
      <c r="AR101" s="130">
        <f t="shared" si="62"/>
        <v>-4.3762707711788168E-3</v>
      </c>
      <c r="AU101" s="17"/>
      <c r="AV101" s="17"/>
    </row>
    <row r="102" spans="1:48" x14ac:dyDescent="0.25">
      <c r="U102" s="17"/>
      <c r="AE102" s="17"/>
      <c r="AI102" s="115">
        <v>2008</v>
      </c>
      <c r="AJ102" s="37"/>
      <c r="AK102" s="37"/>
      <c r="AL102" s="37"/>
      <c r="AM102" s="94">
        <v>684.56798279999998</v>
      </c>
      <c r="AN102" s="37">
        <v>684.56798279999998</v>
      </c>
      <c r="AO102" s="37">
        <f t="shared" si="59"/>
        <v>684.56798279999998</v>
      </c>
      <c r="AP102" s="37">
        <f t="shared" si="60"/>
        <v>0</v>
      </c>
      <c r="AQ102" s="116">
        <f t="shared" si="61"/>
        <v>0</v>
      </c>
      <c r="AR102" s="117">
        <f t="shared" si="62"/>
        <v>0</v>
      </c>
      <c r="AU102" s="17"/>
    </row>
    <row r="103" spans="1:48" x14ac:dyDescent="0.25">
      <c r="U103" s="17"/>
      <c r="AE103" s="17"/>
      <c r="AI103" s="118">
        <v>2009</v>
      </c>
      <c r="AJ103" s="37">
        <v>1</v>
      </c>
      <c r="AK103" s="37">
        <v>0</v>
      </c>
      <c r="AL103" s="37">
        <v>785.17382468316214</v>
      </c>
      <c r="AM103" s="94">
        <v>1256.5499736999996</v>
      </c>
      <c r="AN103" s="37">
        <v>89.244412600000004</v>
      </c>
      <c r="AO103" s="37">
        <f t="shared" si="59"/>
        <v>874.41823728316217</v>
      </c>
      <c r="AP103" s="37">
        <f t="shared" si="60"/>
        <v>382.13173641683738</v>
      </c>
      <c r="AQ103" s="116">
        <f t="shared" si="61"/>
        <v>0.43701254173761239</v>
      </c>
      <c r="AR103" s="117">
        <f t="shared" si="62"/>
        <v>5.6950349184810983E-2</v>
      </c>
      <c r="AU103" s="17"/>
    </row>
    <row r="104" spans="1:48" x14ac:dyDescent="0.25">
      <c r="AE104" s="17"/>
      <c r="AI104" s="115">
        <v>2010</v>
      </c>
      <c r="AJ104" s="37">
        <v>1</v>
      </c>
      <c r="AK104" s="37">
        <v>0</v>
      </c>
      <c r="AL104" s="37">
        <v>1294.8853708716485</v>
      </c>
      <c r="AM104" s="94">
        <v>1630.9688555</v>
      </c>
      <c r="AN104" s="37">
        <v>291.77881000000002</v>
      </c>
      <c r="AO104" s="37">
        <f t="shared" si="59"/>
        <v>1586.6641808716486</v>
      </c>
      <c r="AP104" s="37">
        <f t="shared" si="60"/>
        <v>44.304674628351449</v>
      </c>
      <c r="AQ104" s="116">
        <f t="shared" si="61"/>
        <v>2.7923158008150324E-2</v>
      </c>
      <c r="AR104" s="117">
        <f t="shared" si="62"/>
        <v>6.6028713402953984E-3</v>
      </c>
      <c r="AU104" s="17"/>
    </row>
    <row r="105" spans="1:48" x14ac:dyDescent="0.25">
      <c r="M105" s="370" t="s">
        <v>8</v>
      </c>
      <c r="N105" s="371"/>
      <c r="O105" s="371"/>
      <c r="P105" s="371"/>
      <c r="Q105" s="371"/>
      <c r="R105" s="371"/>
      <c r="S105" s="371"/>
      <c r="T105" s="371"/>
      <c r="U105" s="371"/>
      <c r="V105" s="372"/>
      <c r="X105" s="370" t="s">
        <v>9</v>
      </c>
      <c r="Y105" s="371"/>
      <c r="Z105" s="371"/>
      <c r="AA105" s="371"/>
      <c r="AB105" s="371"/>
      <c r="AC105" s="371"/>
      <c r="AD105" s="371"/>
      <c r="AE105" s="371"/>
      <c r="AF105" s="371"/>
      <c r="AG105" s="372"/>
      <c r="AI105" s="115">
        <v>2011</v>
      </c>
      <c r="AJ105" s="37"/>
      <c r="AK105" s="37"/>
      <c r="AL105" s="37"/>
      <c r="AM105" s="94">
        <v>436.62103000000002</v>
      </c>
      <c r="AN105" s="37">
        <v>436.62103000000002</v>
      </c>
      <c r="AO105" s="37">
        <f t="shared" si="59"/>
        <v>436.62103000000002</v>
      </c>
      <c r="AP105" s="37">
        <f t="shared" si="60"/>
        <v>0</v>
      </c>
      <c r="AQ105" s="116">
        <f t="shared" si="61"/>
        <v>0</v>
      </c>
      <c r="AR105" s="117">
        <f t="shared" si="62"/>
        <v>0</v>
      </c>
      <c r="AU105" s="17"/>
    </row>
    <row r="106" spans="1:48" x14ac:dyDescent="0.25">
      <c r="M106" s="111" t="s">
        <v>20</v>
      </c>
      <c r="N106" s="112" t="s">
        <v>94</v>
      </c>
      <c r="O106" s="112" t="s">
        <v>95</v>
      </c>
      <c r="P106" s="112" t="s">
        <v>101</v>
      </c>
      <c r="Q106" s="113" t="s">
        <v>50</v>
      </c>
      <c r="R106" s="112" t="s">
        <v>45</v>
      </c>
      <c r="S106" s="112" t="s">
        <v>98</v>
      </c>
      <c r="T106" s="112" t="s">
        <v>97</v>
      </c>
      <c r="U106" s="112" t="s">
        <v>99</v>
      </c>
      <c r="V106" s="114" t="s">
        <v>103</v>
      </c>
      <c r="X106" s="111" t="s">
        <v>20</v>
      </c>
      <c r="Y106" s="112" t="s">
        <v>94</v>
      </c>
      <c r="Z106" s="112" t="s">
        <v>95</v>
      </c>
      <c r="AA106" s="112" t="s">
        <v>101</v>
      </c>
      <c r="AB106" s="113" t="s">
        <v>50</v>
      </c>
      <c r="AC106" s="112" t="s">
        <v>45</v>
      </c>
      <c r="AD106" s="112" t="s">
        <v>98</v>
      </c>
      <c r="AE106" s="112" t="s">
        <v>97</v>
      </c>
      <c r="AF106" s="112" t="s">
        <v>99</v>
      </c>
      <c r="AG106" s="114" t="s">
        <v>103</v>
      </c>
      <c r="AI106" s="115">
        <v>2012</v>
      </c>
      <c r="AJ106" s="37">
        <v>9</v>
      </c>
      <c r="AK106" s="37">
        <v>0</v>
      </c>
      <c r="AL106" s="37">
        <v>7769.8126857188081</v>
      </c>
      <c r="AM106" s="94">
        <v>6916.9066391900005</v>
      </c>
      <c r="AN106" s="37">
        <v>184.20314839999998</v>
      </c>
      <c r="AO106" s="37">
        <f t="shared" si="59"/>
        <v>7954.015834118808</v>
      </c>
      <c r="AP106" s="37">
        <f t="shared" si="60"/>
        <v>-1037.1091949288075</v>
      </c>
      <c r="AQ106" s="116">
        <f t="shared" si="61"/>
        <v>-0.13038812300072627</v>
      </c>
      <c r="AR106" s="117">
        <f t="shared" si="62"/>
        <v>-0.1545637934912211</v>
      </c>
      <c r="AU106" s="17"/>
    </row>
    <row r="107" spans="1:48" x14ac:dyDescent="0.25">
      <c r="M107" s="115">
        <v>1986</v>
      </c>
      <c r="N107" s="37">
        <v>58</v>
      </c>
      <c r="O107" s="37">
        <v>27</v>
      </c>
      <c r="P107" s="37">
        <v>290865.72729277355</v>
      </c>
      <c r="Q107" s="94">
        <v>286703.86201315001</v>
      </c>
      <c r="R107" s="37">
        <v>6000.4361880000024</v>
      </c>
      <c r="S107" s="37">
        <f t="shared" ref="S107:S138" si="63">P107+R107</f>
        <v>296866.16348077357</v>
      </c>
      <c r="T107" s="37">
        <f t="shared" ref="T107:T138" si="64">Q107-S107</f>
        <v>-10162.301467623562</v>
      </c>
      <c r="U107" s="116">
        <f t="shared" ref="U107:U138" si="65">T107/S107</f>
        <v>-3.4231929124121006E-2</v>
      </c>
      <c r="V107" s="117">
        <f>T107/$S$139</f>
        <v>-0.16262467326959429</v>
      </c>
      <c r="X107" s="115">
        <v>1986</v>
      </c>
      <c r="Y107" s="37"/>
      <c r="Z107" s="37"/>
      <c r="AA107" s="37"/>
      <c r="AB107" s="94">
        <v>36962.257461999987</v>
      </c>
      <c r="AC107" s="37">
        <v>36962.257461999987</v>
      </c>
      <c r="AD107" s="37">
        <f t="shared" ref="AD107:AD138" si="66">AA107+AC107</f>
        <v>36962.257461999987</v>
      </c>
      <c r="AE107" s="37">
        <f t="shared" ref="AE107:AE138" si="67">AB107-AD107</f>
        <v>0</v>
      </c>
      <c r="AF107" s="116">
        <f t="shared" ref="AF107:AF138" si="68">AE107/AD107</f>
        <v>0</v>
      </c>
      <c r="AG107" s="117">
        <f>AE107/$AD$139</f>
        <v>0</v>
      </c>
      <c r="AI107" s="115">
        <v>2013</v>
      </c>
      <c r="AJ107" s="37">
        <v>5</v>
      </c>
      <c r="AK107" s="37">
        <v>0</v>
      </c>
      <c r="AL107" s="37">
        <v>4955.5316934207376</v>
      </c>
      <c r="AM107" s="94">
        <v>4639.9226671500001</v>
      </c>
      <c r="AN107" s="37">
        <v>135.37125839999999</v>
      </c>
      <c r="AO107" s="37">
        <f t="shared" si="59"/>
        <v>5090.9029518207371</v>
      </c>
      <c r="AP107" s="37">
        <f t="shared" si="60"/>
        <v>-450.98028467073709</v>
      </c>
      <c r="AQ107" s="116">
        <f t="shared" si="61"/>
        <v>-8.8585519884924566E-2</v>
      </c>
      <c r="AR107" s="117">
        <f t="shared" si="62"/>
        <v>-6.721107471546893E-2</v>
      </c>
      <c r="AU107" s="17"/>
    </row>
    <row r="108" spans="1:48" x14ac:dyDescent="0.25">
      <c r="M108" s="115">
        <v>1987</v>
      </c>
      <c r="N108" s="37">
        <v>8</v>
      </c>
      <c r="O108" s="37">
        <v>0</v>
      </c>
      <c r="P108" s="37">
        <v>21173.043205576847</v>
      </c>
      <c r="Q108" s="94">
        <v>41473.339763300013</v>
      </c>
      <c r="R108" s="37">
        <v>20737.737449599997</v>
      </c>
      <c r="S108" s="37">
        <f t="shared" si="63"/>
        <v>41910.780655176844</v>
      </c>
      <c r="T108" s="37">
        <f t="shared" si="64"/>
        <v>-437.4408918768313</v>
      </c>
      <c r="U108" s="116">
        <f t="shared" si="65"/>
        <v>-1.0437431253688623E-2</v>
      </c>
      <c r="V108" s="117">
        <f t="shared" ref="V108:V138" si="69">T108/$S$139</f>
        <v>-7.0002530768126566E-3</v>
      </c>
      <c r="X108" s="115">
        <v>1987</v>
      </c>
      <c r="Y108" s="37">
        <v>145</v>
      </c>
      <c r="Z108" s="37">
        <v>0</v>
      </c>
      <c r="AA108" s="37">
        <v>10485.148374938399</v>
      </c>
      <c r="AB108" s="94">
        <v>58722.497033120002</v>
      </c>
      <c r="AC108" s="37">
        <v>36910.224492800015</v>
      </c>
      <c r="AD108" s="37">
        <f t="shared" si="66"/>
        <v>47395.372867738413</v>
      </c>
      <c r="AE108" s="37">
        <f t="shared" si="67"/>
        <v>11327.124165381589</v>
      </c>
      <c r="AF108" s="116">
        <f t="shared" si="68"/>
        <v>0.23899219438553793</v>
      </c>
      <c r="AG108" s="117">
        <f t="shared" ref="AG108:AG138" si="70">AE108/$AD$139</f>
        <v>0.3289177260168038</v>
      </c>
      <c r="AI108" s="115">
        <v>2014</v>
      </c>
      <c r="AJ108" s="37"/>
      <c r="AK108" s="37"/>
      <c r="AL108" s="37"/>
      <c r="AM108" s="94">
        <v>33.975090600000001</v>
      </c>
      <c r="AN108" s="37">
        <v>33.975090600000001</v>
      </c>
      <c r="AO108" s="37">
        <f t="shared" si="59"/>
        <v>33.975090600000001</v>
      </c>
      <c r="AP108" s="37">
        <f t="shared" si="60"/>
        <v>0</v>
      </c>
      <c r="AQ108" s="116">
        <f t="shared" si="61"/>
        <v>0</v>
      </c>
      <c r="AR108" s="117">
        <f t="shared" si="62"/>
        <v>0</v>
      </c>
      <c r="AU108" s="17"/>
    </row>
    <row r="109" spans="1:48" x14ac:dyDescent="0.25">
      <c r="M109" s="118">
        <v>1988</v>
      </c>
      <c r="N109" s="128">
        <v>6</v>
      </c>
      <c r="O109" s="128">
        <v>0</v>
      </c>
      <c r="P109" s="128">
        <v>821.27128885346997</v>
      </c>
      <c r="Q109" s="94">
        <v>21521.346840179998</v>
      </c>
      <c r="R109" s="128">
        <v>17964.350649600001</v>
      </c>
      <c r="S109" s="128"/>
      <c r="T109" s="128"/>
      <c r="U109" s="129" t="e">
        <f t="shared" si="65"/>
        <v>#DIV/0!</v>
      </c>
      <c r="V109" s="130">
        <f t="shared" si="69"/>
        <v>0</v>
      </c>
      <c r="W109" t="s">
        <v>112</v>
      </c>
      <c r="X109" s="118">
        <v>1988</v>
      </c>
      <c r="Y109" s="128">
        <v>16</v>
      </c>
      <c r="Z109" s="128">
        <v>0</v>
      </c>
      <c r="AA109" s="128">
        <v>234.64893967241997</v>
      </c>
      <c r="AB109" s="94">
        <v>120068.39382601998</v>
      </c>
      <c r="AC109" s="128">
        <v>105109.75036219998</v>
      </c>
      <c r="AD109" s="128"/>
      <c r="AE109" s="128"/>
      <c r="AF109" s="129" t="e">
        <f t="shared" si="68"/>
        <v>#DIV/0!</v>
      </c>
      <c r="AG109" s="130">
        <f t="shared" si="70"/>
        <v>0</v>
      </c>
      <c r="AH109" t="s">
        <v>112</v>
      </c>
      <c r="AI109" s="115">
        <v>2015</v>
      </c>
      <c r="AJ109" s="37"/>
      <c r="AK109" s="37"/>
      <c r="AL109" s="37"/>
      <c r="AM109" s="94">
        <v>120.60705220000001</v>
      </c>
      <c r="AN109" s="37">
        <v>120.60705220000001</v>
      </c>
      <c r="AO109" s="37">
        <f t="shared" si="59"/>
        <v>120.60705220000001</v>
      </c>
      <c r="AP109" s="37">
        <f t="shared" si="60"/>
        <v>0</v>
      </c>
      <c r="AQ109" s="116">
        <f t="shared" si="61"/>
        <v>0</v>
      </c>
      <c r="AR109" s="117">
        <f t="shared" si="62"/>
        <v>0</v>
      </c>
      <c r="AS109"/>
      <c r="AT109"/>
    </row>
    <row r="110" spans="1:48" x14ac:dyDescent="0.25">
      <c r="M110" s="115">
        <v>1989</v>
      </c>
      <c r="N110" s="37">
        <v>1</v>
      </c>
      <c r="O110" s="37">
        <v>5</v>
      </c>
      <c r="P110" s="37">
        <v>13596.662568905203</v>
      </c>
      <c r="Q110" s="94">
        <v>34020.694338599977</v>
      </c>
      <c r="R110" s="37">
        <v>16695.8392418</v>
      </c>
      <c r="S110" s="37">
        <f t="shared" si="63"/>
        <v>30292.501810705202</v>
      </c>
      <c r="T110" s="37">
        <f t="shared" si="64"/>
        <v>3728.1925278947747</v>
      </c>
      <c r="U110" s="116">
        <f t="shared" si="65"/>
        <v>0.12307311397361217</v>
      </c>
      <c r="V110" s="117">
        <f t="shared" si="69"/>
        <v>5.9661297558102448E-2</v>
      </c>
      <c r="X110" s="115">
        <v>1989</v>
      </c>
      <c r="Y110" s="37">
        <v>66</v>
      </c>
      <c r="Z110" s="37">
        <v>9</v>
      </c>
      <c r="AA110" s="37">
        <v>15963.362361160283</v>
      </c>
      <c r="AB110" s="94">
        <v>48621.650229507017</v>
      </c>
      <c r="AC110" s="37">
        <v>24388.965105200008</v>
      </c>
      <c r="AD110" s="37">
        <f t="shared" si="66"/>
        <v>40352.327466360293</v>
      </c>
      <c r="AE110" s="37">
        <f t="shared" si="67"/>
        <v>8269.3227631467234</v>
      </c>
      <c r="AF110" s="116">
        <f t="shared" si="68"/>
        <v>0.20492802478470273</v>
      </c>
      <c r="AG110" s="117">
        <f t="shared" si="70"/>
        <v>0.24012510141505841</v>
      </c>
      <c r="AI110" s="115">
        <v>2016</v>
      </c>
      <c r="AJ110" s="37">
        <v>2</v>
      </c>
      <c r="AK110" s="37">
        <v>0</v>
      </c>
      <c r="AL110" s="37">
        <v>144.9674331359405</v>
      </c>
      <c r="AM110" s="94">
        <v>227.32671899000005</v>
      </c>
      <c r="AN110" s="37">
        <v>80.58915300000001</v>
      </c>
      <c r="AO110" s="37">
        <f t="shared" si="59"/>
        <v>225.55658613594051</v>
      </c>
      <c r="AP110" s="37">
        <f t="shared" si="60"/>
        <v>1.7701328540595398</v>
      </c>
      <c r="AQ110" s="116">
        <f t="shared" si="61"/>
        <v>7.8478437911482669E-3</v>
      </c>
      <c r="AR110" s="117">
        <f t="shared" si="62"/>
        <v>2.6380871970348862E-4</v>
      </c>
      <c r="AS110"/>
      <c r="AT110"/>
    </row>
    <row r="111" spans="1:48" x14ac:dyDescent="0.25">
      <c r="A111" s="366" t="s">
        <v>65</v>
      </c>
      <c r="B111" s="366"/>
      <c r="C111" s="366"/>
      <c r="D111" s="366"/>
      <c r="E111" s="366"/>
      <c r="F111" s="366"/>
      <c r="G111" s="17"/>
      <c r="H111" s="17"/>
      <c r="I111"/>
      <c r="J111"/>
      <c r="K111"/>
      <c r="L111"/>
      <c r="M111" s="118">
        <v>1990</v>
      </c>
      <c r="N111" s="128">
        <v>7</v>
      </c>
      <c r="O111" s="128">
        <v>0</v>
      </c>
      <c r="P111" s="128">
        <v>4864.8876462038334</v>
      </c>
      <c r="Q111" s="94">
        <v>23835.628395590003</v>
      </c>
      <c r="R111" s="128">
        <v>20020.413520000002</v>
      </c>
      <c r="S111" s="128">
        <f t="shared" si="63"/>
        <v>24885.301166203833</v>
      </c>
      <c r="T111" s="128">
        <f t="shared" si="64"/>
        <v>-1049.6727706138299</v>
      </c>
      <c r="U111" s="129">
        <f t="shared" si="65"/>
        <v>-4.2180432682059191E-2</v>
      </c>
      <c r="V111" s="130">
        <f t="shared" si="69"/>
        <v>-1.6797640958095141E-2</v>
      </c>
      <c r="X111" s="118">
        <v>1990</v>
      </c>
      <c r="Y111" s="128">
        <v>72</v>
      </c>
      <c r="Z111" s="128">
        <v>0</v>
      </c>
      <c r="AA111" s="128">
        <v>80524.969744217742</v>
      </c>
      <c r="AB111" s="94">
        <v>119030.37712526003</v>
      </c>
      <c r="AC111" s="128">
        <v>22888.752442000001</v>
      </c>
      <c r="AD111" s="128">
        <f t="shared" si="66"/>
        <v>103413.72218621774</v>
      </c>
      <c r="AE111" s="128">
        <f t="shared" si="67"/>
        <v>15616.654939042288</v>
      </c>
      <c r="AF111" s="129">
        <f t="shared" si="68"/>
        <v>0.15101143841357223</v>
      </c>
      <c r="AG111" s="130">
        <f t="shared" si="70"/>
        <v>0.45347738362730616</v>
      </c>
      <c r="AH111" s="17"/>
      <c r="AI111" s="118">
        <v>2017</v>
      </c>
      <c r="AJ111" s="37"/>
      <c r="AK111" s="37"/>
      <c r="AL111" s="37"/>
      <c r="AM111" s="94">
        <v>3.1195089999999999</v>
      </c>
      <c r="AN111" s="37">
        <v>3.1195089999999999</v>
      </c>
      <c r="AO111" s="37">
        <f t="shared" si="59"/>
        <v>3.1195089999999999</v>
      </c>
      <c r="AP111" s="37">
        <f t="shared" si="60"/>
        <v>0</v>
      </c>
      <c r="AQ111" s="116">
        <f t="shared" si="61"/>
        <v>0</v>
      </c>
      <c r="AR111" s="117">
        <f t="shared" si="62"/>
        <v>0</v>
      </c>
      <c r="AS111"/>
      <c r="AT111"/>
    </row>
    <row r="112" spans="1:48" x14ac:dyDescent="0.25">
      <c r="A112" s="60" t="s">
        <v>8</v>
      </c>
      <c r="B112" s="60" t="s">
        <v>9</v>
      </c>
      <c r="C112" s="60" t="s">
        <v>22</v>
      </c>
      <c r="D112" s="60" t="s">
        <v>29</v>
      </c>
      <c r="E112" s="60" t="s">
        <v>17</v>
      </c>
      <c r="F112" s="60" t="s">
        <v>20</v>
      </c>
      <c r="G112" s="17"/>
      <c r="H112" s="17"/>
      <c r="I112"/>
      <c r="J112"/>
      <c r="K112"/>
      <c r="L112"/>
      <c r="M112" s="118">
        <v>1991</v>
      </c>
      <c r="N112" s="128">
        <v>7</v>
      </c>
      <c r="O112" s="128">
        <v>0</v>
      </c>
      <c r="P112" s="128">
        <v>10712.893930629054</v>
      </c>
      <c r="Q112" s="94">
        <v>24031.274326500003</v>
      </c>
      <c r="R112" s="128">
        <v>9552.2672480000001</v>
      </c>
      <c r="S112" s="128">
        <f t="shared" si="63"/>
        <v>20265.161178629052</v>
      </c>
      <c r="T112" s="128">
        <f t="shared" si="64"/>
        <v>3766.1131478709503</v>
      </c>
      <c r="U112" s="129">
        <f t="shared" si="65"/>
        <v>0.18584175643481013</v>
      </c>
      <c r="V112" s="130">
        <f t="shared" si="69"/>
        <v>6.0268131399181968E-2</v>
      </c>
      <c r="X112" s="118">
        <v>1991</v>
      </c>
      <c r="Y112" s="128">
        <v>13</v>
      </c>
      <c r="Z112" s="128">
        <v>0</v>
      </c>
      <c r="AA112" s="128">
        <v>2272.2292113069457</v>
      </c>
      <c r="AB112" s="94">
        <v>37954.548733610005</v>
      </c>
      <c r="AC112" s="128">
        <v>33417.348846000001</v>
      </c>
      <c r="AD112" s="128">
        <f t="shared" si="66"/>
        <v>35689.57805730695</v>
      </c>
      <c r="AE112" s="128">
        <f t="shared" si="67"/>
        <v>2264.9706763030554</v>
      </c>
      <c r="AF112" s="129">
        <f t="shared" si="68"/>
        <v>6.3463083611304663E-2</v>
      </c>
      <c r="AG112" s="130">
        <f t="shared" si="70"/>
        <v>6.5770357371132945E-2</v>
      </c>
      <c r="AH112" s="17"/>
      <c r="AI112" s="119" t="s">
        <v>104</v>
      </c>
      <c r="AJ112" s="123"/>
      <c r="AK112" s="123"/>
      <c r="AL112" s="123"/>
      <c r="AM112" s="124"/>
      <c r="AN112" s="123"/>
      <c r="AO112" s="121">
        <f>AVERAGE(AO80:AO111)</f>
        <v>6709.9103321872926</v>
      </c>
      <c r="AP112" s="120"/>
      <c r="AQ112" s="120"/>
      <c r="AR112" s="122"/>
      <c r="AS112"/>
      <c r="AT112"/>
    </row>
    <row r="113" spans="1:46" x14ac:dyDescent="0.25">
      <c r="A113" s="5">
        <f t="shared" ref="A113:A121" si="71">_xlfn.RANK.AVG(K17,K$17:K$25,0)</f>
        <v>3</v>
      </c>
      <c r="B113" s="5">
        <f t="shared" ref="B113:B121" si="72">_xlfn.RANK.AVG(L17,L$17:L$25,0)</f>
        <v>4</v>
      </c>
      <c r="C113" s="5">
        <f t="shared" ref="C113:C121" si="73">_xlfn.RANK.AVG(M17,M$17:M$25,0)</f>
        <v>1</v>
      </c>
      <c r="D113" s="5">
        <f t="shared" ref="D113:D121" si="74">_xlfn.RANK.AVG(N17,N$17:N$25,0)</f>
        <v>9</v>
      </c>
      <c r="E113" s="5">
        <f t="shared" ref="E113:E121" si="75">_xlfn.RANK.AVG(O17,O$17:O$25,0)</f>
        <v>8</v>
      </c>
      <c r="F113" s="58">
        <v>1999</v>
      </c>
      <c r="G113" s="17"/>
      <c r="I113"/>
      <c r="J113"/>
      <c r="K113"/>
      <c r="L113"/>
      <c r="M113" s="118">
        <v>1992</v>
      </c>
      <c r="N113" s="128">
        <v>49</v>
      </c>
      <c r="O113" s="128">
        <v>2</v>
      </c>
      <c r="P113" s="128">
        <v>13070.959124077226</v>
      </c>
      <c r="Q113" s="94">
        <v>36180.502266679978</v>
      </c>
      <c r="R113" s="128">
        <v>10546.145019999998</v>
      </c>
      <c r="S113" s="128">
        <f t="shared" si="63"/>
        <v>23617.104144077224</v>
      </c>
      <c r="T113" s="128">
        <f t="shared" si="64"/>
        <v>12563.398122602754</v>
      </c>
      <c r="U113" s="129">
        <f t="shared" si="65"/>
        <v>0.53196183774095118</v>
      </c>
      <c r="V113" s="130">
        <f t="shared" si="69"/>
        <v>0.20104879995474953</v>
      </c>
      <c r="X113" s="118">
        <v>1992</v>
      </c>
      <c r="Y113" s="128">
        <v>74</v>
      </c>
      <c r="Z113" s="128">
        <v>0</v>
      </c>
      <c r="AA113" s="128">
        <v>19950.93602888766</v>
      </c>
      <c r="AB113" s="94">
        <v>40647.220186750019</v>
      </c>
      <c r="AC113" s="128">
        <v>17815.394646000001</v>
      </c>
      <c r="AD113" s="128">
        <f t="shared" si="66"/>
        <v>37766.330674887664</v>
      </c>
      <c r="AE113" s="128">
        <f t="shared" si="67"/>
        <v>2880.889511862355</v>
      </c>
      <c r="AF113" s="129">
        <f t="shared" si="68"/>
        <v>7.6281954332883414E-2</v>
      </c>
      <c r="AG113" s="130">
        <f t="shared" si="70"/>
        <v>8.3655446282070819E-2</v>
      </c>
      <c r="AH113" s="17"/>
      <c r="AI113" s="17"/>
      <c r="AO113"/>
      <c r="AQ113"/>
      <c r="AR113"/>
      <c r="AS113"/>
      <c r="AT113"/>
    </row>
    <row r="114" spans="1:46" x14ac:dyDescent="0.25">
      <c r="A114" s="5">
        <f t="shared" si="71"/>
        <v>8</v>
      </c>
      <c r="B114" s="5">
        <f t="shared" si="72"/>
        <v>1</v>
      </c>
      <c r="C114" s="5">
        <f t="shared" si="73"/>
        <v>7</v>
      </c>
      <c r="D114" s="5">
        <f t="shared" si="74"/>
        <v>8</v>
      </c>
      <c r="E114" s="5">
        <f t="shared" si="75"/>
        <v>1</v>
      </c>
      <c r="F114" s="58">
        <v>2000</v>
      </c>
      <c r="G114" s="17"/>
      <c r="I114"/>
      <c r="J114"/>
      <c r="K114"/>
      <c r="L114"/>
      <c r="M114" s="118">
        <v>1993</v>
      </c>
      <c r="N114" s="128">
        <v>31</v>
      </c>
      <c r="O114" s="128">
        <v>0</v>
      </c>
      <c r="P114" s="128">
        <v>33368.944711253789</v>
      </c>
      <c r="Q114" s="94">
        <v>73182.997017299975</v>
      </c>
      <c r="R114" s="128">
        <v>20057.053971999994</v>
      </c>
      <c r="S114" s="128">
        <f t="shared" si="63"/>
        <v>53425.998683253783</v>
      </c>
      <c r="T114" s="128">
        <f t="shared" si="64"/>
        <v>19756.998334046191</v>
      </c>
      <c r="U114" s="129">
        <f t="shared" si="65"/>
        <v>0.36980119831131886</v>
      </c>
      <c r="V114" s="130">
        <f t="shared" si="69"/>
        <v>0.3161661173995392</v>
      </c>
      <c r="X114" s="118">
        <v>1993</v>
      </c>
      <c r="Y114" s="128">
        <v>148</v>
      </c>
      <c r="Z114" s="128">
        <v>0</v>
      </c>
      <c r="AA114" s="128">
        <v>23787.417644137331</v>
      </c>
      <c r="AB114" s="94">
        <v>64362.746824080008</v>
      </c>
      <c r="AC114" s="128">
        <v>32061.431662000006</v>
      </c>
      <c r="AD114" s="128">
        <f t="shared" si="66"/>
        <v>55848.849306137337</v>
      </c>
      <c r="AE114" s="128">
        <f t="shared" si="67"/>
        <v>8513.8975179426707</v>
      </c>
      <c r="AF114" s="129">
        <f t="shared" si="68"/>
        <v>0.15244535247760355</v>
      </c>
      <c r="AG114" s="130">
        <f t="shared" si="70"/>
        <v>0.2472270781404888</v>
      </c>
      <c r="AH114" s="17"/>
      <c r="AI114" s="17"/>
      <c r="AJ114" s="17"/>
      <c r="AK114" s="17"/>
      <c r="AO114"/>
      <c r="AQ114"/>
      <c r="AR114"/>
      <c r="AS114"/>
      <c r="AT114"/>
    </row>
    <row r="115" spans="1:46" x14ac:dyDescent="0.25">
      <c r="A115" s="5">
        <f t="shared" si="71"/>
        <v>9</v>
      </c>
      <c r="B115" s="5">
        <f t="shared" si="72"/>
        <v>3</v>
      </c>
      <c r="C115" s="5">
        <f t="shared" si="73"/>
        <v>3</v>
      </c>
      <c r="D115" s="5">
        <f t="shared" si="74"/>
        <v>2</v>
      </c>
      <c r="E115" s="5">
        <f t="shared" si="75"/>
        <v>3</v>
      </c>
      <c r="F115" s="58">
        <v>2001</v>
      </c>
      <c r="G115" s="17"/>
      <c r="I115"/>
      <c r="J115"/>
      <c r="K115"/>
      <c r="L115"/>
      <c r="M115" s="118">
        <v>1994</v>
      </c>
      <c r="N115" s="128">
        <v>28</v>
      </c>
      <c r="O115" s="128">
        <v>6</v>
      </c>
      <c r="P115" s="128">
        <v>63285.604122855606</v>
      </c>
      <c r="Q115" s="94">
        <v>108179.06766636002</v>
      </c>
      <c r="R115" s="128">
        <v>11552.941748000003</v>
      </c>
      <c r="S115" s="128">
        <f t="shared" si="63"/>
        <v>74838.545870855611</v>
      </c>
      <c r="T115" s="128">
        <f t="shared" si="64"/>
        <v>33340.521795504406</v>
      </c>
      <c r="U115" s="129">
        <f t="shared" si="65"/>
        <v>0.44549932668438191</v>
      </c>
      <c r="V115" s="130">
        <f t="shared" si="69"/>
        <v>0.53353971842951198</v>
      </c>
      <c r="X115" s="118">
        <v>1994</v>
      </c>
      <c r="Y115" s="128">
        <v>169</v>
      </c>
      <c r="Z115" s="128">
        <v>0</v>
      </c>
      <c r="AA115" s="128">
        <v>50640.082048517048</v>
      </c>
      <c r="AB115" s="94">
        <v>68100.810049950029</v>
      </c>
      <c r="AC115" s="128">
        <v>20064.836210000001</v>
      </c>
      <c r="AD115" s="128">
        <f t="shared" si="66"/>
        <v>70704.918258517049</v>
      </c>
      <c r="AE115" s="128">
        <f t="shared" si="67"/>
        <v>-2604.1082085670205</v>
      </c>
      <c r="AF115" s="129">
        <f t="shared" si="68"/>
        <v>-3.6830651568617465E-2</v>
      </c>
      <c r="AG115" s="130">
        <f t="shared" si="70"/>
        <v>-7.5618253826628012E-2</v>
      </c>
      <c r="AH115" s="17"/>
      <c r="AI115" s="17"/>
      <c r="AJ115" s="17"/>
      <c r="AK115" s="17"/>
      <c r="AO115"/>
      <c r="AQ115"/>
      <c r="AR115"/>
      <c r="AS115"/>
      <c r="AT115"/>
    </row>
    <row r="116" spans="1:46" x14ac:dyDescent="0.25">
      <c r="A116" s="5">
        <f t="shared" si="71"/>
        <v>4</v>
      </c>
      <c r="B116" s="5">
        <f t="shared" si="72"/>
        <v>2</v>
      </c>
      <c r="C116" s="5">
        <f t="shared" si="73"/>
        <v>5</v>
      </c>
      <c r="D116" s="5">
        <f t="shared" si="74"/>
        <v>7</v>
      </c>
      <c r="E116" s="5">
        <f t="shared" si="75"/>
        <v>2</v>
      </c>
      <c r="F116" s="58">
        <v>2002</v>
      </c>
      <c r="G116" s="17"/>
      <c r="I116"/>
      <c r="J116"/>
      <c r="K116"/>
      <c r="L116"/>
      <c r="M116" s="118">
        <v>1995</v>
      </c>
      <c r="N116" s="128">
        <v>1</v>
      </c>
      <c r="O116" s="128">
        <v>0</v>
      </c>
      <c r="P116" s="128">
        <v>2994.397162699187</v>
      </c>
      <c r="Q116" s="94">
        <v>14706.634627899999</v>
      </c>
      <c r="R116" s="128">
        <v>11205.232235999998</v>
      </c>
      <c r="S116" s="128">
        <f t="shared" si="63"/>
        <v>14199.629398699184</v>
      </c>
      <c r="T116" s="128">
        <f t="shared" si="64"/>
        <v>507.00522920081494</v>
      </c>
      <c r="U116" s="129">
        <f t="shared" si="65"/>
        <v>3.5705525472887432E-2</v>
      </c>
      <c r="V116" s="130">
        <f t="shared" si="69"/>
        <v>8.11347311506588E-3</v>
      </c>
      <c r="X116" s="118">
        <v>1995</v>
      </c>
      <c r="Y116" s="128">
        <v>155</v>
      </c>
      <c r="Z116" s="128">
        <v>2</v>
      </c>
      <c r="AA116" s="128">
        <v>38394.18622068844</v>
      </c>
      <c r="AB116" s="94">
        <v>55292.705880329973</v>
      </c>
      <c r="AC116" s="128">
        <v>20290.212467999998</v>
      </c>
      <c r="AD116" s="128">
        <f t="shared" si="66"/>
        <v>58684.398688688438</v>
      </c>
      <c r="AE116" s="128">
        <f t="shared" si="67"/>
        <v>-3391.6928083584644</v>
      </c>
      <c r="AF116" s="129">
        <f t="shared" si="68"/>
        <v>-5.7795476892433792E-2</v>
      </c>
      <c r="AG116" s="130">
        <f t="shared" si="70"/>
        <v>-9.8488183724719611E-2</v>
      </c>
      <c r="AH116" s="17"/>
      <c r="AI116" s="17"/>
      <c r="AJ116" s="17"/>
      <c r="AK116" s="17"/>
      <c r="AO116"/>
      <c r="AQ116"/>
      <c r="AR116"/>
      <c r="AS116"/>
      <c r="AT116"/>
    </row>
    <row r="117" spans="1:46" x14ac:dyDescent="0.25">
      <c r="A117" s="5">
        <f t="shared" si="71"/>
        <v>1</v>
      </c>
      <c r="B117" s="5">
        <f t="shared" si="72"/>
        <v>7</v>
      </c>
      <c r="C117" s="5">
        <f t="shared" si="73"/>
        <v>6</v>
      </c>
      <c r="D117" s="5">
        <f t="shared" si="74"/>
        <v>4</v>
      </c>
      <c r="E117" s="5">
        <f t="shared" si="75"/>
        <v>6</v>
      </c>
      <c r="F117" s="58">
        <v>2003</v>
      </c>
      <c r="G117" s="17"/>
      <c r="I117"/>
      <c r="J117"/>
      <c r="K117"/>
      <c r="L117"/>
      <c r="M117" s="118">
        <v>1996</v>
      </c>
      <c r="N117" s="128">
        <v>34</v>
      </c>
      <c r="O117" s="128">
        <v>0</v>
      </c>
      <c r="P117" s="128">
        <v>29863.512502147027</v>
      </c>
      <c r="Q117" s="94">
        <v>40786.086911400023</v>
      </c>
      <c r="R117" s="128">
        <v>11644.057866000003</v>
      </c>
      <c r="S117" s="128">
        <f t="shared" si="63"/>
        <v>41507.570368147033</v>
      </c>
      <c r="T117" s="128">
        <f t="shared" si="64"/>
        <v>-721.48345674700977</v>
      </c>
      <c r="U117" s="129">
        <f t="shared" si="65"/>
        <v>-1.7381972742511499E-2</v>
      </c>
      <c r="V117" s="130">
        <f t="shared" si="69"/>
        <v>-1.1545712533396984E-2</v>
      </c>
      <c r="X117" s="118">
        <v>1996</v>
      </c>
      <c r="Y117" s="128">
        <v>21</v>
      </c>
      <c r="Z117" s="128">
        <v>0</v>
      </c>
      <c r="AA117" s="128">
        <v>8146.5944540241417</v>
      </c>
      <c r="AB117" s="94">
        <v>29499.398264615997</v>
      </c>
      <c r="AC117" s="128">
        <v>23014.701239999999</v>
      </c>
      <c r="AD117" s="128">
        <f t="shared" si="66"/>
        <v>31161.295694024142</v>
      </c>
      <c r="AE117" s="128">
        <f t="shared" si="67"/>
        <v>-1661.8974294081454</v>
      </c>
      <c r="AF117" s="129">
        <f t="shared" si="68"/>
        <v>-5.3332102930715122E-2</v>
      </c>
      <c r="AG117" s="130">
        <f t="shared" si="70"/>
        <v>-4.8258279451436036E-2</v>
      </c>
      <c r="AH117" s="17"/>
      <c r="AI117" s="17"/>
      <c r="AJ117" s="17"/>
      <c r="AO117"/>
      <c r="AQ117"/>
      <c r="AR117"/>
      <c r="AS117"/>
      <c r="AT117"/>
    </row>
    <row r="118" spans="1:46" x14ac:dyDescent="0.25">
      <c r="A118" s="5">
        <f t="shared" si="71"/>
        <v>2</v>
      </c>
      <c r="B118" s="5">
        <f t="shared" si="72"/>
        <v>6</v>
      </c>
      <c r="C118" s="5">
        <f t="shared" si="73"/>
        <v>8</v>
      </c>
      <c r="D118" s="5">
        <f t="shared" si="74"/>
        <v>5</v>
      </c>
      <c r="E118" s="5">
        <f t="shared" si="75"/>
        <v>9</v>
      </c>
      <c r="F118" s="58">
        <v>2004</v>
      </c>
      <c r="G118" s="17"/>
      <c r="I118"/>
      <c r="J118"/>
      <c r="K118"/>
      <c r="L118"/>
      <c r="M118" s="118">
        <v>1997</v>
      </c>
      <c r="N118" s="128">
        <v>13</v>
      </c>
      <c r="O118" s="128">
        <v>0</v>
      </c>
      <c r="P118" s="128">
        <v>12773.073881480988</v>
      </c>
      <c r="Q118" s="94">
        <v>16258.383808732995</v>
      </c>
      <c r="R118" s="128">
        <v>10072.420571999997</v>
      </c>
      <c r="S118" s="128">
        <f t="shared" si="63"/>
        <v>22845.494453480984</v>
      </c>
      <c r="T118" s="128">
        <f t="shared" si="64"/>
        <v>-6587.1106447479888</v>
      </c>
      <c r="U118" s="129">
        <f t="shared" si="65"/>
        <v>-0.28833303031199248</v>
      </c>
      <c r="V118" s="130">
        <f t="shared" si="69"/>
        <v>-0.10541182229297838</v>
      </c>
      <c r="X118" s="118">
        <v>1997</v>
      </c>
      <c r="Y118" s="128">
        <v>35</v>
      </c>
      <c r="Z118" s="128">
        <v>0</v>
      </c>
      <c r="AA118" s="128">
        <v>3070.4547237138268</v>
      </c>
      <c r="AB118" s="94">
        <v>26900.376008896004</v>
      </c>
      <c r="AC118" s="128">
        <v>22207.707410000003</v>
      </c>
      <c r="AD118" s="128">
        <f t="shared" si="66"/>
        <v>25278.162133713828</v>
      </c>
      <c r="AE118" s="128">
        <f t="shared" si="67"/>
        <v>1622.2138751821767</v>
      </c>
      <c r="AF118" s="129">
        <f t="shared" si="68"/>
        <v>6.417451817110581E-2</v>
      </c>
      <c r="AG118" s="130">
        <f t="shared" si="70"/>
        <v>4.7105945970695874E-2</v>
      </c>
      <c r="AH118" s="17"/>
      <c r="AI118" s="17"/>
      <c r="AJ118" s="17"/>
      <c r="AO118"/>
      <c r="AQ118"/>
      <c r="AR118"/>
      <c r="AS118"/>
      <c r="AT118"/>
    </row>
    <row r="119" spans="1:46" x14ac:dyDescent="0.25">
      <c r="A119" s="5">
        <f t="shared" si="71"/>
        <v>6</v>
      </c>
      <c r="B119" s="5">
        <f t="shared" si="72"/>
        <v>5</v>
      </c>
      <c r="C119" s="5">
        <f t="shared" si="73"/>
        <v>2</v>
      </c>
      <c r="D119" s="5">
        <f t="shared" si="74"/>
        <v>1</v>
      </c>
      <c r="E119" s="5">
        <f t="shared" si="75"/>
        <v>4</v>
      </c>
      <c r="F119" s="58">
        <v>2005</v>
      </c>
      <c r="G119" s="17"/>
      <c r="I119"/>
      <c r="J119"/>
      <c r="K119"/>
      <c r="L119"/>
      <c r="M119" s="118">
        <v>1998</v>
      </c>
      <c r="N119" s="128">
        <v>13</v>
      </c>
      <c r="O119" s="128">
        <v>0</v>
      </c>
      <c r="P119" s="128">
        <v>34545.027070422278</v>
      </c>
      <c r="Q119" s="94">
        <v>28040.761660396998</v>
      </c>
      <c r="R119" s="128">
        <v>10241.006334</v>
      </c>
      <c r="S119" s="128">
        <f t="shared" si="63"/>
        <v>44786.033404422276</v>
      </c>
      <c r="T119" s="128">
        <f t="shared" si="64"/>
        <v>-16745.271744025278</v>
      </c>
      <c r="U119" s="129">
        <f t="shared" si="65"/>
        <v>-0.37389495052651417</v>
      </c>
      <c r="V119" s="130">
        <f t="shared" si="69"/>
        <v>-0.26797023832235267</v>
      </c>
      <c r="X119" s="118">
        <v>1998</v>
      </c>
      <c r="Y119" s="128">
        <v>5</v>
      </c>
      <c r="Z119" s="128">
        <v>0</v>
      </c>
      <c r="AA119" s="128">
        <v>11532.786158841693</v>
      </c>
      <c r="AB119" s="94">
        <v>27253.846393400003</v>
      </c>
      <c r="AC119" s="128">
        <v>16499.380722000002</v>
      </c>
      <c r="AD119" s="128">
        <f t="shared" si="66"/>
        <v>28032.166880841694</v>
      </c>
      <c r="AE119" s="128">
        <f t="shared" si="67"/>
        <v>-778.32048744169151</v>
      </c>
      <c r="AF119" s="129">
        <f t="shared" si="68"/>
        <v>-2.7765263054766804E-2</v>
      </c>
      <c r="AG119" s="130">
        <f t="shared" si="70"/>
        <v>-2.2600918035666929E-2</v>
      </c>
      <c r="AH119" s="17"/>
      <c r="AI119" s="17"/>
      <c r="AJ119" s="17"/>
      <c r="AO119"/>
      <c r="AQ119"/>
      <c r="AR119"/>
      <c r="AS119"/>
      <c r="AT119"/>
    </row>
    <row r="120" spans="1:46" x14ac:dyDescent="0.25">
      <c r="A120" s="5">
        <f t="shared" si="71"/>
        <v>7</v>
      </c>
      <c r="B120" s="5">
        <f t="shared" si="72"/>
        <v>9</v>
      </c>
      <c r="C120" s="5">
        <f t="shared" si="73"/>
        <v>4</v>
      </c>
      <c r="D120" s="5">
        <f t="shared" si="74"/>
        <v>3</v>
      </c>
      <c r="E120" s="5">
        <f t="shared" si="75"/>
        <v>7</v>
      </c>
      <c r="F120" s="58">
        <v>2006</v>
      </c>
      <c r="G120" s="17"/>
      <c r="I120"/>
      <c r="J120"/>
      <c r="K120"/>
      <c r="L120"/>
      <c r="M120" s="118">
        <v>1999</v>
      </c>
      <c r="N120" s="128">
        <v>37</v>
      </c>
      <c r="O120" s="128">
        <v>0</v>
      </c>
      <c r="P120" s="128">
        <v>35611.356608342096</v>
      </c>
      <c r="Q120" s="94">
        <v>54813.216516756023</v>
      </c>
      <c r="R120" s="128">
        <v>5420.6043420000015</v>
      </c>
      <c r="S120" s="128">
        <f t="shared" si="63"/>
        <v>41031.960950342094</v>
      </c>
      <c r="T120" s="128">
        <f t="shared" si="64"/>
        <v>13781.255566413929</v>
      </c>
      <c r="U120" s="129">
        <f t="shared" si="65"/>
        <v>0.33586636483428978</v>
      </c>
      <c r="V120" s="130">
        <f t="shared" si="69"/>
        <v>0.22053785659410646</v>
      </c>
      <c r="X120" s="118">
        <v>1999</v>
      </c>
      <c r="Y120" s="128">
        <v>29</v>
      </c>
      <c r="Z120" s="128">
        <v>4</v>
      </c>
      <c r="AA120" s="128">
        <v>11189.428682950289</v>
      </c>
      <c r="AB120" s="94">
        <v>31575.055511729002</v>
      </c>
      <c r="AC120" s="128">
        <v>16320.367202000005</v>
      </c>
      <c r="AD120" s="128">
        <f t="shared" si="66"/>
        <v>27509.795884950294</v>
      </c>
      <c r="AE120" s="128">
        <f t="shared" si="67"/>
        <v>4065.2596267787085</v>
      </c>
      <c r="AF120" s="129">
        <f t="shared" si="68"/>
        <v>0.14777498327432806</v>
      </c>
      <c r="AG120" s="130">
        <f t="shared" si="70"/>
        <v>0.11804725829655702</v>
      </c>
      <c r="AH120" s="17"/>
      <c r="AI120" s="17"/>
      <c r="AJ120" s="17"/>
      <c r="AO120"/>
      <c r="AQ120"/>
      <c r="AR120"/>
      <c r="AS120"/>
      <c r="AT120"/>
    </row>
    <row r="121" spans="1:46" x14ac:dyDescent="0.25">
      <c r="A121" s="5">
        <f t="shared" si="71"/>
        <v>5</v>
      </c>
      <c r="B121" s="5">
        <f t="shared" si="72"/>
        <v>8</v>
      </c>
      <c r="C121" s="5">
        <f t="shared" si="73"/>
        <v>9</v>
      </c>
      <c r="D121" s="5">
        <f t="shared" si="74"/>
        <v>6</v>
      </c>
      <c r="E121" s="5">
        <f t="shared" si="75"/>
        <v>5</v>
      </c>
      <c r="F121" s="58">
        <v>2007</v>
      </c>
      <c r="G121" s="17"/>
      <c r="I121"/>
      <c r="J121"/>
      <c r="K121"/>
      <c r="L121"/>
      <c r="M121" s="118">
        <v>2000</v>
      </c>
      <c r="N121" s="128">
        <v>33</v>
      </c>
      <c r="O121" s="128">
        <v>4</v>
      </c>
      <c r="P121" s="128">
        <v>21859.670049547934</v>
      </c>
      <c r="Q121" s="94">
        <v>32319.819187990004</v>
      </c>
      <c r="R121" s="128">
        <v>7549.0574579999993</v>
      </c>
      <c r="S121" s="128">
        <f t="shared" si="63"/>
        <v>29408.727507547934</v>
      </c>
      <c r="T121" s="128">
        <f t="shared" si="64"/>
        <v>2911.0916804420704</v>
      </c>
      <c r="U121" s="129">
        <f t="shared" si="65"/>
        <v>9.8987339037192978E-2</v>
      </c>
      <c r="V121" s="130">
        <f t="shared" si="69"/>
        <v>4.6585444733950931E-2</v>
      </c>
      <c r="X121" s="118">
        <v>2000</v>
      </c>
      <c r="Y121" s="128">
        <v>24</v>
      </c>
      <c r="Z121" s="128">
        <v>7</v>
      </c>
      <c r="AA121" s="128">
        <v>28563.956985072251</v>
      </c>
      <c r="AB121" s="94">
        <v>48681.294886588999</v>
      </c>
      <c r="AC121" s="128">
        <v>11271.392281999997</v>
      </c>
      <c r="AD121" s="128">
        <f t="shared" si="66"/>
        <v>39835.349267072248</v>
      </c>
      <c r="AE121" s="128">
        <f t="shared" si="67"/>
        <v>8845.9456195167513</v>
      </c>
      <c r="AF121" s="129">
        <f t="shared" si="68"/>
        <v>0.22206271018762669</v>
      </c>
      <c r="AG121" s="130">
        <f t="shared" si="70"/>
        <v>0.25686911127293521</v>
      </c>
      <c r="AH121" s="17"/>
      <c r="AI121" s="17"/>
      <c r="AJ121" s="17"/>
      <c r="AO121"/>
      <c r="AP121"/>
      <c r="AQ121"/>
      <c r="AR121"/>
      <c r="AS121"/>
      <c r="AT121"/>
    </row>
    <row r="122" spans="1:46" x14ac:dyDescent="0.25">
      <c r="A122" s="5"/>
      <c r="B122" s="5"/>
      <c r="C122" s="5"/>
      <c r="D122" s="5"/>
      <c r="E122" s="5"/>
      <c r="F122" s="58"/>
      <c r="G122" s="17"/>
      <c r="I122"/>
      <c r="J122"/>
      <c r="K122"/>
      <c r="L122"/>
      <c r="M122" s="118">
        <v>2001</v>
      </c>
      <c r="N122" s="128">
        <v>28</v>
      </c>
      <c r="O122" s="128">
        <v>0</v>
      </c>
      <c r="P122" s="128">
        <v>36226.20225594892</v>
      </c>
      <c r="Q122" s="94">
        <v>33796.82301694397</v>
      </c>
      <c r="R122" s="128">
        <v>6827.8446140000005</v>
      </c>
      <c r="S122" s="128">
        <f t="shared" si="63"/>
        <v>43054.046869948921</v>
      </c>
      <c r="T122" s="128">
        <f t="shared" si="64"/>
        <v>-9257.2238530049508</v>
      </c>
      <c r="U122" s="129">
        <f t="shared" si="65"/>
        <v>-0.21501402367512062</v>
      </c>
      <c r="V122" s="130">
        <f t="shared" si="69"/>
        <v>-0.148140951070454</v>
      </c>
      <c r="X122" s="118">
        <v>2001</v>
      </c>
      <c r="Y122" s="128">
        <v>64</v>
      </c>
      <c r="Z122" s="128">
        <v>0</v>
      </c>
      <c r="AA122" s="128">
        <v>10439.382689290565</v>
      </c>
      <c r="AB122" s="94">
        <v>32135.923688684004</v>
      </c>
      <c r="AC122" s="128">
        <v>16956.284071999999</v>
      </c>
      <c r="AD122" s="128">
        <f t="shared" si="66"/>
        <v>27395.666761290566</v>
      </c>
      <c r="AE122" s="128">
        <f t="shared" si="67"/>
        <v>4740.2569273934387</v>
      </c>
      <c r="AF122" s="129">
        <f t="shared" si="68"/>
        <v>0.1730294417981208</v>
      </c>
      <c r="AG122" s="130">
        <f t="shared" si="70"/>
        <v>0.13764787129806538</v>
      </c>
      <c r="AH122" s="17"/>
      <c r="AI122" s="17"/>
      <c r="AJ122" s="17"/>
      <c r="AO122"/>
      <c r="AP122"/>
      <c r="AQ122"/>
      <c r="AR122"/>
      <c r="AS122"/>
      <c r="AT122"/>
    </row>
    <row r="123" spans="1:46" x14ac:dyDescent="0.25">
      <c r="A123" s="17"/>
      <c r="B123" s="17"/>
      <c r="C123" s="17"/>
      <c r="D123" s="17"/>
      <c r="E123" s="17"/>
      <c r="F123" s="17"/>
      <c r="G123" s="17"/>
      <c r="I123"/>
      <c r="J123"/>
      <c r="K123"/>
      <c r="L123"/>
      <c r="M123" s="118">
        <v>2002</v>
      </c>
      <c r="N123" s="128">
        <v>40</v>
      </c>
      <c r="O123" s="128">
        <v>1</v>
      </c>
      <c r="P123" s="128">
        <v>27104.92179555769</v>
      </c>
      <c r="Q123" s="94">
        <v>50632.238246362031</v>
      </c>
      <c r="R123" s="128">
        <v>15178.450540000005</v>
      </c>
      <c r="S123" s="128">
        <f t="shared" si="63"/>
        <v>42283.372335557695</v>
      </c>
      <c r="T123" s="128">
        <f t="shared" si="64"/>
        <v>8348.8659108043357</v>
      </c>
      <c r="U123" s="129">
        <f t="shared" si="65"/>
        <v>0.19745033211987817</v>
      </c>
      <c r="V123" s="130">
        <f t="shared" si="69"/>
        <v>0.13360473464026376</v>
      </c>
      <c r="X123" s="118">
        <v>2002</v>
      </c>
      <c r="Y123" s="128">
        <v>55</v>
      </c>
      <c r="Z123" s="128">
        <v>0</v>
      </c>
      <c r="AA123" s="128">
        <v>20196.666254802472</v>
      </c>
      <c r="AB123" s="94">
        <v>45887.132145634008</v>
      </c>
      <c r="AC123" s="128">
        <v>14056.529599999998</v>
      </c>
      <c r="AD123" s="128">
        <f t="shared" si="66"/>
        <v>34253.19585480247</v>
      </c>
      <c r="AE123" s="128">
        <f t="shared" si="67"/>
        <v>11633.936290831538</v>
      </c>
      <c r="AF123" s="129">
        <f t="shared" si="68"/>
        <v>0.33964527981993836</v>
      </c>
      <c r="AG123" s="130">
        <f t="shared" si="70"/>
        <v>0.3378269553272587</v>
      </c>
      <c r="AH123" s="17"/>
      <c r="AI123" s="17"/>
      <c r="AJ123" s="17"/>
      <c r="AO123"/>
      <c r="AP123"/>
      <c r="AQ123"/>
      <c r="AR123"/>
      <c r="AS123"/>
      <c r="AT123"/>
    </row>
    <row r="124" spans="1:46" x14ac:dyDescent="0.25">
      <c r="A124" s="17">
        <v>2</v>
      </c>
      <c r="B124" s="17">
        <v>3</v>
      </c>
      <c r="C124" s="17">
        <v>4</v>
      </c>
      <c r="D124" s="17">
        <v>5</v>
      </c>
      <c r="E124" s="17">
        <v>6</v>
      </c>
      <c r="F124" s="17"/>
      <c r="G124" s="17"/>
      <c r="I124"/>
      <c r="J124"/>
      <c r="K124"/>
      <c r="L124"/>
      <c r="M124" s="118">
        <v>2003</v>
      </c>
      <c r="N124" s="128">
        <v>51</v>
      </c>
      <c r="O124" s="128">
        <v>2</v>
      </c>
      <c r="P124" s="128">
        <v>66377.049410977823</v>
      </c>
      <c r="Q124" s="94">
        <v>80500.686323510075</v>
      </c>
      <c r="R124" s="128">
        <v>16033.196006</v>
      </c>
      <c r="S124" s="128">
        <f t="shared" si="63"/>
        <v>82410.245416977821</v>
      </c>
      <c r="T124" s="128">
        <f t="shared" si="64"/>
        <v>-1909.5590934677457</v>
      </c>
      <c r="U124" s="129">
        <f t="shared" si="65"/>
        <v>-2.3171379769660851E-2</v>
      </c>
      <c r="V124" s="130">
        <f t="shared" si="69"/>
        <v>-3.0558178642263251E-2</v>
      </c>
      <c r="X124" s="118">
        <v>2003</v>
      </c>
      <c r="Y124" s="128">
        <v>53</v>
      </c>
      <c r="Z124" s="128">
        <v>4</v>
      </c>
      <c r="AA124" s="128">
        <v>21134.893570415607</v>
      </c>
      <c r="AB124" s="94">
        <v>41919.025310161996</v>
      </c>
      <c r="AC124" s="128">
        <v>12879.868442000005</v>
      </c>
      <c r="AD124" s="128">
        <f t="shared" si="66"/>
        <v>34014.762012415609</v>
      </c>
      <c r="AE124" s="128">
        <f t="shared" si="67"/>
        <v>7904.2632977463873</v>
      </c>
      <c r="AF124" s="129">
        <f t="shared" si="68"/>
        <v>0.23237743938532571</v>
      </c>
      <c r="AG124" s="130">
        <f t="shared" si="70"/>
        <v>0.22952448227579222</v>
      </c>
      <c r="AH124" s="17"/>
      <c r="AI124" s="17"/>
      <c r="AJ124" s="17"/>
      <c r="AO124"/>
      <c r="AP124"/>
      <c r="AQ124"/>
      <c r="AR124"/>
      <c r="AS124"/>
      <c r="AT124"/>
    </row>
    <row r="125" spans="1:46" x14ac:dyDescent="0.25">
      <c r="A125" s="17">
        <v>6</v>
      </c>
      <c r="B125" s="17">
        <v>5</v>
      </c>
      <c r="C125" s="17">
        <v>4</v>
      </c>
      <c r="D125" s="17">
        <v>3</v>
      </c>
      <c r="E125" s="17">
        <v>2</v>
      </c>
      <c r="F125" s="17"/>
      <c r="G125" s="17"/>
      <c r="I125"/>
      <c r="J125"/>
      <c r="K125"/>
      <c r="L125"/>
      <c r="M125" s="118">
        <v>2004</v>
      </c>
      <c r="N125" s="128">
        <v>107</v>
      </c>
      <c r="O125" s="128">
        <v>6</v>
      </c>
      <c r="P125" s="128">
        <v>36212.935339648306</v>
      </c>
      <c r="Q125" s="94">
        <v>62269.343448684012</v>
      </c>
      <c r="R125" s="128">
        <v>16871.869938000007</v>
      </c>
      <c r="S125" s="128">
        <f t="shared" si="63"/>
        <v>53084.805277648309</v>
      </c>
      <c r="T125" s="128">
        <f t="shared" si="64"/>
        <v>9184.5381710357033</v>
      </c>
      <c r="U125" s="129">
        <f t="shared" si="65"/>
        <v>0.17301632968225111</v>
      </c>
      <c r="V125" s="130">
        <f t="shared" si="69"/>
        <v>0.14697778096383141</v>
      </c>
      <c r="X125" s="118">
        <v>2004</v>
      </c>
      <c r="Y125" s="128">
        <v>69</v>
      </c>
      <c r="Z125" s="128">
        <v>1</v>
      </c>
      <c r="AA125" s="128">
        <v>24867.984362174422</v>
      </c>
      <c r="AB125" s="94">
        <v>45147.160797154225</v>
      </c>
      <c r="AC125" s="128">
        <v>17317.750288000003</v>
      </c>
      <c r="AD125" s="128">
        <f t="shared" si="66"/>
        <v>42185.734650174425</v>
      </c>
      <c r="AE125" s="128">
        <f t="shared" si="67"/>
        <v>2961.4261469798003</v>
      </c>
      <c r="AF125" s="129">
        <f t="shared" si="68"/>
        <v>7.0199705458194636E-2</v>
      </c>
      <c r="AG125" s="130">
        <f t="shared" si="70"/>
        <v>8.5994074030571591E-2</v>
      </c>
      <c r="AH125" s="17"/>
      <c r="AI125" s="17"/>
      <c r="AJ125" s="17"/>
      <c r="AO125"/>
      <c r="AP125"/>
      <c r="AQ125"/>
      <c r="AR125"/>
      <c r="AS125"/>
      <c r="AT125"/>
    </row>
    <row r="126" spans="1:46" x14ac:dyDescent="0.25">
      <c r="A126" s="17"/>
      <c r="B126" s="17"/>
      <c r="C126" s="17"/>
      <c r="D126" s="17"/>
      <c r="E126" s="17"/>
      <c r="F126" s="17"/>
      <c r="I126"/>
      <c r="J126"/>
      <c r="K126"/>
      <c r="L126"/>
      <c r="M126" s="118">
        <v>2005</v>
      </c>
      <c r="N126" s="128">
        <v>68</v>
      </c>
      <c r="O126" s="128">
        <v>10</v>
      </c>
      <c r="P126" s="128">
        <v>24960.831820441355</v>
      </c>
      <c r="Q126" s="94">
        <v>38487.739460718993</v>
      </c>
      <c r="R126" s="128">
        <v>13115.826780000001</v>
      </c>
      <c r="S126" s="128">
        <f t="shared" si="63"/>
        <v>38076.658600441355</v>
      </c>
      <c r="T126" s="128">
        <f t="shared" si="64"/>
        <v>411.08086027763784</v>
      </c>
      <c r="U126" s="129">
        <f t="shared" si="65"/>
        <v>1.079613798551307E-2</v>
      </c>
      <c r="V126" s="130">
        <f t="shared" si="69"/>
        <v>6.5784203315578087E-3</v>
      </c>
      <c r="X126" s="118">
        <v>2005</v>
      </c>
      <c r="Y126" s="128">
        <v>40</v>
      </c>
      <c r="Z126" s="128">
        <v>0</v>
      </c>
      <c r="AA126" s="128">
        <v>49623.873911110451</v>
      </c>
      <c r="AB126" s="94">
        <v>54386.382317030984</v>
      </c>
      <c r="AC126" s="128">
        <v>6764.8151000000016</v>
      </c>
      <c r="AD126" s="128">
        <f t="shared" si="66"/>
        <v>56388.689011110451</v>
      </c>
      <c r="AE126" s="128">
        <f t="shared" si="67"/>
        <v>-2002.306694079467</v>
      </c>
      <c r="AF126" s="129">
        <f t="shared" si="68"/>
        <v>-3.550901305197831E-2</v>
      </c>
      <c r="AG126" s="130">
        <f t="shared" si="70"/>
        <v>-5.8143104550549926E-2</v>
      </c>
      <c r="AH126" s="17"/>
      <c r="AI126" s="17"/>
      <c r="AJ126" s="17"/>
      <c r="AO126"/>
      <c r="AP126"/>
      <c r="AQ126"/>
      <c r="AR126"/>
      <c r="AS126"/>
      <c r="AT126"/>
    </row>
    <row r="127" spans="1:46" x14ac:dyDescent="0.25">
      <c r="A127" s="17"/>
      <c r="B127" s="17"/>
      <c r="C127" s="17"/>
      <c r="D127" s="17"/>
      <c r="E127" s="17"/>
      <c r="F127" s="17"/>
      <c r="G127" s="17"/>
      <c r="I127"/>
      <c r="J127"/>
      <c r="K127"/>
      <c r="L127"/>
      <c r="M127" s="118">
        <v>2006</v>
      </c>
      <c r="N127" s="128">
        <v>43</v>
      </c>
      <c r="O127" s="128">
        <v>2</v>
      </c>
      <c r="P127" s="128">
        <v>23918.826422444155</v>
      </c>
      <c r="Q127" s="94">
        <v>35259.192742972991</v>
      </c>
      <c r="R127" s="128">
        <v>10841.803926000001</v>
      </c>
      <c r="S127" s="128">
        <f t="shared" si="63"/>
        <v>34760.63034844416</v>
      </c>
      <c r="T127" s="128">
        <f t="shared" si="64"/>
        <v>498.56239452883165</v>
      </c>
      <c r="U127" s="129">
        <f t="shared" si="65"/>
        <v>1.4342731691893689E-2</v>
      </c>
      <c r="V127" s="130">
        <f t="shared" si="69"/>
        <v>7.9783646227253573E-3</v>
      </c>
      <c r="X127" s="118">
        <v>2006</v>
      </c>
      <c r="Y127" s="128">
        <v>6</v>
      </c>
      <c r="Z127" s="128">
        <v>1</v>
      </c>
      <c r="AA127" s="128">
        <v>4618.563923695905</v>
      </c>
      <c r="AB127" s="94">
        <v>15975.176612061003</v>
      </c>
      <c r="AC127" s="128">
        <v>11324.214498000003</v>
      </c>
      <c r="AD127" s="128">
        <f t="shared" si="66"/>
        <v>15942.778421695908</v>
      </c>
      <c r="AE127" s="128">
        <f t="shared" si="67"/>
        <v>32.398190365094706</v>
      </c>
      <c r="AF127" s="129">
        <f t="shared" si="68"/>
        <v>2.0321545911348342E-3</v>
      </c>
      <c r="AG127" s="130">
        <f t="shared" si="70"/>
        <v>9.4078063825898581E-4</v>
      </c>
      <c r="AH127" s="17"/>
      <c r="AI127" s="17"/>
      <c r="AJ127" s="17"/>
      <c r="AO127"/>
      <c r="AP127"/>
      <c r="AQ127"/>
      <c r="AR127"/>
    </row>
    <row r="128" spans="1:46" x14ac:dyDescent="0.25">
      <c r="A128" s="366" t="s">
        <v>65</v>
      </c>
      <c r="B128" s="366"/>
      <c r="C128" s="366"/>
      <c r="D128" s="366"/>
      <c r="E128" s="366"/>
      <c r="F128" s="366"/>
      <c r="G128" s="17"/>
      <c r="H128" s="17"/>
      <c r="I128"/>
      <c r="J128"/>
      <c r="K128"/>
      <c r="L128"/>
      <c r="M128" s="118">
        <v>2007</v>
      </c>
      <c r="N128" s="128">
        <v>14</v>
      </c>
      <c r="O128" s="128">
        <v>6</v>
      </c>
      <c r="P128" s="128">
        <v>36859.956788627518</v>
      </c>
      <c r="Q128" s="94">
        <v>46970.467010972017</v>
      </c>
      <c r="R128" s="128">
        <v>19366.377042599997</v>
      </c>
      <c r="S128" s="128">
        <f t="shared" si="63"/>
        <v>56226.333831227515</v>
      </c>
      <c r="T128" s="128">
        <f t="shared" si="64"/>
        <v>-9255.8668202554982</v>
      </c>
      <c r="U128" s="129">
        <f t="shared" si="65"/>
        <v>-0.16461800351483857</v>
      </c>
      <c r="V128" s="130">
        <f t="shared" si="69"/>
        <v>-0.14811923482751443</v>
      </c>
      <c r="X128" s="118">
        <v>2007</v>
      </c>
      <c r="Y128" s="128">
        <v>19</v>
      </c>
      <c r="Z128" s="128">
        <v>0</v>
      </c>
      <c r="AA128" s="128">
        <v>7481.527230431162</v>
      </c>
      <c r="AB128" s="94">
        <v>22903.884028027001</v>
      </c>
      <c r="AC128" s="128">
        <v>14553.746265599999</v>
      </c>
      <c r="AD128" s="128">
        <f t="shared" si="66"/>
        <v>22035.273496031161</v>
      </c>
      <c r="AE128" s="128">
        <f t="shared" si="67"/>
        <v>868.61053199584057</v>
      </c>
      <c r="AF128" s="129">
        <f t="shared" si="68"/>
        <v>3.9419094668931093E-2</v>
      </c>
      <c r="AG128" s="130">
        <f t="shared" si="70"/>
        <v>2.5222765885403654E-2</v>
      </c>
      <c r="AH128" s="17"/>
      <c r="AI128" s="17"/>
      <c r="AJ128" s="17"/>
      <c r="AO128"/>
      <c r="AP128"/>
      <c r="AQ128"/>
      <c r="AR128"/>
    </row>
    <row r="129" spans="1:33" x14ac:dyDescent="0.25">
      <c r="A129" s="333" t="s">
        <v>8</v>
      </c>
      <c r="B129" s="333" t="s">
        <v>9</v>
      </c>
      <c r="C129" s="333" t="s">
        <v>22</v>
      </c>
      <c r="D129" s="333" t="s">
        <v>29</v>
      </c>
      <c r="E129" s="333" t="s">
        <v>17</v>
      </c>
      <c r="F129" s="333" t="s">
        <v>20</v>
      </c>
      <c r="M129" s="115">
        <v>2008</v>
      </c>
      <c r="N129" s="37">
        <v>46</v>
      </c>
      <c r="O129" s="37">
        <v>1</v>
      </c>
      <c r="P129" s="37">
        <v>56252.5344671481</v>
      </c>
      <c r="Q129" s="94">
        <v>66136.809243885014</v>
      </c>
      <c r="R129" s="37">
        <v>10022.766366200001</v>
      </c>
      <c r="S129" s="37">
        <f t="shared" si="63"/>
        <v>66275.300833348098</v>
      </c>
      <c r="T129" s="37">
        <f t="shared" si="64"/>
        <v>-138.49158946308307</v>
      </c>
      <c r="U129" s="116">
        <f t="shared" si="65"/>
        <v>-2.0896410536306088E-3</v>
      </c>
      <c r="V129" s="117">
        <f t="shared" si="69"/>
        <v>-2.2162449676163209E-3</v>
      </c>
      <c r="X129" s="115">
        <v>2008</v>
      </c>
      <c r="Y129" s="37">
        <v>24</v>
      </c>
      <c r="Z129" s="37">
        <v>0</v>
      </c>
      <c r="AA129" s="37">
        <v>11030.527949770125</v>
      </c>
      <c r="AB129" s="94">
        <v>22552.079365105994</v>
      </c>
      <c r="AC129" s="37">
        <v>6181.9475198</v>
      </c>
      <c r="AD129" s="37">
        <f t="shared" si="66"/>
        <v>17212.475469570127</v>
      </c>
      <c r="AE129" s="37">
        <f t="shared" si="67"/>
        <v>5339.6038955358672</v>
      </c>
      <c r="AF129" s="116">
        <f t="shared" si="68"/>
        <v>0.31021708091760153</v>
      </c>
      <c r="AG129" s="117">
        <f t="shared" si="70"/>
        <v>0.1550517453068776</v>
      </c>
    </row>
    <row r="130" spans="1:33" x14ac:dyDescent="0.25">
      <c r="A130" s="5">
        <f t="shared" ref="A130:E138" si="76">_xlfn.RANK.AVG(B17,B$17:B$25,0)</f>
        <v>5</v>
      </c>
      <c r="B130" s="5">
        <f t="shared" si="76"/>
        <v>4</v>
      </c>
      <c r="C130" s="5">
        <f t="shared" si="76"/>
        <v>1</v>
      </c>
      <c r="D130" s="5">
        <f t="shared" si="76"/>
        <v>9</v>
      </c>
      <c r="E130" s="5">
        <f t="shared" si="76"/>
        <v>7</v>
      </c>
      <c r="F130" s="141">
        <v>1999</v>
      </c>
      <c r="M130" s="118">
        <v>2009</v>
      </c>
      <c r="N130" s="37">
        <v>35</v>
      </c>
      <c r="O130" s="37">
        <v>2</v>
      </c>
      <c r="P130" s="37">
        <v>49148.290730458044</v>
      </c>
      <c r="Q130" s="94">
        <v>58531.038585589988</v>
      </c>
      <c r="R130" s="37">
        <v>13285.730892799998</v>
      </c>
      <c r="S130" s="37">
        <f t="shared" si="63"/>
        <v>62434.021623258042</v>
      </c>
      <c r="T130" s="37">
        <f t="shared" si="64"/>
        <v>-3902.9830376680547</v>
      </c>
      <c r="U130" s="116">
        <f t="shared" si="65"/>
        <v>-6.2513721464550157E-2</v>
      </c>
      <c r="V130" s="117">
        <f t="shared" si="69"/>
        <v>-6.245842472787462E-2</v>
      </c>
      <c r="X130" s="118">
        <v>2009</v>
      </c>
      <c r="Y130" s="37">
        <v>16</v>
      </c>
      <c r="Z130" s="37">
        <v>5</v>
      </c>
      <c r="AA130" s="37">
        <v>19516.527854617252</v>
      </c>
      <c r="AB130" s="94">
        <v>28111.101307354009</v>
      </c>
      <c r="AC130" s="37">
        <v>5926.7584559999978</v>
      </c>
      <c r="AD130" s="37">
        <f t="shared" si="66"/>
        <v>25443.286310617252</v>
      </c>
      <c r="AE130" s="37">
        <f t="shared" si="67"/>
        <v>2667.8149967367572</v>
      </c>
      <c r="AF130" s="116">
        <f t="shared" si="68"/>
        <v>0.10485339685162849</v>
      </c>
      <c r="AG130" s="117">
        <f t="shared" si="70"/>
        <v>7.7468175447569135E-2</v>
      </c>
    </row>
    <row r="131" spans="1:33" x14ac:dyDescent="0.25">
      <c r="A131" s="5">
        <f t="shared" si="76"/>
        <v>8</v>
      </c>
      <c r="B131" s="5">
        <f t="shared" si="76"/>
        <v>1</v>
      </c>
      <c r="C131" s="5">
        <f t="shared" si="76"/>
        <v>7</v>
      </c>
      <c r="D131" s="5">
        <f t="shared" si="76"/>
        <v>8</v>
      </c>
      <c r="E131" s="5">
        <f t="shared" si="76"/>
        <v>2</v>
      </c>
      <c r="F131" s="141">
        <v>2000</v>
      </c>
      <c r="M131" s="115">
        <v>2010</v>
      </c>
      <c r="N131" s="37">
        <v>50</v>
      </c>
      <c r="O131" s="37">
        <v>2</v>
      </c>
      <c r="P131" s="37">
        <v>38964.614717763572</v>
      </c>
      <c r="Q131" s="94">
        <v>55583.173756239987</v>
      </c>
      <c r="R131" s="37">
        <v>10401.518850799999</v>
      </c>
      <c r="S131" s="37">
        <f t="shared" si="63"/>
        <v>49366.133568563571</v>
      </c>
      <c r="T131" s="37">
        <f t="shared" si="64"/>
        <v>6217.0401876764154</v>
      </c>
      <c r="U131" s="116">
        <f t="shared" si="65"/>
        <v>0.12593735296368108</v>
      </c>
      <c r="V131" s="117">
        <f t="shared" si="69"/>
        <v>9.9489680801729388E-2</v>
      </c>
      <c r="X131" s="115">
        <v>2010</v>
      </c>
      <c r="Y131" s="37">
        <v>24</v>
      </c>
      <c r="Z131" s="37">
        <v>4</v>
      </c>
      <c r="AA131" s="37">
        <v>8257.118156899196</v>
      </c>
      <c r="AB131" s="94">
        <v>16296.951464340998</v>
      </c>
      <c r="AC131" s="37">
        <v>5025.8045740000007</v>
      </c>
      <c r="AD131" s="37">
        <f t="shared" si="66"/>
        <v>13282.922730899198</v>
      </c>
      <c r="AE131" s="37">
        <f t="shared" si="67"/>
        <v>3014.0287334418008</v>
      </c>
      <c r="AF131" s="116">
        <f t="shared" si="68"/>
        <v>0.22691005545266496</v>
      </c>
      <c r="AG131" s="117">
        <f t="shared" si="70"/>
        <v>8.7521551161489117E-2</v>
      </c>
    </row>
    <row r="132" spans="1:33" x14ac:dyDescent="0.25">
      <c r="A132" s="5">
        <f t="shared" si="76"/>
        <v>6</v>
      </c>
      <c r="B132" s="5">
        <f t="shared" si="76"/>
        <v>3</v>
      </c>
      <c r="C132" s="5">
        <f t="shared" si="76"/>
        <v>3</v>
      </c>
      <c r="D132" s="5">
        <f t="shared" si="76"/>
        <v>2</v>
      </c>
      <c r="E132" s="5">
        <f t="shared" si="76"/>
        <v>3</v>
      </c>
      <c r="F132" s="141">
        <v>2001</v>
      </c>
      <c r="M132" s="115">
        <v>2011</v>
      </c>
      <c r="N132" s="37">
        <v>33</v>
      </c>
      <c r="O132" s="37">
        <v>0</v>
      </c>
      <c r="P132" s="37">
        <v>14292.138331560645</v>
      </c>
      <c r="Q132" s="94">
        <v>29404.562346643008</v>
      </c>
      <c r="R132" s="37">
        <v>15754.501497000003</v>
      </c>
      <c r="S132" s="37">
        <f t="shared" si="63"/>
        <v>30046.639828560648</v>
      </c>
      <c r="T132" s="37">
        <f t="shared" si="64"/>
        <v>-642.0774819176404</v>
      </c>
      <c r="U132" s="116">
        <f t="shared" si="65"/>
        <v>-2.1369360620062335E-2</v>
      </c>
      <c r="V132" s="117">
        <f t="shared" si="69"/>
        <v>-1.0274999324049575E-2</v>
      </c>
      <c r="X132" s="115">
        <v>2011</v>
      </c>
      <c r="Y132" s="37">
        <v>10</v>
      </c>
      <c r="Z132" s="37">
        <v>0</v>
      </c>
      <c r="AA132" s="37">
        <v>1939.7942927175457</v>
      </c>
      <c r="AB132" s="94">
        <v>8172.9573058400001</v>
      </c>
      <c r="AC132" s="37">
        <v>5740.1236338000017</v>
      </c>
      <c r="AD132" s="37">
        <f t="shared" si="66"/>
        <v>7679.9179265175471</v>
      </c>
      <c r="AE132" s="37">
        <f t="shared" si="67"/>
        <v>493.03937932245299</v>
      </c>
      <c r="AF132" s="116">
        <f t="shared" si="68"/>
        <v>6.4198521916499343E-2</v>
      </c>
      <c r="AG132" s="117">
        <f t="shared" si="70"/>
        <v>1.4316907726597205E-2</v>
      </c>
    </row>
    <row r="133" spans="1:33" x14ac:dyDescent="0.25">
      <c r="A133" s="5">
        <f t="shared" si="76"/>
        <v>4</v>
      </c>
      <c r="B133" s="5">
        <f t="shared" si="76"/>
        <v>2</v>
      </c>
      <c r="C133" s="5">
        <f t="shared" si="76"/>
        <v>5</v>
      </c>
      <c r="D133" s="5">
        <f t="shared" si="76"/>
        <v>7</v>
      </c>
      <c r="E133" s="5">
        <f t="shared" si="76"/>
        <v>1</v>
      </c>
      <c r="F133" s="141">
        <v>2002</v>
      </c>
      <c r="M133" s="115">
        <v>2012</v>
      </c>
      <c r="N133" s="37">
        <v>40</v>
      </c>
      <c r="O133" s="37">
        <v>1</v>
      </c>
      <c r="P133" s="37">
        <v>52013.026524060158</v>
      </c>
      <c r="Q133" s="94">
        <v>64077.086539286953</v>
      </c>
      <c r="R133" s="37">
        <v>11613.640999800005</v>
      </c>
      <c r="S133" s="37">
        <f t="shared" si="63"/>
        <v>63626.66752386016</v>
      </c>
      <c r="T133" s="37">
        <f t="shared" si="64"/>
        <v>450.41901542679261</v>
      </c>
      <c r="U133" s="116">
        <f t="shared" si="65"/>
        <v>7.079091722945954E-3</v>
      </c>
      <c r="V133" s="117">
        <f t="shared" si="69"/>
        <v>7.2079386201601946E-3</v>
      </c>
      <c r="X133" s="115">
        <v>2012</v>
      </c>
      <c r="Y133" s="37">
        <v>17</v>
      </c>
      <c r="Z133" s="37">
        <v>10</v>
      </c>
      <c r="AA133" s="37">
        <v>46063.050684154783</v>
      </c>
      <c r="AB133" s="94">
        <v>57575.228352840008</v>
      </c>
      <c r="AC133" s="37">
        <v>7496.1029660000004</v>
      </c>
      <c r="AD133" s="37">
        <f t="shared" si="66"/>
        <v>53559.153650154782</v>
      </c>
      <c r="AE133" s="37">
        <f t="shared" si="67"/>
        <v>4016.0747026852259</v>
      </c>
      <c r="AF133" s="116">
        <f t="shared" si="68"/>
        <v>7.4983908986276895E-2</v>
      </c>
      <c r="AG133" s="117">
        <f t="shared" si="70"/>
        <v>0.11661902345504441</v>
      </c>
    </row>
    <row r="134" spans="1:33" x14ac:dyDescent="0.25">
      <c r="A134" s="5">
        <f t="shared" si="76"/>
        <v>1</v>
      </c>
      <c r="B134" s="5">
        <f t="shared" si="76"/>
        <v>7</v>
      </c>
      <c r="C134" s="5">
        <f t="shared" si="76"/>
        <v>6</v>
      </c>
      <c r="D134" s="5">
        <f t="shared" si="76"/>
        <v>4</v>
      </c>
      <c r="E134" s="5">
        <f t="shared" si="76"/>
        <v>6</v>
      </c>
      <c r="F134" s="141">
        <v>2003</v>
      </c>
      <c r="M134" s="115">
        <v>2013</v>
      </c>
      <c r="N134" s="37">
        <v>49</v>
      </c>
      <c r="O134" s="37">
        <v>2</v>
      </c>
      <c r="P134" s="37">
        <v>87987.494825890928</v>
      </c>
      <c r="Q134" s="94">
        <v>92443.846803954046</v>
      </c>
      <c r="R134" s="37">
        <v>11204.670063</v>
      </c>
      <c r="S134" s="37">
        <f t="shared" si="63"/>
        <v>99192.164888890926</v>
      </c>
      <c r="T134" s="37">
        <f t="shared" si="64"/>
        <v>-6748.31808493688</v>
      </c>
      <c r="U134" s="116">
        <f t="shared" si="65"/>
        <v>-6.8032773480606448E-2</v>
      </c>
      <c r="V134" s="117">
        <f t="shared" si="69"/>
        <v>-0.10799158312499754</v>
      </c>
      <c r="X134" s="115">
        <v>2013</v>
      </c>
      <c r="Y134" s="37">
        <v>31</v>
      </c>
      <c r="Z134" s="37">
        <v>0</v>
      </c>
      <c r="AA134" s="37">
        <v>25908.556578802836</v>
      </c>
      <c r="AB134" s="94">
        <v>36675.070598002007</v>
      </c>
      <c r="AC134" s="37">
        <v>5028.8028299999978</v>
      </c>
      <c r="AD134" s="37">
        <f t="shared" si="66"/>
        <v>30937.359408802833</v>
      </c>
      <c r="AE134" s="37">
        <f t="shared" si="67"/>
        <v>5737.7111891991735</v>
      </c>
      <c r="AF134" s="116">
        <f t="shared" si="68"/>
        <v>0.18546221457952164</v>
      </c>
      <c r="AG134" s="117">
        <f t="shared" si="70"/>
        <v>0.16661200930951267</v>
      </c>
    </row>
    <row r="135" spans="1:33" x14ac:dyDescent="0.25">
      <c r="A135" s="5">
        <f t="shared" si="76"/>
        <v>2</v>
      </c>
      <c r="B135" s="5">
        <f t="shared" si="76"/>
        <v>6</v>
      </c>
      <c r="C135" s="5">
        <f t="shared" si="76"/>
        <v>8</v>
      </c>
      <c r="D135" s="5">
        <f t="shared" si="76"/>
        <v>5</v>
      </c>
      <c r="E135" s="5">
        <f t="shared" si="76"/>
        <v>8</v>
      </c>
      <c r="F135" s="141">
        <v>2004</v>
      </c>
      <c r="M135" s="115">
        <v>2014</v>
      </c>
      <c r="N135" s="37">
        <v>77</v>
      </c>
      <c r="O135" s="37">
        <v>0</v>
      </c>
      <c r="P135" s="37">
        <v>106094.65876477277</v>
      </c>
      <c r="Q135" s="94">
        <v>122040.87096284996</v>
      </c>
      <c r="R135" s="37">
        <v>13910.503509800003</v>
      </c>
      <c r="S135" s="37">
        <f t="shared" si="63"/>
        <v>120005.16227457278</v>
      </c>
      <c r="T135" s="37">
        <f t="shared" si="64"/>
        <v>2035.7086882771837</v>
      </c>
      <c r="U135" s="116">
        <f t="shared" si="65"/>
        <v>1.6963509316536448E-2</v>
      </c>
      <c r="V135" s="117">
        <f t="shared" si="69"/>
        <v>3.2576917872184363E-2</v>
      </c>
      <c r="X135" s="115">
        <v>2014</v>
      </c>
      <c r="Y135" s="37">
        <v>21</v>
      </c>
      <c r="Z135" s="37">
        <v>2</v>
      </c>
      <c r="AA135" s="37">
        <v>21843.919831390602</v>
      </c>
      <c r="AB135" s="94">
        <v>31665.804396060008</v>
      </c>
      <c r="AC135" s="37">
        <v>5581.8002847999987</v>
      </c>
      <c r="AD135" s="37">
        <f t="shared" si="66"/>
        <v>27425.720116190601</v>
      </c>
      <c r="AE135" s="37">
        <f t="shared" si="67"/>
        <v>4240.0842798694066</v>
      </c>
      <c r="AF135" s="116">
        <f t="shared" si="68"/>
        <v>0.15460247759789175</v>
      </c>
      <c r="AG135" s="117">
        <f t="shared" si="70"/>
        <v>0.12312382729206708</v>
      </c>
    </row>
    <row r="136" spans="1:33" x14ac:dyDescent="0.25">
      <c r="A136" s="5">
        <f t="shared" si="76"/>
        <v>7</v>
      </c>
      <c r="B136" s="5">
        <f t="shared" si="76"/>
        <v>5</v>
      </c>
      <c r="C136" s="5">
        <f t="shared" si="76"/>
        <v>2</v>
      </c>
      <c r="D136" s="5">
        <f t="shared" si="76"/>
        <v>1</v>
      </c>
      <c r="E136" s="5">
        <f t="shared" si="76"/>
        <v>4</v>
      </c>
      <c r="F136" s="141">
        <v>2005</v>
      </c>
      <c r="M136" s="115">
        <v>2015</v>
      </c>
      <c r="N136" s="37">
        <v>139</v>
      </c>
      <c r="O136" s="37">
        <v>8</v>
      </c>
      <c r="P136" s="37">
        <v>127341.21448593818</v>
      </c>
      <c r="Q136" s="94">
        <v>138373.93544617807</v>
      </c>
      <c r="R136" s="37">
        <v>13883.744074999997</v>
      </c>
      <c r="S136" s="37">
        <f t="shared" si="63"/>
        <v>141224.95856093819</v>
      </c>
      <c r="T136" s="37">
        <f t="shared" si="64"/>
        <v>-2851.0231147601153</v>
      </c>
      <c r="U136" s="116">
        <f t="shared" si="65"/>
        <v>-2.0187813427680393E-2</v>
      </c>
      <c r="V136" s="117">
        <f t="shared" si="69"/>
        <v>-4.5624183065132766E-2</v>
      </c>
      <c r="X136" s="115">
        <v>2015</v>
      </c>
      <c r="Y136" s="37">
        <v>8</v>
      </c>
      <c r="Z136" s="37">
        <v>0</v>
      </c>
      <c r="AA136" s="37">
        <v>3640.3603213437432</v>
      </c>
      <c r="AB136" s="94">
        <v>12711.698349575998</v>
      </c>
      <c r="AC136" s="37">
        <v>6826.2176191999988</v>
      </c>
      <c r="AD136" s="37">
        <f t="shared" si="66"/>
        <v>10466.577940543742</v>
      </c>
      <c r="AE136" s="37">
        <f t="shared" si="67"/>
        <v>2245.1204090322553</v>
      </c>
      <c r="AF136" s="116">
        <f t="shared" si="68"/>
        <v>0.21450376825986933</v>
      </c>
      <c r="AG136" s="117">
        <f t="shared" si="70"/>
        <v>6.5193944093039663E-2</v>
      </c>
    </row>
    <row r="137" spans="1:33" x14ac:dyDescent="0.25">
      <c r="A137" s="5">
        <f t="shared" si="76"/>
        <v>9</v>
      </c>
      <c r="B137" s="5">
        <f t="shared" si="76"/>
        <v>9</v>
      </c>
      <c r="C137" s="5">
        <f t="shared" si="76"/>
        <v>4</v>
      </c>
      <c r="D137" s="5">
        <f t="shared" si="76"/>
        <v>3</v>
      </c>
      <c r="E137" s="5">
        <f t="shared" si="76"/>
        <v>9</v>
      </c>
      <c r="F137" s="141">
        <v>2006</v>
      </c>
      <c r="M137" s="115">
        <v>2016</v>
      </c>
      <c r="N137" s="37">
        <v>162</v>
      </c>
      <c r="O137" s="37">
        <v>0</v>
      </c>
      <c r="P137" s="37">
        <v>137676.36482319265</v>
      </c>
      <c r="Q137" s="94">
        <v>173127.66666957899</v>
      </c>
      <c r="R137" s="37">
        <v>20848.935269000005</v>
      </c>
      <c r="S137" s="37">
        <f t="shared" si="63"/>
        <v>158525.30009219266</v>
      </c>
      <c r="T137" s="37">
        <f t="shared" si="64"/>
        <v>14602.366577386332</v>
      </c>
      <c r="U137" s="116">
        <f t="shared" si="65"/>
        <v>9.2113792365597899E-2</v>
      </c>
      <c r="V137" s="117">
        <f t="shared" si="69"/>
        <v>0.23367788302442646</v>
      </c>
      <c r="X137" s="115">
        <v>2016</v>
      </c>
      <c r="Y137" s="37">
        <v>11</v>
      </c>
      <c r="Z137" s="37">
        <v>0</v>
      </c>
      <c r="AA137" s="37">
        <v>1592.9505330193037</v>
      </c>
      <c r="AB137" s="94">
        <v>6903.0798668309999</v>
      </c>
      <c r="AC137" s="37">
        <v>4646.9440639999993</v>
      </c>
      <c r="AD137" s="37">
        <f t="shared" si="66"/>
        <v>6239.8945970193035</v>
      </c>
      <c r="AE137" s="37">
        <f t="shared" si="67"/>
        <v>663.18526981169634</v>
      </c>
      <c r="AF137" s="116">
        <f t="shared" si="68"/>
        <v>0.10628148592902341</v>
      </c>
      <c r="AG137" s="117">
        <f t="shared" si="70"/>
        <v>1.9257614526816229E-2</v>
      </c>
    </row>
    <row r="138" spans="1:33" x14ac:dyDescent="0.25">
      <c r="A138" s="5">
        <f t="shared" si="76"/>
        <v>3</v>
      </c>
      <c r="B138" s="5">
        <f t="shared" si="76"/>
        <v>8</v>
      </c>
      <c r="C138" s="5">
        <f t="shared" si="76"/>
        <v>9</v>
      </c>
      <c r="D138" s="5">
        <f t="shared" si="76"/>
        <v>6</v>
      </c>
      <c r="E138" s="5">
        <f t="shared" si="76"/>
        <v>5</v>
      </c>
      <c r="F138" s="141">
        <v>2007</v>
      </c>
      <c r="M138" s="118">
        <v>2017</v>
      </c>
      <c r="N138" s="37">
        <v>24</v>
      </c>
      <c r="O138" s="37">
        <v>0</v>
      </c>
      <c r="P138" s="37">
        <v>25118.249080095444</v>
      </c>
      <c r="Q138" s="94">
        <v>45289.060046350009</v>
      </c>
      <c r="R138" s="37">
        <v>11576.535377200005</v>
      </c>
      <c r="S138" s="37">
        <f t="shared" si="63"/>
        <v>36694.784457295449</v>
      </c>
      <c r="T138" s="37">
        <f t="shared" si="64"/>
        <v>8594.2755890545595</v>
      </c>
      <c r="U138" s="116">
        <f t="shared" si="65"/>
        <v>0.23420973078766497</v>
      </c>
      <c r="V138" s="117">
        <f t="shared" si="69"/>
        <v>0.13753196203750134</v>
      </c>
      <c r="X138" s="118">
        <v>2017</v>
      </c>
      <c r="Y138" s="37">
        <v>2</v>
      </c>
      <c r="Z138" s="37">
        <v>0</v>
      </c>
      <c r="AA138" s="37">
        <v>267.20677684785829</v>
      </c>
      <c r="AB138" s="94">
        <v>4403.5542785400012</v>
      </c>
      <c r="AC138" s="37">
        <v>4199.2427144000012</v>
      </c>
      <c r="AD138" s="37">
        <f t="shared" si="66"/>
        <v>4466.4494912478594</v>
      </c>
      <c r="AE138" s="37">
        <f t="shared" si="67"/>
        <v>-62.895212707858263</v>
      </c>
      <c r="AF138" s="116">
        <f t="shared" si="68"/>
        <v>-1.4081702441973945E-2</v>
      </c>
      <c r="AG138" s="117">
        <f t="shared" si="70"/>
        <v>-1.826355042918787E-3</v>
      </c>
    </row>
    <row r="139" spans="1:33" x14ac:dyDescent="0.25">
      <c r="A139" s="5"/>
      <c r="B139" s="5"/>
      <c r="C139" s="5"/>
      <c r="D139" s="5"/>
      <c r="E139" s="5"/>
      <c r="F139" s="141"/>
      <c r="M139" s="119" t="s">
        <v>104</v>
      </c>
      <c r="N139" s="123"/>
      <c r="O139" s="123"/>
      <c r="P139" s="123"/>
      <c r="Q139" s="124"/>
      <c r="R139" s="123"/>
      <c r="S139" s="121">
        <f>AVERAGE(S107:S138)</f>
        <v>62489.296754969058</v>
      </c>
      <c r="T139" s="120"/>
      <c r="U139" s="120"/>
      <c r="V139" s="122"/>
      <c r="X139" s="119" t="s">
        <v>104</v>
      </c>
      <c r="Y139" s="123"/>
      <c r="Z139" s="123"/>
      <c r="AA139" s="123"/>
      <c r="AB139" s="124"/>
      <c r="AC139" s="123"/>
      <c r="AD139" s="121">
        <f>AVERAGE(AD107:AD138)</f>
        <v>34437.560731533536</v>
      </c>
      <c r="AE139" s="120"/>
      <c r="AF139" s="120"/>
      <c r="AG139" s="122"/>
    </row>
    <row r="140" spans="1:33" x14ac:dyDescent="0.25">
      <c r="A140" s="17"/>
      <c r="B140" s="17"/>
      <c r="C140" s="17"/>
      <c r="D140" s="17"/>
      <c r="E140" s="17"/>
      <c r="F140" s="17"/>
    </row>
    <row r="141" spans="1:33" x14ac:dyDescent="0.25">
      <c r="A141" s="17">
        <v>2</v>
      </c>
      <c r="B141" s="17">
        <v>3</v>
      </c>
      <c r="C141" s="17">
        <v>4</v>
      </c>
      <c r="D141" s="17">
        <v>5</v>
      </c>
      <c r="E141" s="17">
        <v>6</v>
      </c>
      <c r="F141" s="17"/>
      <c r="M141" s="370" t="s">
        <v>29</v>
      </c>
      <c r="N141" s="371"/>
      <c r="O141" s="371"/>
      <c r="P141" s="371"/>
      <c r="Q141" s="371"/>
      <c r="R141" s="371"/>
      <c r="S141" s="371"/>
      <c r="T141" s="371"/>
      <c r="U141" s="371"/>
      <c r="V141" s="372"/>
      <c r="W141" s="17"/>
      <c r="X141" s="370" t="s">
        <v>17</v>
      </c>
      <c r="Y141" s="371"/>
      <c r="Z141" s="371"/>
      <c r="AA141" s="371"/>
      <c r="AB141" s="371"/>
      <c r="AC141" s="371"/>
      <c r="AD141" s="371"/>
      <c r="AE141" s="371"/>
      <c r="AF141" s="371"/>
      <c r="AG141" s="372"/>
    </row>
    <row r="142" spans="1:33" x14ac:dyDescent="0.25">
      <c r="A142" s="17">
        <v>6</v>
      </c>
      <c r="B142" s="17">
        <v>5</v>
      </c>
      <c r="C142" s="17">
        <v>4</v>
      </c>
      <c r="D142" s="17">
        <v>3</v>
      </c>
      <c r="E142" s="17">
        <v>2</v>
      </c>
      <c r="F142" s="17"/>
      <c r="M142" s="111" t="s">
        <v>20</v>
      </c>
      <c r="N142" s="112" t="s">
        <v>94</v>
      </c>
      <c r="O142" s="112" t="s">
        <v>95</v>
      </c>
      <c r="P142" s="112" t="s">
        <v>101</v>
      </c>
      <c r="Q142" s="113" t="s">
        <v>50</v>
      </c>
      <c r="R142" s="112" t="s">
        <v>45</v>
      </c>
      <c r="S142" s="112" t="s">
        <v>98</v>
      </c>
      <c r="T142" s="112" t="s">
        <v>97</v>
      </c>
      <c r="U142" s="112" t="s">
        <v>99</v>
      </c>
      <c r="V142" s="114" t="s">
        <v>103</v>
      </c>
      <c r="W142" s="17"/>
      <c r="X142" s="111" t="s">
        <v>20</v>
      </c>
      <c r="Y142" s="112" t="s">
        <v>94</v>
      </c>
      <c r="Z142" s="112" t="s">
        <v>95</v>
      </c>
      <c r="AA142" s="112" t="s">
        <v>101</v>
      </c>
      <c r="AB142" s="113" t="s">
        <v>50</v>
      </c>
      <c r="AC142" s="112" t="s">
        <v>45</v>
      </c>
      <c r="AD142" s="112" t="s">
        <v>98</v>
      </c>
      <c r="AE142" s="112" t="s">
        <v>97</v>
      </c>
      <c r="AF142" s="112" t="s">
        <v>99</v>
      </c>
      <c r="AG142" s="114" t="s">
        <v>103</v>
      </c>
    </row>
    <row r="143" spans="1:33" x14ac:dyDescent="0.25">
      <c r="M143" s="115">
        <v>1986</v>
      </c>
      <c r="N143" s="37">
        <v>1</v>
      </c>
      <c r="O143" s="37">
        <v>0</v>
      </c>
      <c r="P143" s="37">
        <v>7051.7914587055329</v>
      </c>
      <c r="Q143" s="94">
        <v>4045.2823937000003</v>
      </c>
      <c r="R143" s="37">
        <v>1961.2893210000004</v>
      </c>
      <c r="S143" s="37">
        <f t="shared" ref="S143:S174" si="77">P143+R143</f>
        <v>9013.0807797055331</v>
      </c>
      <c r="T143" s="37">
        <f t="shared" ref="T143:T174" si="78">Q143-S143</f>
        <v>-4967.7983860055328</v>
      </c>
      <c r="U143" s="116">
        <f t="shared" ref="U143:U174" si="79">T143/S143</f>
        <v>-0.55117650750355707</v>
      </c>
      <c r="V143" s="117">
        <f>T143/$S$175</f>
        <v>-0.45556534591894804</v>
      </c>
      <c r="W143" s="17"/>
      <c r="X143" s="115">
        <v>1986</v>
      </c>
      <c r="Y143" s="37">
        <v>14</v>
      </c>
      <c r="Z143" s="37">
        <v>0</v>
      </c>
      <c r="AA143" s="37">
        <v>5728.7611903815759</v>
      </c>
      <c r="AB143" s="94">
        <v>26324.3026918</v>
      </c>
      <c r="AC143" s="37">
        <v>19803.377263800005</v>
      </c>
      <c r="AD143" s="37">
        <f t="shared" ref="AD143:AD174" si="80">AA143+AC143</f>
        <v>25532.138454181579</v>
      </c>
      <c r="AE143" s="37">
        <f t="shared" ref="AE143:AE174" si="81">AB143-AD143</f>
        <v>792.16423761842088</v>
      </c>
      <c r="AF143" s="116">
        <f t="shared" ref="AF143:AF174" si="82">AE143/AD143</f>
        <v>3.1026160971200693E-2</v>
      </c>
      <c r="AG143" s="117">
        <f>AE143/$AD$175</f>
        <v>1.7293947184250945E-2</v>
      </c>
    </row>
    <row r="144" spans="1:33" x14ac:dyDescent="0.25">
      <c r="M144" s="115">
        <v>1987</v>
      </c>
      <c r="N144" s="37">
        <v>7</v>
      </c>
      <c r="O144" s="37">
        <v>0</v>
      </c>
      <c r="P144" s="37">
        <v>1544.6268430511739</v>
      </c>
      <c r="Q144" s="94">
        <v>3152.1533650100009</v>
      </c>
      <c r="R144" s="37">
        <v>1744.0237863999998</v>
      </c>
      <c r="S144" s="37">
        <f t="shared" si="77"/>
        <v>3288.6506294511737</v>
      </c>
      <c r="T144" s="37">
        <f t="shared" si="78"/>
        <v>-136.49726444117277</v>
      </c>
      <c r="U144" s="116">
        <f t="shared" si="79"/>
        <v>-4.1505553438478844E-2</v>
      </c>
      <c r="V144" s="117">
        <f t="shared" ref="V144:V174" si="83">T144/$S$175</f>
        <v>-1.2517300151975963E-2</v>
      </c>
      <c r="W144" s="17"/>
      <c r="X144" s="115">
        <v>1987</v>
      </c>
      <c r="Y144" s="37">
        <v>98</v>
      </c>
      <c r="Z144" s="37">
        <v>0</v>
      </c>
      <c r="AA144" s="37">
        <v>11184.013726608142</v>
      </c>
      <c r="AB144" s="94">
        <v>41624.770072209998</v>
      </c>
      <c r="AC144" s="37">
        <v>32760.2744298</v>
      </c>
      <c r="AD144" s="37">
        <f t="shared" si="80"/>
        <v>43944.28815640814</v>
      </c>
      <c r="AE144" s="37">
        <f t="shared" si="81"/>
        <v>-2319.5180841981419</v>
      </c>
      <c r="AF144" s="116">
        <f t="shared" si="82"/>
        <v>-5.2783152976387443E-2</v>
      </c>
      <c r="AG144" s="117">
        <f t="shared" ref="AG144:AG174" si="84">AE144/$AD$175</f>
        <v>-5.0638013351418175E-2</v>
      </c>
    </row>
    <row r="145" spans="13:34" x14ac:dyDescent="0.25">
      <c r="M145" s="118">
        <v>1988</v>
      </c>
      <c r="N145" s="128">
        <v>5</v>
      </c>
      <c r="O145" s="128">
        <v>0</v>
      </c>
      <c r="P145" s="128">
        <v>0</v>
      </c>
      <c r="Q145" s="94">
        <v>3661.1984174699996</v>
      </c>
      <c r="R145" s="128">
        <v>2133.7221100000002</v>
      </c>
      <c r="S145" s="128"/>
      <c r="T145" s="128"/>
      <c r="U145" s="129" t="e">
        <f t="shared" si="79"/>
        <v>#DIV/0!</v>
      </c>
      <c r="V145" s="130">
        <f t="shared" si="83"/>
        <v>0</v>
      </c>
      <c r="W145" s="17" t="s">
        <v>112</v>
      </c>
      <c r="X145" s="118">
        <v>1988</v>
      </c>
      <c r="Y145" s="128">
        <v>11</v>
      </c>
      <c r="Z145" s="128">
        <v>11</v>
      </c>
      <c r="AA145" s="128">
        <v>418.85929106854246</v>
      </c>
      <c r="AB145" s="94">
        <v>31439.576119963993</v>
      </c>
      <c r="AC145" s="128">
        <v>24079.937504799997</v>
      </c>
      <c r="AD145" s="128"/>
      <c r="AE145" s="128"/>
      <c r="AF145" s="129" t="e">
        <f t="shared" si="82"/>
        <v>#DIV/0!</v>
      </c>
      <c r="AG145" s="130">
        <f t="shared" si="84"/>
        <v>0</v>
      </c>
      <c r="AH145" t="s">
        <v>112</v>
      </c>
    </row>
    <row r="146" spans="13:34" x14ac:dyDescent="0.25">
      <c r="M146" s="115">
        <v>1989</v>
      </c>
      <c r="N146" s="37">
        <v>42</v>
      </c>
      <c r="O146" s="37">
        <v>0</v>
      </c>
      <c r="P146" s="37">
        <v>7316.3808583747286</v>
      </c>
      <c r="Q146" s="94">
        <v>5574.3278204149992</v>
      </c>
      <c r="R146" s="37">
        <v>34.601196999999999</v>
      </c>
      <c r="S146" s="37">
        <f t="shared" si="77"/>
        <v>7350.9820553747286</v>
      </c>
      <c r="T146" s="37">
        <f t="shared" si="78"/>
        <v>-1776.6542349597294</v>
      </c>
      <c r="U146" s="116">
        <f t="shared" si="79"/>
        <v>-0.24168937178410257</v>
      </c>
      <c r="V146" s="117">
        <f t="shared" si="83"/>
        <v>-0.16292571441865508</v>
      </c>
      <c r="W146" s="17"/>
      <c r="X146" s="115">
        <v>1989</v>
      </c>
      <c r="Y146" s="37">
        <v>21</v>
      </c>
      <c r="Z146" s="37">
        <v>7</v>
      </c>
      <c r="AA146" s="37">
        <v>29496.375371808906</v>
      </c>
      <c r="AB146" s="94">
        <v>48615.884334030015</v>
      </c>
      <c r="AC146" s="37">
        <v>11264.476451799996</v>
      </c>
      <c r="AD146" s="37">
        <f t="shared" si="80"/>
        <v>40760.8518236089</v>
      </c>
      <c r="AE146" s="37">
        <f t="shared" si="81"/>
        <v>7855.0325104211151</v>
      </c>
      <c r="AF146" s="116">
        <f t="shared" si="82"/>
        <v>0.19271021480153266</v>
      </c>
      <c r="AG146" s="117">
        <f t="shared" si="84"/>
        <v>0.17148529422913947</v>
      </c>
    </row>
    <row r="147" spans="13:34" x14ac:dyDescent="0.25">
      <c r="M147" s="118">
        <v>1990</v>
      </c>
      <c r="N147" s="128"/>
      <c r="O147" s="128"/>
      <c r="P147" s="128"/>
      <c r="Q147" s="94">
        <v>1630.4780680000001</v>
      </c>
      <c r="R147" s="128">
        <v>1630.4780680000001</v>
      </c>
      <c r="S147" s="128">
        <f t="shared" si="77"/>
        <v>1630.4780680000001</v>
      </c>
      <c r="T147" s="128">
        <f t="shared" si="78"/>
        <v>0</v>
      </c>
      <c r="U147" s="129">
        <f t="shared" si="79"/>
        <v>0</v>
      </c>
      <c r="V147" s="130">
        <f t="shared" si="83"/>
        <v>0</v>
      </c>
      <c r="W147" s="17"/>
      <c r="X147" s="118">
        <v>1990</v>
      </c>
      <c r="Y147" s="128">
        <v>22</v>
      </c>
      <c r="Z147" s="128">
        <v>1</v>
      </c>
      <c r="AA147" s="128">
        <v>15417.263371455741</v>
      </c>
      <c r="AB147" s="94">
        <v>35597.586835690017</v>
      </c>
      <c r="AC147" s="128">
        <v>12314.741278</v>
      </c>
      <c r="AD147" s="128">
        <f t="shared" si="80"/>
        <v>27732.004649455739</v>
      </c>
      <c r="AE147" s="128">
        <f t="shared" si="81"/>
        <v>7865.5821862342782</v>
      </c>
      <c r="AF147" s="129">
        <f t="shared" si="82"/>
        <v>0.28362833071963467</v>
      </c>
      <c r="AG147" s="130">
        <f t="shared" si="84"/>
        <v>0.17171560699467447</v>
      </c>
    </row>
    <row r="148" spans="13:34" x14ac:dyDescent="0.25">
      <c r="M148" s="118">
        <v>1991</v>
      </c>
      <c r="N148" s="128">
        <v>33</v>
      </c>
      <c r="O148" s="128">
        <v>4</v>
      </c>
      <c r="P148" s="128">
        <v>8773.8194320751027</v>
      </c>
      <c r="Q148" s="94">
        <v>27559.498745199999</v>
      </c>
      <c r="R148" s="128">
        <v>10846.477678000001</v>
      </c>
      <c r="S148" s="128">
        <f t="shared" si="77"/>
        <v>19620.297110075102</v>
      </c>
      <c r="T148" s="128">
        <f t="shared" si="78"/>
        <v>7939.2016351248967</v>
      </c>
      <c r="U148" s="129">
        <f t="shared" si="79"/>
        <v>0.40464227379350359</v>
      </c>
      <c r="V148" s="130">
        <f t="shared" si="83"/>
        <v>0.72805393017049125</v>
      </c>
      <c r="W148" s="17"/>
      <c r="X148" s="118">
        <v>1991</v>
      </c>
      <c r="Y148" s="128">
        <v>33</v>
      </c>
      <c r="Z148" s="128">
        <v>3</v>
      </c>
      <c r="AA148" s="128">
        <v>16380.082005698438</v>
      </c>
      <c r="AB148" s="94">
        <v>76848.986086136982</v>
      </c>
      <c r="AC148" s="128">
        <v>57830.956969999999</v>
      </c>
      <c r="AD148" s="128">
        <f t="shared" si="80"/>
        <v>74211.038975698437</v>
      </c>
      <c r="AE148" s="128">
        <f t="shared" si="81"/>
        <v>2637.9471104385448</v>
      </c>
      <c r="AF148" s="129">
        <f t="shared" si="82"/>
        <v>3.5546559472134351E-2</v>
      </c>
      <c r="AG148" s="130">
        <f t="shared" si="84"/>
        <v>5.7589721722260602E-2</v>
      </c>
    </row>
    <row r="149" spans="13:34" x14ac:dyDescent="0.25">
      <c r="M149" s="118">
        <v>1992</v>
      </c>
      <c r="N149" s="128">
        <v>25</v>
      </c>
      <c r="O149" s="128">
        <v>1</v>
      </c>
      <c r="P149" s="128">
        <v>8557.9873480676069</v>
      </c>
      <c r="Q149" s="94">
        <v>8472.4158070689973</v>
      </c>
      <c r="R149" s="128">
        <v>1754.663186</v>
      </c>
      <c r="S149" s="128">
        <f t="shared" si="77"/>
        <v>10312.650534067607</v>
      </c>
      <c r="T149" s="128">
        <f t="shared" si="78"/>
        <v>-1840.2347269986094</v>
      </c>
      <c r="U149" s="129">
        <f t="shared" si="79"/>
        <v>-0.17844439903392786</v>
      </c>
      <c r="V149" s="130">
        <f t="shared" si="83"/>
        <v>-0.16875627890593076</v>
      </c>
      <c r="W149" s="17"/>
      <c r="X149" s="118">
        <v>1992</v>
      </c>
      <c r="Y149" s="128">
        <v>83</v>
      </c>
      <c r="Z149" s="128">
        <v>0</v>
      </c>
      <c r="AA149" s="128">
        <v>16249.108229562948</v>
      </c>
      <c r="AB149" s="94">
        <v>64843.784360109988</v>
      </c>
      <c r="AC149" s="128">
        <v>24516.011794000005</v>
      </c>
      <c r="AD149" s="128">
        <f t="shared" si="80"/>
        <v>40765.120023562951</v>
      </c>
      <c r="AE149" s="128">
        <f t="shared" si="81"/>
        <v>24078.664336547037</v>
      </c>
      <c r="AF149" s="129">
        <f t="shared" si="82"/>
        <v>0.59066830473279974</v>
      </c>
      <c r="AG149" s="130">
        <f t="shared" si="84"/>
        <v>0.52566769557215864</v>
      </c>
    </row>
    <row r="150" spans="13:34" x14ac:dyDescent="0.25">
      <c r="M150" s="118">
        <v>1993</v>
      </c>
      <c r="N150" s="128">
        <v>40</v>
      </c>
      <c r="O150" s="128">
        <v>3</v>
      </c>
      <c r="P150" s="128">
        <v>10023.485232043504</v>
      </c>
      <c r="Q150" s="94">
        <v>11930.550886759998</v>
      </c>
      <c r="R150" s="128">
        <v>3656.3290999999999</v>
      </c>
      <c r="S150" s="128">
        <f t="shared" si="77"/>
        <v>13679.814332043505</v>
      </c>
      <c r="T150" s="128">
        <f t="shared" si="78"/>
        <v>-1749.2634452835064</v>
      </c>
      <c r="U150" s="129">
        <f t="shared" si="79"/>
        <v>-0.12787187039417952</v>
      </c>
      <c r="V150" s="130">
        <f t="shared" si="83"/>
        <v>-0.16041387846955668</v>
      </c>
      <c r="W150" s="17"/>
      <c r="X150" s="118">
        <v>1993</v>
      </c>
      <c r="Y150" s="128">
        <v>16</v>
      </c>
      <c r="Z150" s="128">
        <v>0</v>
      </c>
      <c r="AA150" s="128">
        <v>9936.9206826277496</v>
      </c>
      <c r="AB150" s="94">
        <v>40230.460486153985</v>
      </c>
      <c r="AC150" s="128">
        <v>26839.792469999989</v>
      </c>
      <c r="AD150" s="128">
        <f t="shared" si="80"/>
        <v>36776.713152627737</v>
      </c>
      <c r="AE150" s="128">
        <f t="shared" si="81"/>
        <v>3453.7473335262475</v>
      </c>
      <c r="AF150" s="129">
        <f t="shared" si="82"/>
        <v>9.3911256266779056E-2</v>
      </c>
      <c r="AG150" s="130">
        <f t="shared" si="84"/>
        <v>7.539967236254029E-2</v>
      </c>
    </row>
    <row r="151" spans="13:34" x14ac:dyDescent="0.25">
      <c r="M151" s="118">
        <v>1994</v>
      </c>
      <c r="N151" s="128">
        <v>169</v>
      </c>
      <c r="O151" s="128">
        <v>26</v>
      </c>
      <c r="P151" s="128">
        <v>28715.686010477177</v>
      </c>
      <c r="Q151" s="94">
        <v>37392.163961890001</v>
      </c>
      <c r="R151" s="128">
        <v>2811.2397820000001</v>
      </c>
      <c r="S151" s="128">
        <f t="shared" si="77"/>
        <v>31526.925792477177</v>
      </c>
      <c r="T151" s="128">
        <f t="shared" si="78"/>
        <v>5865.2381694128235</v>
      </c>
      <c r="U151" s="129">
        <f t="shared" si="79"/>
        <v>0.1860390133824073</v>
      </c>
      <c r="V151" s="130">
        <f t="shared" si="83"/>
        <v>0.5378638680411606</v>
      </c>
      <c r="W151" s="17"/>
      <c r="X151" s="118">
        <v>1994</v>
      </c>
      <c r="Y151" s="128">
        <v>35</v>
      </c>
      <c r="Z151" s="128">
        <v>0</v>
      </c>
      <c r="AA151" s="128">
        <v>20416.2802898769</v>
      </c>
      <c r="AB151" s="94">
        <v>33218.561826719997</v>
      </c>
      <c r="AC151" s="128">
        <v>16985.781619999994</v>
      </c>
      <c r="AD151" s="128">
        <f t="shared" si="80"/>
        <v>37402.061909876895</v>
      </c>
      <c r="AE151" s="128">
        <f t="shared" si="81"/>
        <v>-4183.5000831568977</v>
      </c>
      <c r="AF151" s="129">
        <f t="shared" si="82"/>
        <v>-0.11185212444269406</v>
      </c>
      <c r="AG151" s="130">
        <f t="shared" si="84"/>
        <v>-9.1331097830087679E-2</v>
      </c>
    </row>
    <row r="152" spans="13:34" x14ac:dyDescent="0.25">
      <c r="M152" s="118">
        <v>1995</v>
      </c>
      <c r="N152" s="128">
        <v>20</v>
      </c>
      <c r="O152" s="128">
        <v>0</v>
      </c>
      <c r="P152" s="128">
        <v>5150.0502916168944</v>
      </c>
      <c r="Q152" s="94">
        <v>10117.051810430998</v>
      </c>
      <c r="R152" s="128">
        <v>3939.2233720000008</v>
      </c>
      <c r="S152" s="128">
        <f t="shared" si="77"/>
        <v>9089.2736636168956</v>
      </c>
      <c r="T152" s="128">
        <f t="shared" si="78"/>
        <v>1027.778146814102</v>
      </c>
      <c r="U152" s="129">
        <f t="shared" si="79"/>
        <v>0.11307593817184267</v>
      </c>
      <c r="V152" s="130">
        <f t="shared" si="83"/>
        <v>9.4251028443564588E-2</v>
      </c>
      <c r="W152" s="17"/>
      <c r="X152" s="118">
        <v>1995</v>
      </c>
      <c r="Y152" s="128">
        <v>43</v>
      </c>
      <c r="Z152" s="128">
        <v>2</v>
      </c>
      <c r="AA152" s="128">
        <v>22117.814818503422</v>
      </c>
      <c r="AB152" s="94">
        <v>38618.46191237001</v>
      </c>
      <c r="AC152" s="128">
        <v>18943.753017999992</v>
      </c>
      <c r="AD152" s="128">
        <f t="shared" si="80"/>
        <v>41061.567836503411</v>
      </c>
      <c r="AE152" s="128">
        <f t="shared" si="81"/>
        <v>-2443.1059241334005</v>
      </c>
      <c r="AF152" s="129">
        <f t="shared" si="82"/>
        <v>-5.9498603021229467E-2</v>
      </c>
      <c r="AG152" s="130">
        <f t="shared" si="84"/>
        <v>-5.333609220294739E-2</v>
      </c>
    </row>
    <row r="153" spans="13:34" x14ac:dyDescent="0.25">
      <c r="M153" s="118">
        <v>1996</v>
      </c>
      <c r="N153" s="128">
        <v>34</v>
      </c>
      <c r="O153" s="128">
        <v>0</v>
      </c>
      <c r="P153" s="128">
        <v>3494.1139023794508</v>
      </c>
      <c r="Q153" s="94">
        <v>8305.1703705339987</v>
      </c>
      <c r="R153" s="128">
        <v>4575.8898060000001</v>
      </c>
      <c r="S153" s="128">
        <f t="shared" si="77"/>
        <v>8070.0037083794505</v>
      </c>
      <c r="T153" s="128">
        <f t="shared" si="78"/>
        <v>235.16666215454825</v>
      </c>
      <c r="U153" s="129">
        <f t="shared" si="79"/>
        <v>2.9140836937951348E-2</v>
      </c>
      <c r="V153" s="130">
        <f t="shared" si="83"/>
        <v>2.1565646080734854E-2</v>
      </c>
      <c r="W153" s="17"/>
      <c r="X153" s="118">
        <v>1996</v>
      </c>
      <c r="Y153" s="128">
        <v>15</v>
      </c>
      <c r="Z153" s="128">
        <v>0</v>
      </c>
      <c r="AA153" s="128">
        <v>20531.136603732339</v>
      </c>
      <c r="AB153" s="94">
        <v>40052.627645379987</v>
      </c>
      <c r="AC153" s="128">
        <v>12427.440430000002</v>
      </c>
      <c r="AD153" s="128">
        <f t="shared" si="80"/>
        <v>32958.577033732341</v>
      </c>
      <c r="AE153" s="128">
        <f t="shared" si="81"/>
        <v>7094.0506116476463</v>
      </c>
      <c r="AF153" s="129">
        <f t="shared" si="82"/>
        <v>0.21524141058599253</v>
      </c>
      <c r="AG153" s="130">
        <f t="shared" si="84"/>
        <v>0.15487209693923781</v>
      </c>
    </row>
    <row r="154" spans="13:34" x14ac:dyDescent="0.25">
      <c r="M154" s="118">
        <v>1997</v>
      </c>
      <c r="N154" s="128">
        <v>52</v>
      </c>
      <c r="O154" s="128">
        <v>10</v>
      </c>
      <c r="P154" s="128">
        <v>29124.572807033772</v>
      </c>
      <c r="Q154" s="94">
        <v>33582.963114734994</v>
      </c>
      <c r="R154" s="128">
        <v>1591.4346020000003</v>
      </c>
      <c r="S154" s="128">
        <f t="shared" si="77"/>
        <v>30716.007409033773</v>
      </c>
      <c r="T154" s="128">
        <f t="shared" si="78"/>
        <v>2866.9557057012207</v>
      </c>
      <c r="U154" s="129">
        <f t="shared" si="79"/>
        <v>9.3337511855724808E-2</v>
      </c>
      <c r="V154" s="130">
        <f t="shared" si="83"/>
        <v>0.26291036115341732</v>
      </c>
      <c r="W154" s="17"/>
      <c r="X154" s="118">
        <v>1997</v>
      </c>
      <c r="Y154" s="128">
        <v>171</v>
      </c>
      <c r="Z154" s="128">
        <v>0</v>
      </c>
      <c r="AA154" s="128">
        <v>83804.753686676078</v>
      </c>
      <c r="AB154" s="94">
        <v>100362.11607759999</v>
      </c>
      <c r="AC154" s="128">
        <v>11721.285004000001</v>
      </c>
      <c r="AD154" s="128">
        <f t="shared" si="80"/>
        <v>95526.038690676083</v>
      </c>
      <c r="AE154" s="128">
        <f t="shared" si="81"/>
        <v>4836.0773869239056</v>
      </c>
      <c r="AF154" s="129">
        <f t="shared" si="82"/>
        <v>5.0625750352567861E-2</v>
      </c>
      <c r="AG154" s="130">
        <f t="shared" si="84"/>
        <v>0.1055776857080218</v>
      </c>
    </row>
    <row r="155" spans="13:34" x14ac:dyDescent="0.25">
      <c r="M155" s="118">
        <v>1998</v>
      </c>
      <c r="N155" s="128">
        <v>35</v>
      </c>
      <c r="O155" s="128">
        <v>1</v>
      </c>
      <c r="P155" s="128">
        <v>5507.0962400194257</v>
      </c>
      <c r="Q155" s="94">
        <v>4413.446661392999</v>
      </c>
      <c r="R155" s="128">
        <v>622.29244200000016</v>
      </c>
      <c r="S155" s="128">
        <f t="shared" si="77"/>
        <v>6129.3886820194257</v>
      </c>
      <c r="T155" s="128">
        <f t="shared" si="78"/>
        <v>-1715.9420206264267</v>
      </c>
      <c r="U155" s="129">
        <f t="shared" si="79"/>
        <v>-0.2799532073500488</v>
      </c>
      <c r="V155" s="130">
        <f t="shared" si="83"/>
        <v>-0.15735818152477377</v>
      </c>
      <c r="W155" s="17"/>
      <c r="X155" s="118">
        <v>1998</v>
      </c>
      <c r="Y155" s="128">
        <v>47</v>
      </c>
      <c r="Z155" s="128">
        <v>0</v>
      </c>
      <c r="AA155" s="128">
        <v>11487.261265290022</v>
      </c>
      <c r="AB155" s="94">
        <v>21176.490322449004</v>
      </c>
      <c r="AC155" s="128">
        <v>9770.7431079999969</v>
      </c>
      <c r="AD155" s="128">
        <f t="shared" si="80"/>
        <v>21258.004373290019</v>
      </c>
      <c r="AE155" s="128">
        <f t="shared" si="81"/>
        <v>-81.514050841014978</v>
      </c>
      <c r="AF155" s="129">
        <f t="shared" si="82"/>
        <v>-3.834510963947053E-3</v>
      </c>
      <c r="AG155" s="130">
        <f t="shared" si="84"/>
        <v>-1.7795548234505131E-3</v>
      </c>
    </row>
    <row r="156" spans="13:34" x14ac:dyDescent="0.25">
      <c r="M156" s="118">
        <v>1999</v>
      </c>
      <c r="N156" s="128"/>
      <c r="O156" s="128"/>
      <c r="P156" s="128"/>
      <c r="Q156" s="94">
        <v>383.35789399999993</v>
      </c>
      <c r="R156" s="128">
        <v>383.35789399999993</v>
      </c>
      <c r="S156" s="128">
        <f t="shared" si="77"/>
        <v>383.35789399999993</v>
      </c>
      <c r="T156" s="128">
        <f t="shared" si="78"/>
        <v>0</v>
      </c>
      <c r="U156" s="129">
        <f t="shared" si="79"/>
        <v>0</v>
      </c>
      <c r="V156" s="130">
        <f t="shared" si="83"/>
        <v>0</v>
      </c>
      <c r="W156" s="17"/>
      <c r="X156" s="118">
        <v>1999</v>
      </c>
      <c r="Y156" s="128">
        <v>16</v>
      </c>
      <c r="Z156" s="128">
        <v>2</v>
      </c>
      <c r="AA156" s="128">
        <v>10008.380143649241</v>
      </c>
      <c r="AB156" s="94">
        <v>17509.668714033007</v>
      </c>
      <c r="AC156" s="128">
        <v>8697.0147239999951</v>
      </c>
      <c r="AD156" s="128">
        <f t="shared" si="80"/>
        <v>18705.394867649236</v>
      </c>
      <c r="AE156" s="128">
        <f t="shared" si="81"/>
        <v>-1195.7261536162296</v>
      </c>
      <c r="AF156" s="129">
        <f t="shared" si="82"/>
        <v>-6.3924133228763003E-2</v>
      </c>
      <c r="AG156" s="130">
        <f t="shared" si="84"/>
        <v>-2.6104214208957293E-2</v>
      </c>
    </row>
    <row r="157" spans="13:34" x14ac:dyDescent="0.25">
      <c r="M157" s="118">
        <v>2000</v>
      </c>
      <c r="N157" s="128">
        <v>0</v>
      </c>
      <c r="O157" s="128">
        <v>0</v>
      </c>
      <c r="P157" s="128">
        <v>0</v>
      </c>
      <c r="Q157" s="94">
        <v>648.94605599999988</v>
      </c>
      <c r="R157" s="128">
        <v>648.94605599999988</v>
      </c>
      <c r="S157" s="128">
        <f t="shared" si="77"/>
        <v>648.94605599999988</v>
      </c>
      <c r="T157" s="128">
        <f t="shared" si="78"/>
        <v>0</v>
      </c>
      <c r="U157" s="129">
        <f t="shared" si="79"/>
        <v>0</v>
      </c>
      <c r="V157" s="130">
        <f t="shared" si="83"/>
        <v>0</v>
      </c>
      <c r="W157" s="17"/>
      <c r="X157" s="118">
        <v>2000</v>
      </c>
      <c r="Y157" s="128">
        <v>40</v>
      </c>
      <c r="Z157" s="128">
        <v>0</v>
      </c>
      <c r="AA157" s="128">
        <v>46989.350801320521</v>
      </c>
      <c r="AB157" s="94">
        <v>67263.673567558013</v>
      </c>
      <c r="AC157" s="128">
        <v>10768.060055999998</v>
      </c>
      <c r="AD157" s="128">
        <f t="shared" si="80"/>
        <v>57757.410857320516</v>
      </c>
      <c r="AE157" s="128">
        <f t="shared" si="81"/>
        <v>9506.2627102374972</v>
      </c>
      <c r="AF157" s="129">
        <f t="shared" si="82"/>
        <v>0.1645894885025411</v>
      </c>
      <c r="AG157" s="130">
        <f t="shared" si="84"/>
        <v>0.20753373785809812</v>
      </c>
    </row>
    <row r="158" spans="13:34" x14ac:dyDescent="0.25">
      <c r="M158" s="118">
        <v>2001</v>
      </c>
      <c r="N158" s="128">
        <v>34</v>
      </c>
      <c r="O158" s="128">
        <v>0</v>
      </c>
      <c r="P158" s="128">
        <v>17231.236443064066</v>
      </c>
      <c r="Q158" s="94">
        <v>15623.0758618</v>
      </c>
      <c r="R158" s="128">
        <v>6089.8327180000024</v>
      </c>
      <c r="S158" s="128">
        <f t="shared" si="77"/>
        <v>23321.069161064068</v>
      </c>
      <c r="T158" s="128">
        <f t="shared" si="78"/>
        <v>-7697.9932992640679</v>
      </c>
      <c r="U158" s="129">
        <f t="shared" si="79"/>
        <v>-0.33008749496426742</v>
      </c>
      <c r="V158" s="130">
        <f t="shared" si="83"/>
        <v>-0.70593424043539144</v>
      </c>
      <c r="W158" s="17"/>
      <c r="X158" s="118">
        <v>2001</v>
      </c>
      <c r="Y158" s="128">
        <v>65</v>
      </c>
      <c r="Z158" s="128">
        <v>0</v>
      </c>
      <c r="AA158" s="128">
        <v>33229.94636567503</v>
      </c>
      <c r="AB158" s="94">
        <v>50359.464171726082</v>
      </c>
      <c r="AC158" s="128">
        <v>10591.912515999995</v>
      </c>
      <c r="AD158" s="128">
        <f t="shared" si="80"/>
        <v>43821.858881675027</v>
      </c>
      <c r="AE158" s="128">
        <f t="shared" si="81"/>
        <v>6537.6052900510549</v>
      </c>
      <c r="AF158" s="129">
        <f t="shared" si="82"/>
        <v>0.14918594183107287</v>
      </c>
      <c r="AG158" s="130">
        <f t="shared" si="84"/>
        <v>0.14272419181346974</v>
      </c>
    </row>
    <row r="159" spans="13:34" x14ac:dyDescent="0.25">
      <c r="M159" s="118">
        <v>2002</v>
      </c>
      <c r="N159" s="128">
        <v>3</v>
      </c>
      <c r="O159" s="128">
        <v>0</v>
      </c>
      <c r="P159" s="128">
        <v>605.46804809569437</v>
      </c>
      <c r="Q159" s="94">
        <v>3635.9492592700003</v>
      </c>
      <c r="R159" s="128">
        <v>3134.9632460000007</v>
      </c>
      <c r="S159" s="128">
        <f t="shared" si="77"/>
        <v>3740.4312940956952</v>
      </c>
      <c r="T159" s="128">
        <f t="shared" si="78"/>
        <v>-104.48203482569488</v>
      </c>
      <c r="U159" s="129">
        <f t="shared" si="79"/>
        <v>-2.7933151717188531E-2</v>
      </c>
      <c r="V159" s="130">
        <f t="shared" si="83"/>
        <v>-9.5813860867964475E-3</v>
      </c>
      <c r="W159" s="17"/>
      <c r="X159" s="118">
        <v>2002</v>
      </c>
      <c r="Y159" s="128">
        <v>23</v>
      </c>
      <c r="Z159" s="128">
        <v>0</v>
      </c>
      <c r="AA159" s="128">
        <v>41831.70534902034</v>
      </c>
      <c r="AB159" s="94">
        <v>55132.972790232998</v>
      </c>
      <c r="AC159" s="128">
        <v>23873.481123999998</v>
      </c>
      <c r="AD159" s="128">
        <f t="shared" si="80"/>
        <v>65705.186473020338</v>
      </c>
      <c r="AE159" s="128">
        <f t="shared" si="81"/>
        <v>-10572.21368278734</v>
      </c>
      <c r="AF159" s="129">
        <f t="shared" si="82"/>
        <v>-0.16090379238370278</v>
      </c>
      <c r="AG159" s="130">
        <f t="shared" si="84"/>
        <v>-0.23080479573329302</v>
      </c>
    </row>
    <row r="160" spans="13:34" x14ac:dyDescent="0.25">
      <c r="M160" s="118">
        <v>2003</v>
      </c>
      <c r="N160" s="128">
        <v>5</v>
      </c>
      <c r="O160" s="128">
        <v>0</v>
      </c>
      <c r="P160" s="128">
        <v>0</v>
      </c>
      <c r="Q160" s="94">
        <v>9223.9391079999987</v>
      </c>
      <c r="R160" s="128">
        <v>4548.1779839999999</v>
      </c>
      <c r="S160" s="128"/>
      <c r="T160" s="128"/>
      <c r="U160" s="129" t="e">
        <f t="shared" si="79"/>
        <v>#DIV/0!</v>
      </c>
      <c r="V160" s="130">
        <f t="shared" si="83"/>
        <v>0</v>
      </c>
      <c r="W160" s="17" t="s">
        <v>112</v>
      </c>
      <c r="X160" s="118">
        <v>2003</v>
      </c>
      <c r="Y160" s="128">
        <v>45</v>
      </c>
      <c r="Z160" s="128">
        <v>0</v>
      </c>
      <c r="AA160" s="128">
        <v>25552.670046805037</v>
      </c>
      <c r="AB160" s="94">
        <v>37155.075439093998</v>
      </c>
      <c r="AC160" s="128">
        <v>6123.8937879999994</v>
      </c>
      <c r="AD160" s="128">
        <f t="shared" si="80"/>
        <v>31676.563834805034</v>
      </c>
      <c r="AE160" s="128">
        <f t="shared" si="81"/>
        <v>5478.511604288964</v>
      </c>
      <c r="AF160" s="129">
        <f t="shared" si="82"/>
        <v>0.17295157495174329</v>
      </c>
      <c r="AG160" s="130">
        <f t="shared" si="84"/>
        <v>0.11960283718149517</v>
      </c>
    </row>
    <row r="161" spans="13:33" x14ac:dyDescent="0.25">
      <c r="M161" s="118">
        <v>2004</v>
      </c>
      <c r="N161" s="128">
        <v>6</v>
      </c>
      <c r="O161" s="128">
        <v>0</v>
      </c>
      <c r="P161" s="128">
        <v>1422.1848063675811</v>
      </c>
      <c r="Q161" s="94">
        <v>8498.6262273089978</v>
      </c>
      <c r="R161" s="128">
        <v>6799.8902859999989</v>
      </c>
      <c r="S161" s="128">
        <f t="shared" si="77"/>
        <v>8222.0750923675805</v>
      </c>
      <c r="T161" s="128">
        <f t="shared" si="78"/>
        <v>276.55113494141733</v>
      </c>
      <c r="U161" s="129">
        <f t="shared" si="79"/>
        <v>3.363519936690134E-2</v>
      </c>
      <c r="V161" s="130">
        <f t="shared" si="83"/>
        <v>2.536075413381805E-2</v>
      </c>
      <c r="W161" s="17"/>
      <c r="X161" s="118">
        <v>2004</v>
      </c>
      <c r="Y161" s="128">
        <v>22</v>
      </c>
      <c r="Z161" s="128">
        <v>7</v>
      </c>
      <c r="AA161" s="128">
        <v>12538.2361129827</v>
      </c>
      <c r="AB161" s="94">
        <v>16676.245390252003</v>
      </c>
      <c r="AC161" s="128">
        <v>5695.8706980000015</v>
      </c>
      <c r="AD161" s="128">
        <f t="shared" si="80"/>
        <v>18234.106810982703</v>
      </c>
      <c r="AE161" s="128">
        <f t="shared" si="81"/>
        <v>-1557.8614207307</v>
      </c>
      <c r="AF161" s="129">
        <f t="shared" si="82"/>
        <v>-8.5436672982104861E-2</v>
      </c>
      <c r="AG161" s="130">
        <f t="shared" si="84"/>
        <v>-3.4010085094849235E-2</v>
      </c>
    </row>
    <row r="162" spans="13:33" x14ac:dyDescent="0.25">
      <c r="M162" s="118">
        <v>2005</v>
      </c>
      <c r="N162" s="128">
        <v>8</v>
      </c>
      <c r="O162" s="128">
        <v>0</v>
      </c>
      <c r="P162" s="128">
        <v>8981.760676549593</v>
      </c>
      <c r="Q162" s="94">
        <v>20129.297840310006</v>
      </c>
      <c r="R162" s="128">
        <v>10412.480121999999</v>
      </c>
      <c r="S162" s="128">
        <f t="shared" si="77"/>
        <v>19394.240798549592</v>
      </c>
      <c r="T162" s="128">
        <f t="shared" si="78"/>
        <v>735.05704176041399</v>
      </c>
      <c r="U162" s="129">
        <f t="shared" si="79"/>
        <v>3.7900789692958008E-2</v>
      </c>
      <c r="V162" s="130">
        <f t="shared" si="83"/>
        <v>6.7407428699818556E-2</v>
      </c>
      <c r="W162" s="17"/>
      <c r="X162" s="118">
        <v>2005</v>
      </c>
      <c r="Y162" s="128">
        <v>27</v>
      </c>
      <c r="Z162" s="128">
        <v>1</v>
      </c>
      <c r="AA162" s="128">
        <v>43122.726458784316</v>
      </c>
      <c r="AB162" s="94">
        <v>41386.741246906</v>
      </c>
      <c r="AC162" s="128">
        <v>4833.6516380000021</v>
      </c>
      <c r="AD162" s="128">
        <f t="shared" si="80"/>
        <v>47956.378096784319</v>
      </c>
      <c r="AE162" s="128">
        <f t="shared" si="81"/>
        <v>-6569.6368498783195</v>
      </c>
      <c r="AF162" s="129">
        <f t="shared" si="82"/>
        <v>-0.13699193122173756</v>
      </c>
      <c r="AG162" s="130">
        <f t="shared" si="84"/>
        <v>-0.14342348127590154</v>
      </c>
    </row>
    <row r="163" spans="13:33" x14ac:dyDescent="0.25">
      <c r="M163" s="118">
        <v>2006</v>
      </c>
      <c r="N163" s="128">
        <v>3</v>
      </c>
      <c r="O163" s="128">
        <v>0</v>
      </c>
      <c r="P163" s="128">
        <v>1100.8448453999038</v>
      </c>
      <c r="Q163" s="94">
        <v>9535.1721591550013</v>
      </c>
      <c r="R163" s="128">
        <v>8797.3240239999996</v>
      </c>
      <c r="S163" s="128">
        <f t="shared" si="77"/>
        <v>9898.168869399904</v>
      </c>
      <c r="T163" s="128">
        <f t="shared" si="78"/>
        <v>-362.99671024490272</v>
      </c>
      <c r="U163" s="129">
        <f t="shared" si="79"/>
        <v>-3.6673117526525904E-2</v>
      </c>
      <c r="V163" s="130">
        <f t="shared" si="83"/>
        <v>-3.3288130680989167E-2</v>
      </c>
      <c r="W163" s="17"/>
      <c r="X163" s="118">
        <v>2006</v>
      </c>
      <c r="Y163" s="128">
        <v>18</v>
      </c>
      <c r="Z163" s="128">
        <v>0</v>
      </c>
      <c r="AA163" s="128">
        <v>11271.594870239976</v>
      </c>
      <c r="AB163" s="94">
        <v>17589.446281611494</v>
      </c>
      <c r="AC163" s="128">
        <v>5680.5928200000017</v>
      </c>
      <c r="AD163" s="128">
        <f t="shared" si="80"/>
        <v>16952.187690239978</v>
      </c>
      <c r="AE163" s="128">
        <f t="shared" si="81"/>
        <v>637.25859137151565</v>
      </c>
      <c r="AF163" s="129">
        <f t="shared" si="82"/>
        <v>3.7591525236498516E-2</v>
      </c>
      <c r="AG163" s="130">
        <f t="shared" si="84"/>
        <v>1.3912161012244201E-2</v>
      </c>
    </row>
    <row r="164" spans="13:33" x14ac:dyDescent="0.25">
      <c r="M164" s="118">
        <v>2007</v>
      </c>
      <c r="N164" s="128">
        <v>4</v>
      </c>
      <c r="O164" s="128">
        <v>0</v>
      </c>
      <c r="P164" s="128">
        <v>1308.0457276234638</v>
      </c>
      <c r="Q164" s="94">
        <v>8096.3806986979989</v>
      </c>
      <c r="R164" s="128">
        <v>6763.7480735999989</v>
      </c>
      <c r="S164" s="128">
        <f t="shared" si="77"/>
        <v>8071.7938012234627</v>
      </c>
      <c r="T164" s="128">
        <f t="shared" si="78"/>
        <v>24.586897474536272</v>
      </c>
      <c r="U164" s="129">
        <f t="shared" si="79"/>
        <v>3.0460264570695019E-3</v>
      </c>
      <c r="V164" s="130">
        <f t="shared" si="83"/>
        <v>2.254708742732852E-3</v>
      </c>
      <c r="W164" s="17"/>
      <c r="X164" s="118">
        <v>2007</v>
      </c>
      <c r="Y164" s="128">
        <v>41</v>
      </c>
      <c r="Z164" s="128">
        <v>3</v>
      </c>
      <c r="AA164" s="128">
        <v>24252.602927479264</v>
      </c>
      <c r="AB164" s="94">
        <v>37547.279768691995</v>
      </c>
      <c r="AC164" s="128">
        <v>8005.5044558000018</v>
      </c>
      <c r="AD164" s="128">
        <f t="shared" si="80"/>
        <v>32258.107383279264</v>
      </c>
      <c r="AE164" s="128">
        <f t="shared" si="81"/>
        <v>5289.1723854127304</v>
      </c>
      <c r="AF164" s="129">
        <f t="shared" si="82"/>
        <v>0.16396412605887509</v>
      </c>
      <c r="AG164" s="130">
        <f t="shared" si="84"/>
        <v>0.11546932256968033</v>
      </c>
    </row>
    <row r="165" spans="13:33" x14ac:dyDescent="0.25">
      <c r="M165" s="115">
        <v>2008</v>
      </c>
      <c r="N165" s="37"/>
      <c r="O165" s="37"/>
      <c r="P165" s="37"/>
      <c r="Q165" s="94">
        <v>5716.4109562000003</v>
      </c>
      <c r="R165" s="37">
        <v>5716.4109562000003</v>
      </c>
      <c r="S165" s="37">
        <f t="shared" si="77"/>
        <v>5716.4109562000003</v>
      </c>
      <c r="T165" s="37">
        <f t="shared" si="78"/>
        <v>0</v>
      </c>
      <c r="U165" s="116">
        <f t="shared" si="79"/>
        <v>0</v>
      </c>
      <c r="V165" s="117">
        <f t="shared" si="83"/>
        <v>0</v>
      </c>
      <c r="W165" s="17"/>
      <c r="X165" s="115">
        <v>2008</v>
      </c>
      <c r="Y165" s="37">
        <v>36</v>
      </c>
      <c r="Z165" s="37">
        <v>0</v>
      </c>
      <c r="AA165" s="37">
        <v>55665.432241101436</v>
      </c>
      <c r="AB165" s="94">
        <v>52860.962689391999</v>
      </c>
      <c r="AC165" s="37">
        <v>4244.0666416000013</v>
      </c>
      <c r="AD165" s="37">
        <f t="shared" si="80"/>
        <v>59909.498882701439</v>
      </c>
      <c r="AE165" s="37">
        <f t="shared" si="81"/>
        <v>-7048.5361933094391</v>
      </c>
      <c r="AF165" s="116">
        <f t="shared" si="82"/>
        <v>-0.11765306545310911</v>
      </c>
      <c r="AG165" s="117">
        <f t="shared" si="84"/>
        <v>-0.15387845962328262</v>
      </c>
    </row>
    <row r="166" spans="13:33" x14ac:dyDescent="0.25">
      <c r="M166" s="118">
        <v>2009</v>
      </c>
      <c r="N166" s="37">
        <v>0</v>
      </c>
      <c r="O166" s="37">
        <v>0</v>
      </c>
      <c r="P166" s="37">
        <v>0</v>
      </c>
      <c r="Q166" s="94">
        <v>8551.034930400001</v>
      </c>
      <c r="R166" s="37">
        <v>8551.034930400001</v>
      </c>
      <c r="S166" s="37">
        <f t="shared" si="77"/>
        <v>8551.034930400001</v>
      </c>
      <c r="T166" s="37">
        <f t="shared" si="78"/>
        <v>0</v>
      </c>
      <c r="U166" s="116">
        <f t="shared" si="79"/>
        <v>0</v>
      </c>
      <c r="V166" s="117">
        <f t="shared" si="83"/>
        <v>0</v>
      </c>
      <c r="W166" s="17"/>
      <c r="X166" s="118">
        <v>2009</v>
      </c>
      <c r="Y166" s="37">
        <v>18</v>
      </c>
      <c r="Z166" s="37">
        <v>0</v>
      </c>
      <c r="AA166" s="37">
        <v>8485.6257093839304</v>
      </c>
      <c r="AB166" s="94">
        <v>15184.709659033997</v>
      </c>
      <c r="AC166" s="37">
        <v>3582.5323195999999</v>
      </c>
      <c r="AD166" s="37">
        <f t="shared" si="80"/>
        <v>12068.158028983929</v>
      </c>
      <c r="AE166" s="37">
        <f t="shared" si="81"/>
        <v>3116.5516300500676</v>
      </c>
      <c r="AF166" s="116">
        <f t="shared" si="82"/>
        <v>0.25824584187289296</v>
      </c>
      <c r="AG166" s="117">
        <f t="shared" si="84"/>
        <v>6.8038263692786191E-2</v>
      </c>
    </row>
    <row r="167" spans="13:33" x14ac:dyDescent="0.25">
      <c r="M167" s="115">
        <v>2010</v>
      </c>
      <c r="N167" s="37">
        <v>10</v>
      </c>
      <c r="O167" s="37">
        <v>0</v>
      </c>
      <c r="P167" s="37">
        <v>4089.1606880898371</v>
      </c>
      <c r="Q167" s="94">
        <v>13336.13836628</v>
      </c>
      <c r="R167" s="37">
        <v>10302.089186199999</v>
      </c>
      <c r="S167" s="37">
        <f t="shared" si="77"/>
        <v>14391.249874289835</v>
      </c>
      <c r="T167" s="37">
        <f t="shared" si="78"/>
        <v>-1055.1115080098352</v>
      </c>
      <c r="U167" s="116">
        <f t="shared" si="79"/>
        <v>-7.3316182904641689E-2</v>
      </c>
      <c r="V167" s="117">
        <f t="shared" si="83"/>
        <v>-9.6757597990215244E-2</v>
      </c>
      <c r="W167" s="17"/>
      <c r="X167" s="115">
        <v>2010</v>
      </c>
      <c r="Y167" s="37">
        <v>63</v>
      </c>
      <c r="Z167" s="37">
        <v>0</v>
      </c>
      <c r="AA167" s="37">
        <v>45721.707546952734</v>
      </c>
      <c r="AB167" s="94">
        <v>58796.470306287265</v>
      </c>
      <c r="AC167" s="37">
        <v>7036.5100040000016</v>
      </c>
      <c r="AD167" s="37">
        <f t="shared" si="80"/>
        <v>52758.217550952737</v>
      </c>
      <c r="AE167" s="37">
        <f t="shared" si="81"/>
        <v>6038.252755334528</v>
      </c>
      <c r="AF167" s="116">
        <f t="shared" si="82"/>
        <v>0.11445141696652118</v>
      </c>
      <c r="AG167" s="117">
        <f t="shared" si="84"/>
        <v>0.13182269443248187</v>
      </c>
    </row>
    <row r="168" spans="13:33" x14ac:dyDescent="0.25">
      <c r="M168" s="115">
        <v>2011</v>
      </c>
      <c r="N168" s="37">
        <v>8</v>
      </c>
      <c r="O168" s="37">
        <v>0</v>
      </c>
      <c r="P168" s="37">
        <v>490.47168610691386</v>
      </c>
      <c r="Q168" s="94">
        <v>8483.5984832446993</v>
      </c>
      <c r="R168" s="37">
        <v>7936.5269309999967</v>
      </c>
      <c r="S168" s="37">
        <f t="shared" si="77"/>
        <v>8426.9986171069104</v>
      </c>
      <c r="T168" s="37">
        <f t="shared" si="78"/>
        <v>56.599866137788922</v>
      </c>
      <c r="U168" s="116">
        <f t="shared" si="79"/>
        <v>6.7164916845827531E-3</v>
      </c>
      <c r="V168" s="117">
        <f t="shared" si="83"/>
        <v>5.1904154702946603E-3</v>
      </c>
      <c r="W168" s="17"/>
      <c r="X168" s="115">
        <v>2011</v>
      </c>
      <c r="Y168" s="37">
        <v>28</v>
      </c>
      <c r="Z168" s="37">
        <v>2</v>
      </c>
      <c r="AA168" s="37">
        <v>42822.413573003716</v>
      </c>
      <c r="AB168" s="94">
        <v>51212.768333282009</v>
      </c>
      <c r="AC168" s="37">
        <v>8235.0981135999991</v>
      </c>
      <c r="AD168" s="37">
        <f t="shared" si="80"/>
        <v>51057.511686603713</v>
      </c>
      <c r="AE168" s="37">
        <f t="shared" si="81"/>
        <v>155.25664667829551</v>
      </c>
      <c r="AF168" s="116">
        <f t="shared" si="82"/>
        <v>3.0408189030299176E-3</v>
      </c>
      <c r="AG168" s="117">
        <f t="shared" si="84"/>
        <v>3.3894489553461704E-3</v>
      </c>
    </row>
    <row r="169" spans="13:33" x14ac:dyDescent="0.25">
      <c r="M169" s="115">
        <v>2012</v>
      </c>
      <c r="N169" s="37">
        <v>26</v>
      </c>
      <c r="O169" s="37">
        <v>1</v>
      </c>
      <c r="P169" s="37">
        <v>1774.1516707789074</v>
      </c>
      <c r="Q169" s="94">
        <v>8767.0187824419991</v>
      </c>
      <c r="R169" s="37">
        <v>7498.3097705999999</v>
      </c>
      <c r="S169" s="37">
        <f t="shared" si="77"/>
        <v>9272.4614413789077</v>
      </c>
      <c r="T169" s="37">
        <f t="shared" si="78"/>
        <v>-505.44265893690863</v>
      </c>
      <c r="U169" s="116">
        <f t="shared" si="79"/>
        <v>-5.4510084742044961E-2</v>
      </c>
      <c r="V169" s="117">
        <f t="shared" si="83"/>
        <v>-4.6350947012954967E-2</v>
      </c>
      <c r="W169" s="17"/>
      <c r="X169" s="115">
        <v>2012</v>
      </c>
      <c r="Y169" s="37">
        <v>56</v>
      </c>
      <c r="Z169" s="37">
        <v>5</v>
      </c>
      <c r="AA169" s="37">
        <v>43531.288946041197</v>
      </c>
      <c r="AB169" s="94">
        <v>50461.805824834293</v>
      </c>
      <c r="AC169" s="37">
        <v>7620.8215972000007</v>
      </c>
      <c r="AD169" s="37">
        <f t="shared" si="80"/>
        <v>51152.110543241201</v>
      </c>
      <c r="AE169" s="37">
        <f t="shared" si="81"/>
        <v>-690.30471840690734</v>
      </c>
      <c r="AF169" s="116">
        <f t="shared" si="82"/>
        <v>-1.3495136585290286E-2</v>
      </c>
      <c r="AG169" s="117">
        <f t="shared" si="84"/>
        <v>-1.5070225054666958E-2</v>
      </c>
    </row>
    <row r="170" spans="13:33" x14ac:dyDescent="0.25">
      <c r="M170" s="115">
        <v>2013</v>
      </c>
      <c r="N170" s="37">
        <v>14</v>
      </c>
      <c r="O170" s="37">
        <v>4</v>
      </c>
      <c r="P170" s="37">
        <v>515.02796079852067</v>
      </c>
      <c r="Q170" s="94">
        <v>6831.1183265049985</v>
      </c>
      <c r="R170" s="37">
        <v>6336.3731359999983</v>
      </c>
      <c r="S170" s="37">
        <f t="shared" si="77"/>
        <v>6851.4010967985187</v>
      </c>
      <c r="T170" s="37">
        <f t="shared" si="78"/>
        <v>-20.282770293520116</v>
      </c>
      <c r="U170" s="116">
        <f t="shared" si="79"/>
        <v>-2.9603828482611719E-3</v>
      </c>
      <c r="V170" s="117">
        <f t="shared" si="83"/>
        <v>-1.86000448226559E-3</v>
      </c>
      <c r="W170" s="17"/>
      <c r="X170" s="115">
        <v>2013</v>
      </c>
      <c r="Y170" s="37">
        <v>40</v>
      </c>
      <c r="Z170" s="37">
        <v>13</v>
      </c>
      <c r="AA170" s="37">
        <v>34065.166237518206</v>
      </c>
      <c r="AB170" s="94">
        <v>44409.300823270001</v>
      </c>
      <c r="AC170" s="37">
        <v>6711.4858260000001</v>
      </c>
      <c r="AD170" s="37">
        <f t="shared" si="80"/>
        <v>40776.65206351821</v>
      </c>
      <c r="AE170" s="37">
        <f t="shared" si="81"/>
        <v>3632.6487597517917</v>
      </c>
      <c r="AF170" s="116">
        <f t="shared" si="82"/>
        <v>8.9086488858702212E-2</v>
      </c>
      <c r="AG170" s="117">
        <f t="shared" si="84"/>
        <v>7.9305316759759395E-2</v>
      </c>
    </row>
    <row r="171" spans="13:33" x14ac:dyDescent="0.25">
      <c r="M171" s="115">
        <v>2014</v>
      </c>
      <c r="N171" s="37">
        <v>17</v>
      </c>
      <c r="O171" s="37">
        <v>0</v>
      </c>
      <c r="P171" s="37">
        <v>6611.9501306189368</v>
      </c>
      <c r="Q171" s="94">
        <v>11966.385292209998</v>
      </c>
      <c r="R171" s="37">
        <v>7726.6710570000014</v>
      </c>
      <c r="S171" s="37">
        <f t="shared" si="77"/>
        <v>14338.621187618937</v>
      </c>
      <c r="T171" s="37">
        <f t="shared" si="78"/>
        <v>-2372.2358954089395</v>
      </c>
      <c r="U171" s="116">
        <f t="shared" si="79"/>
        <v>-0.1654437943766385</v>
      </c>
      <c r="V171" s="117">
        <f t="shared" si="83"/>
        <v>-0.21754273871856669</v>
      </c>
      <c r="W171" s="17"/>
      <c r="X171" s="115">
        <v>2014</v>
      </c>
      <c r="Y171" s="37">
        <v>58</v>
      </c>
      <c r="Z171" s="37">
        <v>0</v>
      </c>
      <c r="AA171" s="37">
        <v>136734.11216083245</v>
      </c>
      <c r="AB171" s="94">
        <v>141736.19382347894</v>
      </c>
      <c r="AC171" s="37">
        <v>6751.9093716000025</v>
      </c>
      <c r="AD171" s="37">
        <f t="shared" si="80"/>
        <v>143486.02153243244</v>
      </c>
      <c r="AE171" s="37">
        <f t="shared" si="81"/>
        <v>-1749.8277089534968</v>
      </c>
      <c r="AF171" s="116">
        <f t="shared" si="82"/>
        <v>-1.2195109253607535E-2</v>
      </c>
      <c r="AG171" s="117">
        <f t="shared" si="84"/>
        <v>-3.8200951953043467E-2</v>
      </c>
    </row>
    <row r="172" spans="13:33" x14ac:dyDescent="0.25">
      <c r="M172" s="115">
        <v>2015</v>
      </c>
      <c r="N172" s="37">
        <v>3</v>
      </c>
      <c r="O172" s="37">
        <v>0</v>
      </c>
      <c r="P172" s="37">
        <v>25.548341534828836</v>
      </c>
      <c r="Q172" s="94">
        <v>11523.5630651054</v>
      </c>
      <c r="R172" s="37">
        <v>11505.564893999999</v>
      </c>
      <c r="S172" s="37">
        <f t="shared" si="77"/>
        <v>11531.113235534827</v>
      </c>
      <c r="T172" s="37">
        <f t="shared" si="78"/>
        <v>-7.5501704294274532</v>
      </c>
      <c r="U172" s="116">
        <f t="shared" si="79"/>
        <v>-6.5476509294527514E-4</v>
      </c>
      <c r="V172" s="117">
        <f t="shared" si="83"/>
        <v>-6.9237834069888903E-4</v>
      </c>
      <c r="W172" s="17"/>
      <c r="X172" s="115">
        <v>2015</v>
      </c>
      <c r="Y172" s="37">
        <v>68</v>
      </c>
      <c r="Z172" s="37">
        <v>0</v>
      </c>
      <c r="AA172" s="37">
        <v>50069.717380852744</v>
      </c>
      <c r="AB172" s="94">
        <v>54947.351508129992</v>
      </c>
      <c r="AC172" s="37">
        <v>7583.1758476000005</v>
      </c>
      <c r="AD172" s="37">
        <f t="shared" si="80"/>
        <v>57652.893228452747</v>
      </c>
      <c r="AE172" s="37">
        <f t="shared" si="81"/>
        <v>-2705.5417203227553</v>
      </c>
      <c r="AF172" s="116">
        <f t="shared" si="82"/>
        <v>-4.6928117026181118E-2</v>
      </c>
      <c r="AG172" s="117">
        <f t="shared" si="84"/>
        <v>-5.9065397545233912E-2</v>
      </c>
    </row>
    <row r="173" spans="13:33" x14ac:dyDescent="0.25">
      <c r="M173" s="115">
        <v>2016</v>
      </c>
      <c r="N173" s="37"/>
      <c r="O173" s="37"/>
      <c r="P173" s="37"/>
      <c r="Q173" s="94">
        <v>7959.1571500000009</v>
      </c>
      <c r="R173" s="37">
        <v>7959.1571500000009</v>
      </c>
      <c r="S173" s="37">
        <f t="shared" si="77"/>
        <v>7959.1571500000009</v>
      </c>
      <c r="T173" s="37">
        <f t="shared" si="78"/>
        <v>0</v>
      </c>
      <c r="U173" s="116">
        <f t="shared" si="79"/>
        <v>0</v>
      </c>
      <c r="V173" s="117">
        <f t="shared" si="83"/>
        <v>0</v>
      </c>
      <c r="W173" s="17"/>
      <c r="X173" s="115">
        <v>2016</v>
      </c>
      <c r="Y173" s="37">
        <v>58</v>
      </c>
      <c r="Z173" s="37">
        <v>1</v>
      </c>
      <c r="AA173" s="37">
        <v>47416.939644331273</v>
      </c>
      <c r="AB173" s="94">
        <v>53972.553692534028</v>
      </c>
      <c r="AC173" s="37">
        <v>6084.6915907999992</v>
      </c>
      <c r="AD173" s="37">
        <f t="shared" si="80"/>
        <v>53501.631235131274</v>
      </c>
      <c r="AE173" s="37">
        <f t="shared" si="81"/>
        <v>470.92245740275393</v>
      </c>
      <c r="AF173" s="116">
        <f t="shared" si="82"/>
        <v>8.8020205464974261E-3</v>
      </c>
      <c r="AG173" s="117">
        <f t="shared" si="84"/>
        <v>1.0280832836742932E-2</v>
      </c>
    </row>
    <row r="174" spans="13:33" x14ac:dyDescent="0.25">
      <c r="M174" s="118">
        <v>2017</v>
      </c>
      <c r="N174" s="37">
        <v>10</v>
      </c>
      <c r="O174" s="37">
        <v>0</v>
      </c>
      <c r="P174" s="37">
        <v>8557.3546536329395</v>
      </c>
      <c r="Q174" s="94">
        <v>10545.021462265999</v>
      </c>
      <c r="R174" s="37">
        <v>7437.229123000001</v>
      </c>
      <c r="S174" s="37">
        <f t="shared" si="77"/>
        <v>15994.58377663294</v>
      </c>
      <c r="T174" s="37">
        <f t="shared" si="78"/>
        <v>-5449.5623143669418</v>
      </c>
      <c r="U174" s="116">
        <f t="shared" si="79"/>
        <v>-0.34071298074842077</v>
      </c>
      <c r="V174" s="117">
        <f t="shared" si="83"/>
        <v>-0.49974486642716859</v>
      </c>
      <c r="W174" s="17"/>
      <c r="X174" s="118">
        <v>2017</v>
      </c>
      <c r="Y174" s="37">
        <v>26</v>
      </c>
      <c r="Z174" s="37">
        <v>2</v>
      </c>
      <c r="AA174" s="37">
        <v>39309.901802999397</v>
      </c>
      <c r="AB174" s="94">
        <v>47418.497179248021</v>
      </c>
      <c r="AC174" s="37">
        <v>7313.6679067999994</v>
      </c>
      <c r="AD174" s="37">
        <f t="shared" si="80"/>
        <v>46623.569709799398</v>
      </c>
      <c r="AE174" s="37">
        <f t="shared" si="81"/>
        <v>794.92746944862301</v>
      </c>
      <c r="AF174" s="116">
        <f t="shared" si="82"/>
        <v>1.704990575360308E-2</v>
      </c>
      <c r="AG174" s="117">
        <f t="shared" si="84"/>
        <v>1.7354272029857488E-2</v>
      </c>
    </row>
    <row r="175" spans="13:33" x14ac:dyDescent="0.25">
      <c r="M175" s="119" t="s">
        <v>104</v>
      </c>
      <c r="N175" s="123"/>
      <c r="O175" s="123"/>
      <c r="P175" s="123"/>
      <c r="Q175" s="124"/>
      <c r="R175" s="123"/>
      <c r="S175" s="121">
        <f>AVERAGE(S143:S174)</f>
        <v>10904.688933230183</v>
      </c>
      <c r="T175" s="120"/>
      <c r="U175" s="120"/>
      <c r="V175" s="122"/>
      <c r="W175" s="17"/>
      <c r="X175" s="119" t="s">
        <v>104</v>
      </c>
      <c r="Y175" s="123"/>
      <c r="Z175" s="123"/>
      <c r="AA175" s="123"/>
      <c r="AB175" s="124"/>
      <c r="AC175" s="123"/>
      <c r="AD175" s="121">
        <f>AVERAGE(AD143:AD174)</f>
        <v>45805.866594748251</v>
      </c>
      <c r="AE175" s="120"/>
      <c r="AF175" s="120"/>
      <c r="AG175" s="122"/>
    </row>
  </sheetData>
  <mergeCells count="12">
    <mergeCell ref="A2:A3"/>
    <mergeCell ref="M105:V105"/>
    <mergeCell ref="X105:AG105"/>
    <mergeCell ref="AI78:AR78"/>
    <mergeCell ref="M141:V141"/>
    <mergeCell ref="X141:AG141"/>
    <mergeCell ref="A111:F111"/>
    <mergeCell ref="AJ2:AJ3"/>
    <mergeCell ref="AB2:AB3"/>
    <mergeCell ref="T2:T3"/>
    <mergeCell ref="J2:J3"/>
    <mergeCell ref="A128:F128"/>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85"/>
  <sheetViews>
    <sheetView topLeftCell="L1" workbookViewId="0">
      <selection activeCell="AT29" sqref="AT29"/>
    </sheetView>
  </sheetViews>
  <sheetFormatPr defaultRowHeight="15" x14ac:dyDescent="0.25"/>
  <cols>
    <col min="1" max="1" width="14.140625" style="17" customWidth="1"/>
    <col min="2" max="2" width="20.85546875" style="17" bestFit="1" customWidth="1"/>
    <col min="3" max="3" width="12" style="17" customWidth="1"/>
    <col min="4" max="4" width="13.28515625" style="17" bestFit="1" customWidth="1"/>
    <col min="5" max="5" width="12.5703125" style="17" bestFit="1" customWidth="1"/>
    <col min="6" max="6" width="11.5703125" style="17" bestFit="1" customWidth="1"/>
    <col min="7" max="7" width="13.140625" style="17" customWidth="1"/>
    <col min="8" max="8" width="10.5703125" style="17" customWidth="1"/>
    <col min="9" max="9" width="13.42578125" style="17" customWidth="1"/>
    <col min="10" max="10" width="13.42578125" style="17" bestFit="1" customWidth="1"/>
    <col min="11" max="11" width="10.140625" bestFit="1" customWidth="1"/>
    <col min="28" max="28" width="9.7109375" bestFit="1" customWidth="1"/>
    <col min="29" max="29" width="9.85546875" bestFit="1" customWidth="1"/>
    <col min="31" max="32" width="9.85546875" bestFit="1" customWidth="1"/>
    <col min="33" max="33" width="10.140625" bestFit="1" customWidth="1"/>
    <col min="34" max="34" width="9.5703125" bestFit="1" customWidth="1"/>
    <col min="35" max="35" width="10" bestFit="1" customWidth="1"/>
    <col min="36" max="36" width="10.140625" bestFit="1" customWidth="1"/>
    <col min="43" max="43" width="13.7109375" bestFit="1" customWidth="1"/>
    <col min="44" max="44" width="12.28515625" bestFit="1" customWidth="1"/>
    <col min="45" max="45" width="12" bestFit="1" customWidth="1"/>
  </cols>
  <sheetData>
    <row r="1" spans="1:45" x14ac:dyDescent="0.25">
      <c r="B1" s="17" t="s">
        <v>42</v>
      </c>
      <c r="J1" s="141" t="s">
        <v>93</v>
      </c>
      <c r="AP1" s="362" t="s">
        <v>20</v>
      </c>
      <c r="AQ1" s="362" t="s">
        <v>368</v>
      </c>
      <c r="AR1" s="362" t="s">
        <v>370</v>
      </c>
      <c r="AS1" s="362" t="s">
        <v>369</v>
      </c>
    </row>
    <row r="2" spans="1:45" x14ac:dyDescent="0.25">
      <c r="A2" s="141" t="s">
        <v>348</v>
      </c>
      <c r="B2" s="141" t="s">
        <v>311</v>
      </c>
      <c r="C2" s="18" t="s">
        <v>20</v>
      </c>
      <c r="D2" s="47" t="s">
        <v>316</v>
      </c>
      <c r="E2" s="10" t="s">
        <v>322</v>
      </c>
      <c r="F2" s="9" t="s">
        <v>1</v>
      </c>
      <c r="G2" s="8" t="s">
        <v>305</v>
      </c>
      <c r="H2" s="34" t="s">
        <v>306</v>
      </c>
      <c r="I2" s="65" t="s">
        <v>317</v>
      </c>
      <c r="J2" s="68" t="s">
        <v>309</v>
      </c>
      <c r="AP2" s="362">
        <v>1981</v>
      </c>
      <c r="AQ2" s="362">
        <v>0.61988947779116221</v>
      </c>
      <c r="AR2" s="362">
        <v>0.11380216086275584</v>
      </c>
      <c r="AS2" s="362">
        <v>1.4033250113945879E-2</v>
      </c>
    </row>
    <row r="3" spans="1:45" x14ac:dyDescent="0.25">
      <c r="B3" s="141"/>
      <c r="C3" s="18">
        <v>1986</v>
      </c>
      <c r="D3" s="41">
        <f t="shared" ref="D3:D34" si="0">E3+F3</f>
        <v>9583800.1872255299</v>
      </c>
      <c r="E3" s="22">
        <v>9047438.1872255299</v>
      </c>
      <c r="F3" s="21">
        <v>536362</v>
      </c>
      <c r="G3" s="20">
        <f t="shared" ref="G3:G34" si="1">F3+H3</f>
        <v>9211851.6146915536</v>
      </c>
      <c r="H3" s="35">
        <v>8675489.6146915536</v>
      </c>
      <c r="I3" s="66"/>
      <c r="J3" s="69"/>
      <c r="AI3">
        <v>1994</v>
      </c>
      <c r="AJ3" s="19">
        <v>0</v>
      </c>
      <c r="AP3" s="362">
        <v>1982</v>
      </c>
      <c r="AQ3" s="362">
        <v>0.85174954462173225</v>
      </c>
      <c r="AR3" s="362">
        <v>7.506022096384718E-2</v>
      </c>
      <c r="AS3" s="362">
        <v>1.1572163405913636E-2</v>
      </c>
    </row>
    <row r="4" spans="1:45" x14ac:dyDescent="0.25">
      <c r="B4" s="141"/>
      <c r="C4" s="18">
        <v>1987</v>
      </c>
      <c r="D4" s="41">
        <f t="shared" si="0"/>
        <v>10424617.254945517</v>
      </c>
      <c r="E4" s="22">
        <v>9928139.2549455166</v>
      </c>
      <c r="F4" s="21">
        <v>496478</v>
      </c>
      <c r="G4" s="20">
        <f t="shared" si="1"/>
        <v>9809251.4743952546</v>
      </c>
      <c r="H4" s="35">
        <v>9312773.4743952546</v>
      </c>
      <c r="I4" s="66"/>
      <c r="J4" s="70"/>
      <c r="AI4">
        <v>1994</v>
      </c>
      <c r="AJ4" s="19">
        <v>35000000</v>
      </c>
      <c r="AP4" s="362">
        <v>1983</v>
      </c>
      <c r="AQ4" s="362">
        <v>1.192976591302763</v>
      </c>
      <c r="AR4" s="362">
        <v>0.13147476837924016</v>
      </c>
      <c r="AS4" s="362">
        <v>1.7814964956356136E-2</v>
      </c>
    </row>
    <row r="5" spans="1:45" x14ac:dyDescent="0.25">
      <c r="B5" s="141"/>
      <c r="C5" s="18">
        <v>1988</v>
      </c>
      <c r="D5" s="41">
        <f t="shared" si="0"/>
        <v>9838156.7279313821</v>
      </c>
      <c r="E5" s="22">
        <v>9313437.7279313821</v>
      </c>
      <c r="F5" s="21">
        <v>524719</v>
      </c>
      <c r="G5" s="20">
        <f t="shared" si="1"/>
        <v>9824545.2669321708</v>
      </c>
      <c r="H5" s="35">
        <v>9299826.2669321708</v>
      </c>
      <c r="I5" s="66"/>
      <c r="J5" s="71"/>
      <c r="AI5">
        <v>1997</v>
      </c>
      <c r="AJ5" s="19">
        <v>0</v>
      </c>
      <c r="AP5" s="362">
        <v>1984</v>
      </c>
      <c r="AQ5" s="362">
        <v>0.68167746613800784</v>
      </c>
      <c r="AR5" s="362">
        <v>0.10837087927135827</v>
      </c>
      <c r="AS5" s="362">
        <v>1.4907487928881599E-2</v>
      </c>
    </row>
    <row r="6" spans="1:45" x14ac:dyDescent="0.25">
      <c r="B6" s="141"/>
      <c r="C6" s="18">
        <v>1989</v>
      </c>
      <c r="D6" s="41">
        <f t="shared" si="0"/>
        <v>27670843.389554508</v>
      </c>
      <c r="E6" s="22">
        <v>26607444.389554508</v>
      </c>
      <c r="F6" s="21">
        <v>1063399</v>
      </c>
      <c r="G6" s="20">
        <f t="shared" si="1"/>
        <v>27859599.781757865</v>
      </c>
      <c r="H6" s="35">
        <v>26796200.781757865</v>
      </c>
      <c r="I6" s="66"/>
      <c r="J6" s="71"/>
      <c r="AI6">
        <v>1997</v>
      </c>
      <c r="AJ6" s="19">
        <v>35000000</v>
      </c>
      <c r="AP6" s="362">
        <v>1985</v>
      </c>
      <c r="AQ6" s="362">
        <v>0.66456208902782465</v>
      </c>
      <c r="AR6" s="362">
        <v>0.20483025272992961</v>
      </c>
      <c r="AS6" s="362">
        <v>2.3055645606471737E-2</v>
      </c>
    </row>
    <row r="7" spans="1:45" x14ac:dyDescent="0.25">
      <c r="B7" s="141"/>
      <c r="C7" s="18">
        <v>1990</v>
      </c>
      <c r="D7" s="41">
        <f t="shared" si="0"/>
        <v>24785370.711448293</v>
      </c>
      <c r="E7" s="22">
        <v>23769474.711448293</v>
      </c>
      <c r="F7" s="21">
        <v>1015896</v>
      </c>
      <c r="G7" s="20">
        <f t="shared" si="1"/>
        <v>26392447.031705696</v>
      </c>
      <c r="H7" s="35">
        <v>25376551.031705696</v>
      </c>
      <c r="I7" s="66"/>
      <c r="J7" s="71"/>
      <c r="AP7" s="362">
        <v>1986</v>
      </c>
      <c r="AQ7" s="362">
        <v>0.62867768876990315</v>
      </c>
      <c r="AR7" s="362">
        <v>0.28067986103610892</v>
      </c>
      <c r="AS7" s="362">
        <v>2.5812117210220722E-2</v>
      </c>
    </row>
    <row r="8" spans="1:45" x14ac:dyDescent="0.25">
      <c r="B8" s="141"/>
      <c r="C8" s="18">
        <v>1991</v>
      </c>
      <c r="D8" s="41">
        <f t="shared" si="0"/>
        <v>32258116.990328304</v>
      </c>
      <c r="E8" s="22">
        <v>30655418.990328304</v>
      </c>
      <c r="F8" s="21">
        <v>1602698</v>
      </c>
      <c r="G8" s="20">
        <f t="shared" si="1"/>
        <v>30739104.511346918</v>
      </c>
      <c r="H8" s="35">
        <v>29136406.511346918</v>
      </c>
      <c r="I8" s="66"/>
      <c r="J8" s="71"/>
      <c r="AP8" s="362">
        <v>1987</v>
      </c>
      <c r="AQ8" s="362">
        <v>0.62248423882488024</v>
      </c>
      <c r="AR8" s="362">
        <v>0.11437631737742154</v>
      </c>
      <c r="AS8" s="362">
        <v>1.0986726066682278E-2</v>
      </c>
    </row>
    <row r="9" spans="1:45" x14ac:dyDescent="0.25">
      <c r="B9" s="141"/>
      <c r="C9" s="18">
        <v>1992</v>
      </c>
      <c r="D9" s="41">
        <f t="shared" si="0"/>
        <v>21818693.893969696</v>
      </c>
      <c r="E9" s="22">
        <v>21151510.893969696</v>
      </c>
      <c r="F9" s="21">
        <v>667183</v>
      </c>
      <c r="G9" s="20">
        <f t="shared" si="1"/>
        <v>20168855.034973178</v>
      </c>
      <c r="H9" s="35">
        <v>19501672.034973178</v>
      </c>
      <c r="I9" s="66"/>
      <c r="J9" s="71"/>
      <c r="AP9" s="362">
        <v>1988</v>
      </c>
      <c r="AQ9" s="362">
        <v>0.85848297626879844</v>
      </c>
      <c r="AR9" s="362">
        <v>0.26805120225236129</v>
      </c>
      <c r="AS9" s="362">
        <v>3.0492523446532312E-2</v>
      </c>
    </row>
    <row r="10" spans="1:45" x14ac:dyDescent="0.25">
      <c r="B10" s="141"/>
      <c r="C10" s="18">
        <v>1993</v>
      </c>
      <c r="D10" s="41">
        <f t="shared" si="0"/>
        <v>16844992.060817704</v>
      </c>
      <c r="E10" s="22">
        <v>15910599.060817705</v>
      </c>
      <c r="F10" s="21">
        <v>934393</v>
      </c>
      <c r="G10" s="20">
        <f t="shared" si="1"/>
        <v>17139218.205604717</v>
      </c>
      <c r="H10" s="35">
        <v>16204825.205604715</v>
      </c>
      <c r="I10" s="66"/>
      <c r="J10" s="71"/>
      <c r="AP10" s="362">
        <v>1989</v>
      </c>
      <c r="AQ10" s="362">
        <v>2.0801158552745833</v>
      </c>
      <c r="AR10" s="362">
        <v>1.3406770826590289</v>
      </c>
      <c r="AS10" s="362">
        <v>0.10724412230978338</v>
      </c>
    </row>
    <row r="11" spans="1:45" x14ac:dyDescent="0.25">
      <c r="A11" s="141">
        <f>_xlfn.RANK.AVG(D11,$D$11:$D$14)</f>
        <v>4</v>
      </c>
      <c r="B11" s="141">
        <f>_xlfn.RANK.AVG(G11,$G$11:$G$14)</f>
        <v>4</v>
      </c>
      <c r="C11" s="18">
        <v>1994</v>
      </c>
      <c r="D11" s="41">
        <f t="shared" si="0"/>
        <v>17158153.583120942</v>
      </c>
      <c r="E11" s="22">
        <v>15958087.583120942</v>
      </c>
      <c r="F11" s="21">
        <v>1200066</v>
      </c>
      <c r="G11" s="20">
        <f t="shared" si="1"/>
        <v>17156412.268655352</v>
      </c>
      <c r="H11" s="35">
        <v>15956346.268655354</v>
      </c>
      <c r="I11" s="66"/>
      <c r="J11" s="71"/>
      <c r="K11">
        <v>1994</v>
      </c>
      <c r="AP11" s="362">
        <v>1990</v>
      </c>
      <c r="AQ11" s="362">
        <v>0.98253607120800102</v>
      </c>
      <c r="AR11" s="362">
        <v>0.41458448327558917</v>
      </c>
      <c r="AS11" s="362">
        <v>3.8389730885737758E-2</v>
      </c>
    </row>
    <row r="12" spans="1:45" x14ac:dyDescent="0.25">
      <c r="A12" s="141">
        <f t="shared" ref="A12:A14" si="2">_xlfn.RANK.AVG(D12,$D$11:$D$14)</f>
        <v>2</v>
      </c>
      <c r="B12" s="141">
        <f t="shared" ref="B12:B14" si="3">_xlfn.RANK.AVG(G12,$G$11:$G$14)</f>
        <v>2</v>
      </c>
      <c r="C12" s="18">
        <v>1995</v>
      </c>
      <c r="D12" s="41">
        <f t="shared" si="0"/>
        <v>25461304.550714664</v>
      </c>
      <c r="E12" s="22">
        <v>23324770.550714664</v>
      </c>
      <c r="F12" s="21">
        <v>2136534</v>
      </c>
      <c r="G12" s="20">
        <f t="shared" si="1"/>
        <v>25757940.441264648</v>
      </c>
      <c r="H12" s="35">
        <v>23621406.441264648</v>
      </c>
      <c r="I12" s="66"/>
      <c r="J12" s="71"/>
      <c r="K12">
        <v>1995</v>
      </c>
      <c r="AP12" s="362">
        <v>1991</v>
      </c>
      <c r="AQ12" s="362">
        <v>1.6707306820010102</v>
      </c>
      <c r="AR12" s="362">
        <v>1.3709004007545857</v>
      </c>
      <c r="AS12" s="362">
        <v>0.15548975233451345</v>
      </c>
    </row>
    <row r="13" spans="1:45" x14ac:dyDescent="0.25">
      <c r="A13" s="141">
        <f t="shared" si="2"/>
        <v>3</v>
      </c>
      <c r="B13" s="141">
        <f t="shared" si="3"/>
        <v>3</v>
      </c>
      <c r="C13" s="18">
        <v>1996</v>
      </c>
      <c r="D13" s="41">
        <f t="shared" si="0"/>
        <v>17872818.103552543</v>
      </c>
      <c r="E13" s="22">
        <v>16647149.103552541</v>
      </c>
      <c r="F13" s="21">
        <v>1225669</v>
      </c>
      <c r="G13" s="20">
        <f t="shared" si="1"/>
        <v>18354469.425579689</v>
      </c>
      <c r="H13" s="35">
        <v>17128800.425579689</v>
      </c>
      <c r="I13" s="66"/>
      <c r="J13" s="71"/>
      <c r="K13">
        <v>1996</v>
      </c>
      <c r="AP13" s="362">
        <v>1992</v>
      </c>
      <c r="AQ13" s="362">
        <v>0.9885938255882184</v>
      </c>
      <c r="AR13" s="362">
        <v>0.80251248039053247</v>
      </c>
      <c r="AS13" s="362">
        <v>0.10517789844316534</v>
      </c>
    </row>
    <row r="14" spans="1:45" x14ac:dyDescent="0.25">
      <c r="A14" s="141">
        <f t="shared" si="2"/>
        <v>1</v>
      </c>
      <c r="B14" s="141">
        <f t="shared" si="3"/>
        <v>1</v>
      </c>
      <c r="C14" s="18">
        <v>1997</v>
      </c>
      <c r="D14" s="41">
        <f t="shared" si="0"/>
        <v>32178800.653313868</v>
      </c>
      <c r="E14" s="22">
        <v>30575999.653313868</v>
      </c>
      <c r="F14" s="21">
        <v>1602801</v>
      </c>
      <c r="G14" s="20">
        <f t="shared" si="1"/>
        <v>32153534.755265772</v>
      </c>
      <c r="H14" s="35">
        <v>30550733.755265772</v>
      </c>
      <c r="I14" s="66"/>
      <c r="J14" s="71"/>
      <c r="K14">
        <v>1997</v>
      </c>
      <c r="AP14" s="362">
        <v>1993</v>
      </c>
      <c r="AQ14" s="362">
        <v>1.2726622650372281</v>
      </c>
      <c r="AR14" s="362">
        <v>1.7784496505781648</v>
      </c>
      <c r="AS14" s="362">
        <v>0.21962495728131856</v>
      </c>
    </row>
    <row r="15" spans="1:45" x14ac:dyDescent="0.25">
      <c r="B15" s="141"/>
      <c r="C15" s="18">
        <v>1998</v>
      </c>
      <c r="D15" s="41">
        <f t="shared" si="0"/>
        <v>19527612.956854753</v>
      </c>
      <c r="E15" s="22">
        <v>18703870.956854753</v>
      </c>
      <c r="F15" s="21">
        <v>823742</v>
      </c>
      <c r="G15" s="20">
        <f t="shared" si="1"/>
        <v>19433097.406445939</v>
      </c>
      <c r="H15" s="35">
        <v>18609355.406445939</v>
      </c>
      <c r="I15" s="66"/>
      <c r="J15" s="71"/>
      <c r="AP15" s="362">
        <v>1994</v>
      </c>
      <c r="AQ15" s="362">
        <v>0.84855302686376466</v>
      </c>
      <c r="AR15" s="362">
        <v>1.0130223536959029</v>
      </c>
      <c r="AS15" s="362">
        <v>0.12596575081894046</v>
      </c>
    </row>
    <row r="16" spans="1:45" x14ac:dyDescent="0.25">
      <c r="A16" s="141">
        <f>_xlfn.RANK.AVG(D16,$D$16:$D$24)</f>
        <v>3</v>
      </c>
      <c r="B16" s="141">
        <f>_xlfn.RANK.AVG(G16,$G$16:$G$24)</f>
        <v>3</v>
      </c>
      <c r="C16" s="18">
        <v>1999</v>
      </c>
      <c r="D16" s="41">
        <f t="shared" si="0"/>
        <v>22181031.156717591</v>
      </c>
      <c r="E16" s="22">
        <v>21133870.156717591</v>
      </c>
      <c r="F16" s="21">
        <v>1047161</v>
      </c>
      <c r="G16" s="20">
        <f t="shared" si="1"/>
        <v>21443914.485486299</v>
      </c>
      <c r="H16" s="35">
        <v>20396753.485486299</v>
      </c>
      <c r="I16" s="66"/>
      <c r="J16" s="71"/>
      <c r="K16">
        <v>1999</v>
      </c>
      <c r="AP16" s="362">
        <v>1995</v>
      </c>
      <c r="AQ16" s="362">
        <v>1.1937508236726606</v>
      </c>
      <c r="AR16" s="362">
        <v>0.6608641944690018</v>
      </c>
      <c r="AS16" s="362">
        <v>8.6553713661921175E-2</v>
      </c>
    </row>
    <row r="17" spans="1:45" x14ac:dyDescent="0.25">
      <c r="A17" s="141">
        <f t="shared" ref="A17:A24" si="4">_xlfn.RANK.AVG(D17,$D$16:$D$24)</f>
        <v>1</v>
      </c>
      <c r="B17" s="141">
        <f t="shared" ref="B17:B24" si="5">_xlfn.RANK.AVG(G17,$G$16:$G$24)</f>
        <v>1</v>
      </c>
      <c r="C17" s="18">
        <v>2000</v>
      </c>
      <c r="D17" s="41">
        <f t="shared" si="0"/>
        <v>24570763.596621089</v>
      </c>
      <c r="E17" s="22">
        <v>23583137.596621089</v>
      </c>
      <c r="F17" s="21">
        <v>987626</v>
      </c>
      <c r="G17" s="20">
        <f t="shared" si="1"/>
        <v>24704662.431525208</v>
      </c>
      <c r="H17" s="35">
        <v>23717036.431525208</v>
      </c>
      <c r="I17" s="66"/>
      <c r="J17" s="71"/>
      <c r="K17">
        <v>2000</v>
      </c>
      <c r="AP17" s="362">
        <v>1996</v>
      </c>
      <c r="AQ17" s="362">
        <v>1.0904475995569718</v>
      </c>
      <c r="AR17" s="362">
        <v>0.56191301937098248</v>
      </c>
      <c r="AS17" s="362">
        <v>7.7544577249178778E-2</v>
      </c>
    </row>
    <row r="18" spans="1:45" x14ac:dyDescent="0.25">
      <c r="A18" s="141">
        <f t="shared" si="4"/>
        <v>2</v>
      </c>
      <c r="B18" s="141">
        <f t="shared" si="5"/>
        <v>2</v>
      </c>
      <c r="C18" s="18">
        <v>2001</v>
      </c>
      <c r="D18" s="41">
        <f t="shared" si="0"/>
        <v>23329929.621273302</v>
      </c>
      <c r="E18" s="22">
        <v>22564553.621273302</v>
      </c>
      <c r="F18" s="21">
        <v>765376</v>
      </c>
      <c r="G18" s="20">
        <f t="shared" si="1"/>
        <v>23449153.149034478</v>
      </c>
      <c r="H18" s="35">
        <v>22683777.149034478</v>
      </c>
      <c r="I18" s="66"/>
      <c r="J18" s="71"/>
      <c r="K18">
        <v>2001</v>
      </c>
      <c r="AP18" s="362">
        <v>1997</v>
      </c>
      <c r="AQ18" s="362">
        <v>1.2586542907373528</v>
      </c>
      <c r="AR18" s="362">
        <v>0.72620164107417118</v>
      </c>
      <c r="AS18" s="362">
        <v>9.4201464090900661E-2</v>
      </c>
    </row>
    <row r="19" spans="1:45" x14ac:dyDescent="0.25">
      <c r="A19" s="141">
        <f t="shared" si="4"/>
        <v>4</v>
      </c>
      <c r="B19" s="141">
        <f t="shared" si="5"/>
        <v>4</v>
      </c>
      <c r="C19" s="18">
        <v>2002</v>
      </c>
      <c r="D19" s="41">
        <f t="shared" si="0"/>
        <v>20897864.892984938</v>
      </c>
      <c r="E19" s="22">
        <v>20189772.892984938</v>
      </c>
      <c r="F19" s="21">
        <v>708092</v>
      </c>
      <c r="G19" s="20">
        <f t="shared" si="1"/>
        <v>21339512.063031707</v>
      </c>
      <c r="H19" s="35">
        <v>20631420.063031707</v>
      </c>
      <c r="I19" s="66"/>
      <c r="J19" s="71"/>
      <c r="K19">
        <v>2002</v>
      </c>
      <c r="AP19" s="362">
        <v>1998</v>
      </c>
      <c r="AQ19" s="362">
        <v>1.2678457331245538</v>
      </c>
      <c r="AR19" s="362">
        <v>1.3201565360779828</v>
      </c>
      <c r="AS19" s="362">
        <v>0.1648256453422462</v>
      </c>
    </row>
    <row r="20" spans="1:45" x14ac:dyDescent="0.25">
      <c r="A20" s="141">
        <f t="shared" si="4"/>
        <v>5</v>
      </c>
      <c r="B20" s="141">
        <f t="shared" si="5"/>
        <v>5</v>
      </c>
      <c r="C20" s="18">
        <v>2003</v>
      </c>
      <c r="D20" s="41">
        <f t="shared" si="0"/>
        <v>17937762.571703963</v>
      </c>
      <c r="E20" s="22">
        <v>17214254.571703963</v>
      </c>
      <c r="F20" s="21">
        <v>723508</v>
      </c>
      <c r="G20" s="20">
        <f t="shared" si="1"/>
        <v>18221919.693231303</v>
      </c>
      <c r="H20" s="35">
        <v>17498411.693231303</v>
      </c>
      <c r="I20" s="66"/>
      <c r="J20" s="71"/>
      <c r="K20">
        <v>2003</v>
      </c>
      <c r="AP20" s="362">
        <v>1999</v>
      </c>
      <c r="AQ20" s="362">
        <v>1.1882711896007303</v>
      </c>
      <c r="AR20" s="362">
        <v>1.9466319644596661</v>
      </c>
      <c r="AS20" s="362">
        <v>0.22606173070674462</v>
      </c>
    </row>
    <row r="21" spans="1:45" x14ac:dyDescent="0.25">
      <c r="A21" s="141">
        <f t="shared" si="4"/>
        <v>9</v>
      </c>
      <c r="B21" s="141">
        <f t="shared" si="5"/>
        <v>9</v>
      </c>
      <c r="C21" s="18">
        <v>2004</v>
      </c>
      <c r="D21" s="41">
        <f t="shared" si="0"/>
        <v>12829069.39977785</v>
      </c>
      <c r="E21" s="22">
        <v>11969367.39977785</v>
      </c>
      <c r="F21" s="21">
        <v>859702</v>
      </c>
      <c r="G21" s="20">
        <f t="shared" si="1"/>
        <v>12745930.78361872</v>
      </c>
      <c r="H21" s="35">
        <v>11886228.78361872</v>
      </c>
      <c r="I21" s="66"/>
      <c r="J21" s="71"/>
      <c r="K21">
        <v>2004</v>
      </c>
      <c r="AP21" s="362">
        <v>2000</v>
      </c>
      <c r="AQ21" s="362">
        <v>1.3471996327344142</v>
      </c>
      <c r="AR21" s="362">
        <v>0.81654608370640547</v>
      </c>
      <c r="AS21" s="362">
        <v>8.901735804909755E-2</v>
      </c>
    </row>
    <row r="22" spans="1:45" x14ac:dyDescent="0.25">
      <c r="A22" s="141">
        <f t="shared" si="4"/>
        <v>8</v>
      </c>
      <c r="B22" s="141">
        <f t="shared" si="5"/>
        <v>8</v>
      </c>
      <c r="C22" s="18">
        <v>2005</v>
      </c>
      <c r="D22" s="41">
        <f t="shared" si="0"/>
        <v>13335866.598320998</v>
      </c>
      <c r="E22" s="22">
        <v>12758251.598320998</v>
      </c>
      <c r="F22" s="21">
        <v>577615</v>
      </c>
      <c r="G22" s="20">
        <f t="shared" si="1"/>
        <v>13346411.221766204</v>
      </c>
      <c r="H22" s="35">
        <v>12768796.221766204</v>
      </c>
      <c r="I22" s="66"/>
      <c r="J22" s="71"/>
      <c r="K22">
        <v>2005</v>
      </c>
      <c r="AP22" s="362">
        <v>2001</v>
      </c>
      <c r="AQ22" s="362">
        <v>1.3068197341013081</v>
      </c>
      <c r="AR22" s="362">
        <v>1.3319320030019455</v>
      </c>
      <c r="AS22" s="362">
        <v>0.14303086487242281</v>
      </c>
    </row>
    <row r="23" spans="1:45" x14ac:dyDescent="0.25">
      <c r="A23" s="141">
        <f t="shared" si="4"/>
        <v>7</v>
      </c>
      <c r="B23" s="141">
        <f t="shared" si="5"/>
        <v>7</v>
      </c>
      <c r="C23" s="18">
        <v>2006</v>
      </c>
      <c r="D23" s="41">
        <f t="shared" si="0"/>
        <v>16883014.123100959</v>
      </c>
      <c r="E23" s="22">
        <v>16232706.123100957</v>
      </c>
      <c r="F23" s="21">
        <v>650308</v>
      </c>
      <c r="G23" s="20">
        <f t="shared" si="1"/>
        <v>16864505.217188634</v>
      </c>
      <c r="H23" s="35">
        <v>16214197.217188636</v>
      </c>
      <c r="I23" s="66"/>
      <c r="J23" s="71"/>
      <c r="K23">
        <v>2006</v>
      </c>
      <c r="AP23" s="362">
        <v>2002</v>
      </c>
      <c r="AQ23" s="362">
        <v>0.89621035401261184</v>
      </c>
      <c r="AR23" s="362">
        <v>2.2473208342234572</v>
      </c>
      <c r="AS23" s="362">
        <v>0.24709029125611259</v>
      </c>
    </row>
    <row r="24" spans="1:45" x14ac:dyDescent="0.25">
      <c r="A24" s="141">
        <f t="shared" si="4"/>
        <v>6</v>
      </c>
      <c r="B24" s="141">
        <f t="shared" si="5"/>
        <v>6</v>
      </c>
      <c r="C24" s="18">
        <v>2007</v>
      </c>
      <c r="D24" s="41">
        <f t="shared" si="0"/>
        <v>17139686.916139647</v>
      </c>
      <c r="E24" s="22">
        <v>16140524.916139647</v>
      </c>
      <c r="F24" s="21">
        <v>999162</v>
      </c>
      <c r="G24" s="20">
        <f t="shared" si="1"/>
        <v>17290937.387608744</v>
      </c>
      <c r="H24" s="35">
        <v>16291775.387608746</v>
      </c>
      <c r="I24" s="66"/>
      <c r="J24" s="71"/>
      <c r="K24">
        <v>2007</v>
      </c>
      <c r="AP24" s="362">
        <v>2003</v>
      </c>
      <c r="AQ24" s="362">
        <v>1.0098602384309132</v>
      </c>
      <c r="AR24" s="362">
        <v>1.3944698530477879</v>
      </c>
      <c r="AS24" s="362">
        <v>0.16367126043389912</v>
      </c>
    </row>
    <row r="25" spans="1:45" x14ac:dyDescent="0.25">
      <c r="A25" s="141">
        <f>_xlfn.RANK.AVG(D25,$D$25:$D$34)</f>
        <v>7</v>
      </c>
      <c r="B25" s="141">
        <f>_xlfn.RANK.AVG(G25,$G$25:$G$34)</f>
        <v>8</v>
      </c>
      <c r="C25" s="18">
        <v>2008</v>
      </c>
      <c r="D25" s="41">
        <f t="shared" si="0"/>
        <v>14611940.125555949</v>
      </c>
      <c r="E25" s="22">
        <v>13775567.125555949</v>
      </c>
      <c r="F25" s="21">
        <v>836373</v>
      </c>
      <c r="G25" s="20">
        <f t="shared" si="1"/>
        <v>13787663.438661084</v>
      </c>
      <c r="H25" s="35">
        <v>12951290.438661084</v>
      </c>
      <c r="I25" s="66"/>
      <c r="J25" s="71"/>
      <c r="AP25" s="362">
        <v>2004</v>
      </c>
      <c r="AQ25" s="362">
        <v>0.59668265894263561</v>
      </c>
      <c r="AR25" s="362">
        <v>0.80362438229720123</v>
      </c>
      <c r="AS25" s="362">
        <v>8.873671569314813E-2</v>
      </c>
    </row>
    <row r="26" spans="1:45" x14ac:dyDescent="0.25">
      <c r="A26" s="141">
        <f t="shared" ref="A26:A34" si="6">_xlfn.RANK.AVG(D26,$D$25:$D$34)</f>
        <v>2</v>
      </c>
      <c r="B26" s="141">
        <f t="shared" ref="B26:B34" si="7">_xlfn.RANK.AVG(G26,$G$25:$G$34)</f>
        <v>2</v>
      </c>
      <c r="C26" s="18">
        <v>2009</v>
      </c>
      <c r="D26" s="41">
        <f t="shared" si="0"/>
        <v>18387513.509259213</v>
      </c>
      <c r="E26" s="22">
        <v>17091500.509259213</v>
      </c>
      <c r="F26" s="21">
        <v>1296013</v>
      </c>
      <c r="G26" s="20">
        <f t="shared" si="1"/>
        <v>18463238.083089069</v>
      </c>
      <c r="H26" s="35">
        <v>17167225.083089069</v>
      </c>
      <c r="I26" s="66"/>
      <c r="J26" s="71"/>
      <c r="AP26" s="362">
        <v>2005</v>
      </c>
      <c r="AQ26" s="362">
        <v>0.8874374754877622</v>
      </c>
      <c r="AR26" s="362">
        <v>0.66693655495326942</v>
      </c>
      <c r="AS26" s="362">
        <v>7.9865430767188272E-2</v>
      </c>
    </row>
    <row r="27" spans="1:45" x14ac:dyDescent="0.25">
      <c r="A27" s="141">
        <f t="shared" si="6"/>
        <v>10</v>
      </c>
      <c r="B27" s="141">
        <f t="shared" si="7"/>
        <v>10</v>
      </c>
      <c r="C27" s="18">
        <v>2010</v>
      </c>
      <c r="D27" s="41">
        <f t="shared" si="0"/>
        <v>11853287.110862741</v>
      </c>
      <c r="E27" s="22">
        <v>11137918.110862741</v>
      </c>
      <c r="F27" s="21">
        <v>715369</v>
      </c>
      <c r="G27" s="20">
        <f t="shared" si="1"/>
        <v>11862407.422156174</v>
      </c>
      <c r="H27" s="35">
        <v>11147038.422156174</v>
      </c>
      <c r="I27" s="66"/>
      <c r="J27" s="71"/>
      <c r="AP27" s="362">
        <v>2006</v>
      </c>
      <c r="AQ27" s="362">
        <v>0.88442775779771987</v>
      </c>
      <c r="AR27" s="362">
        <v>1.1626996707507771</v>
      </c>
      <c r="AS27" s="362">
        <v>0.13163171549637664</v>
      </c>
    </row>
    <row r="28" spans="1:45" x14ac:dyDescent="0.25">
      <c r="A28" s="141">
        <f t="shared" si="6"/>
        <v>5</v>
      </c>
      <c r="B28" s="141">
        <f t="shared" si="7"/>
        <v>5</v>
      </c>
      <c r="C28" s="18">
        <v>2011</v>
      </c>
      <c r="D28" s="41">
        <f t="shared" si="0"/>
        <v>15894461.103816804</v>
      </c>
      <c r="E28" s="22">
        <v>15100020.103816804</v>
      </c>
      <c r="F28" s="21">
        <v>794441</v>
      </c>
      <c r="G28" s="20">
        <f t="shared" si="1"/>
        <v>15741290.102028606</v>
      </c>
      <c r="H28" s="35">
        <v>14946849.102028606</v>
      </c>
      <c r="I28" s="66"/>
      <c r="J28" s="71"/>
      <c r="U28" s="17"/>
      <c r="V28" s="17"/>
      <c r="W28" s="17"/>
      <c r="X28" s="17"/>
      <c r="AC28" s="370" t="s">
        <v>42</v>
      </c>
      <c r="AD28" s="371"/>
      <c r="AE28" s="371"/>
      <c r="AF28" s="371"/>
      <c r="AG28" s="371"/>
      <c r="AH28" s="371"/>
      <c r="AI28" s="371"/>
      <c r="AJ28" s="371"/>
      <c r="AK28" s="371"/>
      <c r="AL28" s="372"/>
      <c r="AP28" s="362">
        <v>2007</v>
      </c>
      <c r="AQ28" s="362">
        <v>0.84735178658338883</v>
      </c>
      <c r="AR28" s="362">
        <v>0.89448590176964426</v>
      </c>
      <c r="AS28" s="362">
        <v>9.3201357249768996E-2</v>
      </c>
    </row>
    <row r="29" spans="1:45" x14ac:dyDescent="0.25">
      <c r="A29" s="141">
        <f t="shared" si="6"/>
        <v>8</v>
      </c>
      <c r="B29" s="141">
        <f t="shared" si="7"/>
        <v>7</v>
      </c>
      <c r="C29" s="18">
        <v>2012</v>
      </c>
      <c r="D29" s="41">
        <f t="shared" si="0"/>
        <v>14503396.845392479</v>
      </c>
      <c r="E29" s="22">
        <v>13641356.845392479</v>
      </c>
      <c r="F29" s="21">
        <v>862040</v>
      </c>
      <c r="G29" s="20">
        <f t="shared" si="1"/>
        <v>14552742.946863802</v>
      </c>
      <c r="H29" s="35">
        <v>13690702.946863802</v>
      </c>
      <c r="I29" s="67">
        <f>VLOOKUP(3,$A$11:$D$14,4,FALSE)</f>
        <v>17872818.103552543</v>
      </c>
      <c r="J29" s="72">
        <f>VLOOKUP(3,$B$11:$G$14,6,FALSE)</f>
        <v>18354469.425579689</v>
      </c>
      <c r="U29" s="17"/>
      <c r="V29" s="17"/>
      <c r="W29" s="17"/>
      <c r="X29" s="17"/>
      <c r="AC29" s="111" t="s">
        <v>20</v>
      </c>
      <c r="AD29" s="112" t="s">
        <v>94</v>
      </c>
      <c r="AE29" s="112" t="s">
        <v>95</v>
      </c>
      <c r="AF29" s="112" t="s">
        <v>101</v>
      </c>
      <c r="AG29" s="113" t="s">
        <v>50</v>
      </c>
      <c r="AH29" s="112" t="s">
        <v>45</v>
      </c>
      <c r="AI29" s="112" t="s">
        <v>325</v>
      </c>
      <c r="AJ29" s="112" t="s">
        <v>98</v>
      </c>
      <c r="AK29" s="112" t="s">
        <v>97</v>
      </c>
      <c r="AL29" s="112" t="s">
        <v>99</v>
      </c>
      <c r="AM29" s="114" t="s">
        <v>103</v>
      </c>
      <c r="AP29" s="362">
        <v>2008</v>
      </c>
      <c r="AQ29" s="362">
        <v>1.1221525510221211</v>
      </c>
      <c r="AR29" s="362">
        <v>1.2071321245413469</v>
      </c>
      <c r="AS29" s="362">
        <v>0.13997722439447166</v>
      </c>
    </row>
    <row r="30" spans="1:45" x14ac:dyDescent="0.25">
      <c r="A30" s="141">
        <f t="shared" si="6"/>
        <v>6</v>
      </c>
      <c r="B30" s="141">
        <f t="shared" si="7"/>
        <v>6</v>
      </c>
      <c r="C30" s="18">
        <v>2013</v>
      </c>
      <c r="D30" s="41">
        <f t="shared" si="0"/>
        <v>15557911.156793011</v>
      </c>
      <c r="E30" s="22">
        <v>14801455.156793011</v>
      </c>
      <c r="F30" s="21">
        <v>756456</v>
      </c>
      <c r="G30" s="20">
        <f t="shared" si="1"/>
        <v>15517173.222249065</v>
      </c>
      <c r="H30" s="35">
        <v>14760717.222249065</v>
      </c>
      <c r="I30" s="67">
        <f t="shared" ref="I30:I34" si="8">VLOOKUP(3,$A$11:$D$14,4,FALSE)</f>
        <v>17872818.103552543</v>
      </c>
      <c r="J30" s="72">
        <f t="shared" ref="J30:J34" si="9">VLOOKUP(3,$B$11:$G$14,6,FALSE)</f>
        <v>18354469.425579689</v>
      </c>
      <c r="U30" s="17"/>
      <c r="V30" s="17"/>
      <c r="W30" s="17"/>
      <c r="X30" s="17"/>
      <c r="AC30" s="115">
        <v>1986</v>
      </c>
      <c r="AD30" s="37">
        <v>803</v>
      </c>
      <c r="AE30" s="37">
        <v>84</v>
      </c>
      <c r="AF30" s="37">
        <v>6190183.1068859287</v>
      </c>
      <c r="AG30" s="94">
        <v>6568744.0879082512</v>
      </c>
      <c r="AH30" s="37">
        <v>50581.599449799985</v>
      </c>
      <c r="AI30" s="37">
        <v>2717755.8471212904</v>
      </c>
      <c r="AJ30" s="37">
        <f>AF30+AH30+AI30</f>
        <v>8958520.5534570199</v>
      </c>
      <c r="AK30" s="37">
        <f>AG30-AJ30</f>
        <v>-2389776.4655487686</v>
      </c>
      <c r="AL30" s="116">
        <f t="shared" ref="AL30:AL61" si="10">AK30/AJ30</f>
        <v>-0.26676016997321877</v>
      </c>
      <c r="AM30" s="117">
        <f t="shared" ref="AM30:AM57" si="11">AK30/$AJ$62</f>
        <v>-0.1435976782028639</v>
      </c>
      <c r="AP30" s="362">
        <v>2009</v>
      </c>
      <c r="AQ30" s="362">
        <v>0.67221142675837176</v>
      </c>
      <c r="AR30" s="362">
        <v>1.5163641752710197</v>
      </c>
      <c r="AS30" s="362">
        <v>0.15275739445441466</v>
      </c>
    </row>
    <row r="31" spans="1:45" x14ac:dyDescent="0.25">
      <c r="A31" s="141">
        <f t="shared" si="6"/>
        <v>3</v>
      </c>
      <c r="B31" s="141">
        <f t="shared" si="7"/>
        <v>3</v>
      </c>
      <c r="C31" s="18">
        <v>2014</v>
      </c>
      <c r="D31" s="41">
        <f t="shared" si="0"/>
        <v>17944735.684281804</v>
      </c>
      <c r="E31" s="22">
        <v>16641746.684281804</v>
      </c>
      <c r="F31" s="21">
        <v>1302989</v>
      </c>
      <c r="G31" s="20">
        <f t="shared" si="1"/>
        <v>17812591.046518393</v>
      </c>
      <c r="H31" s="35">
        <v>16509602.046518395</v>
      </c>
      <c r="I31" s="67">
        <f t="shared" si="8"/>
        <v>17872818.103552543</v>
      </c>
      <c r="J31" s="72">
        <f t="shared" si="9"/>
        <v>18354469.425579689</v>
      </c>
      <c r="U31" s="17"/>
      <c r="V31" s="17"/>
      <c r="W31" s="17"/>
      <c r="X31" s="17"/>
      <c r="AC31" s="115">
        <v>1987</v>
      </c>
      <c r="AD31" s="37">
        <v>3413</v>
      </c>
      <c r="AE31" s="37">
        <v>249</v>
      </c>
      <c r="AF31" s="37">
        <v>6883538.6913292408</v>
      </c>
      <c r="AG31" s="94">
        <v>7171118.7537652506</v>
      </c>
      <c r="AH31" s="37">
        <v>51117.639121400003</v>
      </c>
      <c r="AI31" s="37">
        <v>3684518.9486626098</v>
      </c>
      <c r="AJ31" s="37">
        <f>AF31+AH31+AI31</f>
        <v>10619175.279113252</v>
      </c>
      <c r="AK31" s="37">
        <f>AG31-AJ31</f>
        <v>-3448056.5253480012</v>
      </c>
      <c r="AL31" s="116">
        <f t="shared" si="10"/>
        <v>-0.32470097109423823</v>
      </c>
      <c r="AM31" s="117">
        <f t="shared" si="11"/>
        <v>-0.20718796025071284</v>
      </c>
      <c r="AP31" s="362">
        <v>2010</v>
      </c>
      <c r="AQ31" s="362">
        <v>0.73823279266281516</v>
      </c>
      <c r="AR31" s="362">
        <v>1.1519601970380862</v>
      </c>
      <c r="AS31" s="362">
        <v>0.1263468738151361</v>
      </c>
    </row>
    <row r="32" spans="1:45" x14ac:dyDescent="0.25">
      <c r="A32" s="141">
        <f t="shared" si="6"/>
        <v>1</v>
      </c>
      <c r="B32" s="141">
        <f t="shared" si="7"/>
        <v>1</v>
      </c>
      <c r="C32" s="18">
        <v>2015</v>
      </c>
      <c r="D32" s="41">
        <f t="shared" si="0"/>
        <v>26486085.880898066</v>
      </c>
      <c r="E32" s="22">
        <v>25375981.880898066</v>
      </c>
      <c r="F32" s="21">
        <v>1110104</v>
      </c>
      <c r="G32" s="20">
        <f t="shared" si="1"/>
        <v>26386327.094398055</v>
      </c>
      <c r="H32" s="35">
        <v>25276223.094398055</v>
      </c>
      <c r="I32" s="67">
        <f t="shared" si="8"/>
        <v>17872818.103552543</v>
      </c>
      <c r="J32" s="72">
        <f t="shared" si="9"/>
        <v>18354469.425579689</v>
      </c>
      <c r="U32" s="17"/>
      <c r="V32" s="17"/>
      <c r="W32" s="17"/>
      <c r="X32" s="17"/>
      <c r="AC32" s="118">
        <v>1988</v>
      </c>
      <c r="AD32" s="128">
        <v>2924</v>
      </c>
      <c r="AE32" s="128">
        <v>265</v>
      </c>
      <c r="AF32" s="128">
        <v>3134068.123756581</v>
      </c>
      <c r="AG32" s="94">
        <v>7354328.5863041701</v>
      </c>
      <c r="AH32" s="128">
        <v>35994.136031800001</v>
      </c>
      <c r="AI32" s="128">
        <v>701207.16715131153</v>
      </c>
      <c r="AJ32" s="128"/>
      <c r="AK32" s="128"/>
      <c r="AL32" s="129" t="e">
        <f t="shared" si="10"/>
        <v>#DIV/0!</v>
      </c>
      <c r="AM32" s="130">
        <f t="shared" si="11"/>
        <v>0</v>
      </c>
      <c r="AN32" t="s">
        <v>112</v>
      </c>
      <c r="AP32" s="362">
        <v>2011</v>
      </c>
      <c r="AQ32" s="362">
        <v>1.2630475046225966</v>
      </c>
      <c r="AR32" s="362">
        <v>0.81272386129730567</v>
      </c>
      <c r="AS32" s="362">
        <v>9.4203976715684382E-2</v>
      </c>
    </row>
    <row r="33" spans="1:45" s="17" customFormat="1" x14ac:dyDescent="0.25">
      <c r="A33" s="141">
        <f t="shared" si="6"/>
        <v>4</v>
      </c>
      <c r="B33" s="141">
        <f t="shared" si="7"/>
        <v>4</v>
      </c>
      <c r="C33" s="18">
        <v>2016</v>
      </c>
      <c r="D33" s="41">
        <f t="shared" si="0"/>
        <v>16934681.561358452</v>
      </c>
      <c r="E33" s="22">
        <v>15997342.561358454</v>
      </c>
      <c r="F33" s="21">
        <v>937339</v>
      </c>
      <c r="G33" s="20">
        <f t="shared" si="1"/>
        <v>17133660.890889779</v>
      </c>
      <c r="H33" s="35">
        <v>16196321.890889779</v>
      </c>
      <c r="I33" s="67">
        <f t="shared" si="8"/>
        <v>17872818.103552543</v>
      </c>
      <c r="J33" s="72">
        <f t="shared" si="9"/>
        <v>18354469.425579689</v>
      </c>
      <c r="AC33" s="115">
        <v>1989</v>
      </c>
      <c r="AD33" s="37">
        <v>6972</v>
      </c>
      <c r="AE33" s="37">
        <v>239</v>
      </c>
      <c r="AF33" s="37">
        <v>13273491.114809766</v>
      </c>
      <c r="AG33" s="94">
        <v>15853090.595404845</v>
      </c>
      <c r="AH33" s="37">
        <v>54782.039261999991</v>
      </c>
      <c r="AI33" s="37">
        <v>11610017.425069742</v>
      </c>
      <c r="AJ33" s="37">
        <f t="shared" ref="AJ33:AJ35" si="12">AF33+AH33+AI33</f>
        <v>24938290.579141509</v>
      </c>
      <c r="AK33" s="37">
        <f>AG33-AJ33</f>
        <v>-9085199.9837366641</v>
      </c>
      <c r="AL33" s="116">
        <f t="shared" si="10"/>
        <v>-0.36430724691834188</v>
      </c>
      <c r="AM33" s="117">
        <f t="shared" si="11"/>
        <v>-0.54591449973698736</v>
      </c>
      <c r="AP33" s="362">
        <v>2012</v>
      </c>
      <c r="AQ33" s="362">
        <v>0.79729556237276922</v>
      </c>
      <c r="AR33" s="362">
        <v>1.2391754130208819</v>
      </c>
      <c r="AS33" s="362">
        <v>0.1403800230243348</v>
      </c>
    </row>
    <row r="34" spans="1:45" s="17" customFormat="1" x14ac:dyDescent="0.25">
      <c r="A34" s="141">
        <f t="shared" si="6"/>
        <v>9</v>
      </c>
      <c r="B34" s="141">
        <f t="shared" si="7"/>
        <v>9</v>
      </c>
      <c r="C34" s="18">
        <v>2017</v>
      </c>
      <c r="D34" s="41">
        <f t="shared" si="0"/>
        <v>13125119.18939049</v>
      </c>
      <c r="E34" s="22">
        <v>12649853.18939049</v>
      </c>
      <c r="F34" s="21">
        <v>475266</v>
      </c>
      <c r="G34" s="20">
        <f t="shared" si="1"/>
        <v>12621327.529829118</v>
      </c>
      <c r="H34" s="35">
        <v>12146061.529829118</v>
      </c>
      <c r="I34" s="67">
        <f t="shared" si="8"/>
        <v>17872818.103552543</v>
      </c>
      <c r="J34" s="72">
        <f t="shared" si="9"/>
        <v>18354469.425579689</v>
      </c>
      <c r="AC34" s="118">
        <v>1990</v>
      </c>
      <c r="AD34" s="128">
        <v>7338</v>
      </c>
      <c r="AE34" s="128">
        <v>428</v>
      </c>
      <c r="AF34" s="128">
        <v>9283966.0845190845</v>
      </c>
      <c r="AG34" s="94">
        <v>12146592.628621344</v>
      </c>
      <c r="AH34" s="128">
        <v>103300.36900400002</v>
      </c>
      <c r="AI34" s="128">
        <v>12766347.404444898</v>
      </c>
      <c r="AJ34" s="37">
        <f t="shared" si="12"/>
        <v>22153613.85796798</v>
      </c>
      <c r="AK34" s="128">
        <f>AG34-AJ34</f>
        <v>-10007021.229346637</v>
      </c>
      <c r="AL34" s="129">
        <f t="shared" si="10"/>
        <v>-0.45171055582642178</v>
      </c>
      <c r="AM34" s="130">
        <f t="shared" si="11"/>
        <v>-0.60130519945135052</v>
      </c>
      <c r="AP34" s="362">
        <v>2013</v>
      </c>
      <c r="AQ34" s="362">
        <v>1.6201732319684243</v>
      </c>
      <c r="AR34" s="362">
        <v>0.80958396935032584</v>
      </c>
      <c r="AS34" s="362">
        <v>8.8188193871602816E-2</v>
      </c>
    </row>
    <row r="35" spans="1:45" x14ac:dyDescent="0.25">
      <c r="C35" s="141" t="s">
        <v>349</v>
      </c>
      <c r="D35" s="5">
        <f>AVERAGE(D11:D14)</f>
        <v>23167769.222675502</v>
      </c>
      <c r="E35" s="141"/>
      <c r="F35" s="141"/>
      <c r="G35" s="5">
        <f>AVERAGE(G11:G14)</f>
        <v>23355589.222691365</v>
      </c>
      <c r="H35" s="5"/>
      <c r="U35" s="17"/>
      <c r="V35" s="17"/>
      <c r="W35" s="17"/>
      <c r="X35" s="17"/>
      <c r="AC35" s="118">
        <v>1991</v>
      </c>
      <c r="AD35" s="128">
        <v>7160</v>
      </c>
      <c r="AE35" s="128">
        <v>994</v>
      </c>
      <c r="AF35" s="128">
        <v>14756430.538163325</v>
      </c>
      <c r="AG35" s="94">
        <v>16218311.521183055</v>
      </c>
      <c r="AH35" s="128">
        <v>75825.541503999993</v>
      </c>
      <c r="AI35" s="128">
        <v>13239571.427048795</v>
      </c>
      <c r="AJ35" s="37">
        <f t="shared" si="12"/>
        <v>28071827.506716117</v>
      </c>
      <c r="AK35" s="128">
        <f>AG35-AJ35</f>
        <v>-11853515.985533062</v>
      </c>
      <c r="AL35" s="129">
        <f t="shared" si="10"/>
        <v>-0.42225665510010479</v>
      </c>
      <c r="AM35" s="130">
        <f t="shared" si="11"/>
        <v>-0.71225798672019935</v>
      </c>
      <c r="AP35" s="362">
        <v>2014</v>
      </c>
      <c r="AQ35" s="362">
        <v>0.84781745975118838</v>
      </c>
      <c r="AR35" s="362">
        <v>1.5246115760937999</v>
      </c>
      <c r="AS35" s="362">
        <v>0.14848055382950068</v>
      </c>
    </row>
    <row r="36" spans="1:45" x14ac:dyDescent="0.25">
      <c r="C36" s="55" t="s">
        <v>71</v>
      </c>
      <c r="D36" s="5">
        <f>AVERAGE(D16:D24)</f>
        <v>18789443.208515592</v>
      </c>
      <c r="E36" s="19"/>
      <c r="F36" s="5"/>
      <c r="G36" s="5">
        <f>AVERAGE(G16:G24)</f>
        <v>18822994.048054587</v>
      </c>
      <c r="H36" s="5"/>
      <c r="U36" s="17"/>
      <c r="V36" s="17"/>
      <c r="W36" s="17"/>
      <c r="X36" s="17"/>
      <c r="AC36" s="118">
        <v>1992</v>
      </c>
      <c r="AD36" s="128">
        <v>5645</v>
      </c>
      <c r="AE36" s="128">
        <v>319</v>
      </c>
      <c r="AF36" s="128">
        <v>5893694.4798623864</v>
      </c>
      <c r="AG36" s="94">
        <v>8643299.7290922962</v>
      </c>
      <c r="AH36" s="128">
        <v>39302.991511999986</v>
      </c>
      <c r="AI36" s="128">
        <v>12097352.242865141</v>
      </c>
      <c r="AJ36" s="128"/>
      <c r="AK36" s="128"/>
      <c r="AL36" s="129" t="e">
        <f t="shared" si="10"/>
        <v>#DIV/0!</v>
      </c>
      <c r="AM36" s="130">
        <f t="shared" si="11"/>
        <v>0</v>
      </c>
      <c r="AN36" s="17" t="s">
        <v>112</v>
      </c>
      <c r="AP36" s="362">
        <v>2015</v>
      </c>
      <c r="AQ36" s="362">
        <v>1.2824669988996933</v>
      </c>
      <c r="AR36" s="362">
        <v>3.5578345830105893</v>
      </c>
      <c r="AS36" s="362">
        <v>0.33275489461381275</v>
      </c>
    </row>
    <row r="37" spans="1:45" x14ac:dyDescent="0.25">
      <c r="C37" s="55" t="s">
        <v>70</v>
      </c>
      <c r="D37" s="5">
        <f>AVERAGE(D29:D34)</f>
        <v>17425321.719685715</v>
      </c>
      <c r="F37" s="5"/>
      <c r="G37" s="5">
        <f>AVERAGE(G29:G34)</f>
        <v>17337303.788458034</v>
      </c>
      <c r="U37" s="17"/>
      <c r="V37" s="17"/>
      <c r="W37" s="17"/>
      <c r="X37" s="17"/>
      <c r="AC37" s="118">
        <v>1993</v>
      </c>
      <c r="AD37" s="128">
        <v>7451</v>
      </c>
      <c r="AE37" s="128">
        <v>307</v>
      </c>
      <c r="AF37" s="128">
        <v>7077099.3575854525</v>
      </c>
      <c r="AG37" s="94">
        <v>9437612.9301357213</v>
      </c>
      <c r="AH37" s="128">
        <v>51060.233541999994</v>
      </c>
      <c r="AI37" s="128">
        <v>5702511.4853040902</v>
      </c>
      <c r="AJ37" s="128">
        <f t="shared" ref="AJ37:AJ61" si="13">AF37+AH37+AI37</f>
        <v>12830671.076431543</v>
      </c>
      <c r="AK37" s="128">
        <f t="shared" ref="AK37:AK61" si="14">AG37-AJ37</f>
        <v>-3393058.1462958213</v>
      </c>
      <c r="AL37" s="129">
        <f t="shared" si="10"/>
        <v>-0.26444900084208972</v>
      </c>
      <c r="AM37" s="130">
        <f t="shared" si="11"/>
        <v>-0.20388319947050301</v>
      </c>
      <c r="AP37" s="362">
        <v>2016</v>
      </c>
      <c r="AQ37" s="362">
        <v>0.47864678124186233</v>
      </c>
      <c r="AR37" s="362">
        <v>1.5043690378101697</v>
      </c>
      <c r="AS37" s="362">
        <v>0.14075549638355306</v>
      </c>
    </row>
    <row r="38" spans="1:45" ht="15.75" thickBot="1" x14ac:dyDescent="0.3">
      <c r="D38" s="46"/>
      <c r="E38" s="46"/>
      <c r="F38" s="46"/>
      <c r="U38" s="17"/>
      <c r="V38" s="17"/>
      <c r="W38" s="17"/>
      <c r="X38" s="17"/>
      <c r="AC38" s="118">
        <v>1994</v>
      </c>
      <c r="AD38" s="128">
        <v>10973</v>
      </c>
      <c r="AE38" s="128">
        <v>573</v>
      </c>
      <c r="AF38" s="128">
        <v>10554827.992370427</v>
      </c>
      <c r="AG38" s="94">
        <v>11342007.883292759</v>
      </c>
      <c r="AH38" s="128">
        <v>24857.305919999988</v>
      </c>
      <c r="AI38" s="128">
        <v>4603564.2391482862</v>
      </c>
      <c r="AJ38" s="128">
        <f t="shared" si="13"/>
        <v>15183249.537438713</v>
      </c>
      <c r="AK38" s="128">
        <f t="shared" si="14"/>
        <v>-3841241.6541459542</v>
      </c>
      <c r="AL38" s="129">
        <f t="shared" si="10"/>
        <v>-0.25299206501706084</v>
      </c>
      <c r="AM38" s="130">
        <f t="shared" si="11"/>
        <v>-0.23081379823732762</v>
      </c>
      <c r="AP38" s="362">
        <v>2017</v>
      </c>
      <c r="AQ38" s="362">
        <v>0.70280233183585339</v>
      </c>
      <c r="AR38" s="362">
        <v>1.2608704269096529</v>
      </c>
      <c r="AS38" s="362">
        <v>0.11291341004540514</v>
      </c>
    </row>
    <row r="39" spans="1:45" ht="15.75" thickBot="1" x14ac:dyDescent="0.3">
      <c r="A39" s="397" t="s">
        <v>336</v>
      </c>
      <c r="B39" s="399" t="s">
        <v>337</v>
      </c>
      <c r="C39" s="388" t="s">
        <v>347</v>
      </c>
      <c r="D39" s="5"/>
      <c r="E39" s="401" t="s">
        <v>74</v>
      </c>
      <c r="F39" s="402"/>
      <c r="G39" s="402"/>
      <c r="H39" s="403"/>
      <c r="J39" s="367" t="s">
        <v>350</v>
      </c>
      <c r="K39" s="369"/>
      <c r="U39" s="17"/>
      <c r="V39" s="17"/>
      <c r="W39" s="17"/>
      <c r="X39" s="17"/>
      <c r="AC39" s="118">
        <v>1995</v>
      </c>
      <c r="AD39" s="128">
        <v>9410</v>
      </c>
      <c r="AE39" s="128">
        <v>403</v>
      </c>
      <c r="AF39" s="128">
        <v>14318401.850727199</v>
      </c>
      <c r="AG39" s="94">
        <v>14051121.047246363</v>
      </c>
      <c r="AH39" s="128">
        <v>52902.242979999981</v>
      </c>
      <c r="AI39" s="128">
        <v>9903953.0364318006</v>
      </c>
      <c r="AJ39" s="128">
        <f t="shared" si="13"/>
        <v>24275257.130139001</v>
      </c>
      <c r="AK39" s="128">
        <f t="shared" si="14"/>
        <v>-10224136.082892638</v>
      </c>
      <c r="AL39" s="129">
        <f t="shared" si="10"/>
        <v>-0.4211751920105859</v>
      </c>
      <c r="AM39" s="130">
        <f t="shared" si="11"/>
        <v>-0.61435126853857014</v>
      </c>
      <c r="AP39" s="362">
        <v>2018</v>
      </c>
      <c r="AQ39" s="362">
        <v>0.7365022853634049</v>
      </c>
      <c r="AR39" s="362">
        <v>0.86479988222770865</v>
      </c>
      <c r="AS39" s="362">
        <v>0.10617912642604461</v>
      </c>
    </row>
    <row r="40" spans="1:45" ht="15.75" thickBot="1" x14ac:dyDescent="0.3">
      <c r="A40" s="398"/>
      <c r="B40" s="400"/>
      <c r="C40" s="389"/>
      <c r="D40" s="5"/>
      <c r="E40" s="404" t="s">
        <v>56</v>
      </c>
      <c r="F40" s="405"/>
      <c r="G40" s="406" t="s">
        <v>76</v>
      </c>
      <c r="H40" s="407"/>
      <c r="J40" s="341" t="s">
        <v>351</v>
      </c>
      <c r="K40" s="341" t="s">
        <v>352</v>
      </c>
      <c r="U40" s="17"/>
      <c r="V40" s="17"/>
      <c r="W40" s="17"/>
      <c r="X40" s="17"/>
      <c r="AC40" s="118">
        <v>1996</v>
      </c>
      <c r="AD40" s="128">
        <v>6896</v>
      </c>
      <c r="AE40" s="128">
        <v>449</v>
      </c>
      <c r="AF40" s="128">
        <v>9128889.2601710744</v>
      </c>
      <c r="AG40" s="94">
        <v>9431565.6585996915</v>
      </c>
      <c r="AH40" s="128">
        <v>47254.564838000013</v>
      </c>
      <c r="AI40" s="128">
        <v>6904421.7575459229</v>
      </c>
      <c r="AJ40" s="128">
        <f t="shared" si="13"/>
        <v>16080565.582554996</v>
      </c>
      <c r="AK40" s="128">
        <f t="shared" si="14"/>
        <v>-6648999.9239553045</v>
      </c>
      <c r="AL40" s="129">
        <f t="shared" si="10"/>
        <v>-0.41348047677927902</v>
      </c>
      <c r="AM40" s="130">
        <f t="shared" si="11"/>
        <v>-0.39952730525854951</v>
      </c>
    </row>
    <row r="41" spans="1:45" ht="15" customHeight="1" thickBot="1" x14ac:dyDescent="0.3">
      <c r="A41" s="346" t="s">
        <v>346</v>
      </c>
      <c r="B41" s="347" t="s">
        <v>42</v>
      </c>
      <c r="C41" s="348">
        <f>I29/D35</f>
        <v>0.77145183603000866</v>
      </c>
      <c r="E41" s="393" t="s">
        <v>57</v>
      </c>
      <c r="F41" s="394"/>
      <c r="G41" s="356" t="s">
        <v>87</v>
      </c>
      <c r="H41" s="357" t="s">
        <v>87</v>
      </c>
      <c r="J41" s="49" t="s">
        <v>353</v>
      </c>
      <c r="K41" s="24">
        <f>VLOOKUP(3,$A$11:$D$14,4,FALSE)</f>
        <v>17872818.103552543</v>
      </c>
      <c r="U41" s="17"/>
      <c r="V41" s="17"/>
      <c r="W41" s="17"/>
      <c r="X41" s="17"/>
      <c r="AC41" s="118">
        <v>1997</v>
      </c>
      <c r="AD41" s="128">
        <v>7513</v>
      </c>
      <c r="AE41" s="128">
        <v>529</v>
      </c>
      <c r="AF41" s="128">
        <v>12284355.482785385</v>
      </c>
      <c r="AG41" s="94">
        <v>11516565.986461468</v>
      </c>
      <c r="AH41" s="128">
        <v>44423.682070000003</v>
      </c>
      <c r="AI41" s="128">
        <v>19618838.155669667</v>
      </c>
      <c r="AJ41" s="128">
        <f t="shared" si="13"/>
        <v>31947617.32052505</v>
      </c>
      <c r="AK41" s="128">
        <f t="shared" si="14"/>
        <v>-20431051.334063582</v>
      </c>
      <c r="AL41" s="129">
        <f t="shared" si="10"/>
        <v>-0.63951721748392987</v>
      </c>
      <c r="AM41" s="130">
        <f t="shared" si="11"/>
        <v>-1.2276677660482986</v>
      </c>
    </row>
    <row r="42" spans="1:45" x14ac:dyDescent="0.25">
      <c r="A42" s="385" t="s">
        <v>338</v>
      </c>
      <c r="B42" s="344" t="s">
        <v>2</v>
      </c>
      <c r="C42" s="349">
        <f>'A Spadefish'!D43</f>
        <v>1.2977495408885082</v>
      </c>
      <c r="E42" s="393" t="s">
        <v>52</v>
      </c>
      <c r="F42" s="394"/>
      <c r="G42" s="356">
        <f>VLOOKUP(G41,'ORCS Categories'!$A$5:$C$9,2,FALSE)</f>
        <v>1.75</v>
      </c>
      <c r="H42" s="357">
        <f>VLOOKUP(H41,'ORCS Categories'!$A$5:$C$9,2,FALSE)</f>
        <v>1.75</v>
      </c>
      <c r="J42" s="49" t="s">
        <v>349</v>
      </c>
      <c r="K42" s="24">
        <f>AVERAGE(D11:D14)</f>
        <v>23167769.222675502</v>
      </c>
      <c r="U42" s="17"/>
      <c r="V42" s="17"/>
      <c r="W42" s="17"/>
      <c r="X42" s="17"/>
      <c r="AC42" s="118">
        <v>1998</v>
      </c>
      <c r="AD42" s="128">
        <v>8000</v>
      </c>
      <c r="AE42" s="128">
        <v>1196</v>
      </c>
      <c r="AF42" s="128">
        <v>7312082.6126572909</v>
      </c>
      <c r="AG42" s="94">
        <v>8652703.2565550581</v>
      </c>
      <c r="AH42" s="128">
        <v>21314.623949999994</v>
      </c>
      <c r="AI42" s="128">
        <v>9001520.7172059976</v>
      </c>
      <c r="AJ42" s="128">
        <f t="shared" si="13"/>
        <v>16334917.953813288</v>
      </c>
      <c r="AK42" s="128">
        <f t="shared" si="14"/>
        <v>-7682214.6972582303</v>
      </c>
      <c r="AL42" s="129">
        <f t="shared" si="10"/>
        <v>-0.47029404855167106</v>
      </c>
      <c r="AM42" s="130">
        <f t="shared" si="11"/>
        <v>-0.46161145608607418</v>
      </c>
    </row>
    <row r="43" spans="1:45" x14ac:dyDescent="0.25">
      <c r="A43" s="386"/>
      <c r="B43" s="79" t="s">
        <v>39</v>
      </c>
      <c r="C43" s="350">
        <f>'Bar Jack'!D43</f>
        <v>1.5420683356759244</v>
      </c>
      <c r="E43" s="393" t="s">
        <v>53</v>
      </c>
      <c r="F43" s="394"/>
      <c r="G43" s="356" t="s">
        <v>357</v>
      </c>
      <c r="H43" s="357" t="s">
        <v>54</v>
      </c>
      <c r="J43" s="49" t="s">
        <v>354</v>
      </c>
      <c r="K43" s="24">
        <f>VLOOKUP(3,$A$16:$D$24,4,FALSE)</f>
        <v>22181031.156717591</v>
      </c>
      <c r="U43" s="17"/>
      <c r="V43" s="17"/>
      <c r="W43" s="17"/>
      <c r="X43" s="17"/>
      <c r="AC43" s="118">
        <v>1999</v>
      </c>
      <c r="AD43" s="128">
        <v>8340</v>
      </c>
      <c r="AE43" s="128">
        <v>710</v>
      </c>
      <c r="AF43" s="128">
        <v>13973352.490388326</v>
      </c>
      <c r="AG43" s="94">
        <v>14885580.008898152</v>
      </c>
      <c r="AH43" s="128">
        <v>49796.248178000031</v>
      </c>
      <c r="AI43" s="128">
        <v>6543989.3723869389</v>
      </c>
      <c r="AJ43" s="128">
        <f t="shared" si="13"/>
        <v>20567138.110953264</v>
      </c>
      <c r="AK43" s="128">
        <f t="shared" si="14"/>
        <v>-5681558.1020551119</v>
      </c>
      <c r="AL43" s="129">
        <f t="shared" si="10"/>
        <v>-0.27624446684827447</v>
      </c>
      <c r="AM43" s="130">
        <f t="shared" si="11"/>
        <v>-0.34139534127617127</v>
      </c>
    </row>
    <row r="44" spans="1:45" x14ac:dyDescent="0.25">
      <c r="A44" s="386"/>
      <c r="B44" s="79" t="s">
        <v>114</v>
      </c>
      <c r="C44" s="350">
        <f>'Black Grouper'!D37</f>
        <v>1.2064041755038066</v>
      </c>
      <c r="E44" s="393" t="s">
        <v>58</v>
      </c>
      <c r="F44" s="394"/>
      <c r="G44" s="356">
        <f>VLOOKUP(G45,$D$11:$K$14,8,FALSE)</f>
        <v>1997</v>
      </c>
      <c r="H44" s="357">
        <f>VLOOKUP(H45,$D$16:$K$24,8,FALSE)</f>
        <v>2000</v>
      </c>
      <c r="J44" s="49" t="s">
        <v>360</v>
      </c>
      <c r="K44" s="24">
        <f>VLOOKUP(3,$A$25:$D$34,4,FALSE)</f>
        <v>17944735.684281804</v>
      </c>
      <c r="U44" s="17"/>
      <c r="V44" s="17"/>
      <c r="W44" s="17"/>
      <c r="X44" s="17"/>
      <c r="AC44" s="118">
        <v>2000</v>
      </c>
      <c r="AD44" s="128">
        <v>11887</v>
      </c>
      <c r="AE44" s="128">
        <v>865</v>
      </c>
      <c r="AF44" s="128">
        <v>16049034.677909344</v>
      </c>
      <c r="AG44" s="94">
        <v>19381368.566114813</v>
      </c>
      <c r="AH44" s="128">
        <v>69888.355289999992</v>
      </c>
      <c r="AI44" s="128">
        <v>5179081.0501903435</v>
      </c>
      <c r="AJ44" s="128">
        <f t="shared" si="13"/>
        <v>21298004.083389688</v>
      </c>
      <c r="AK44" s="128">
        <f t="shared" si="14"/>
        <v>-1916635.5172748752</v>
      </c>
      <c r="AL44" s="129">
        <f t="shared" si="10"/>
        <v>-8.9991320772149677E-2</v>
      </c>
      <c r="AM44" s="130">
        <f t="shared" si="11"/>
        <v>-0.1151674285061707</v>
      </c>
    </row>
    <row r="45" spans="1:45" x14ac:dyDescent="0.25">
      <c r="A45" s="386"/>
      <c r="B45" s="79" t="s">
        <v>7</v>
      </c>
      <c r="C45" s="350">
        <f>'Gray Triggerfish'!D43</f>
        <v>1.0426955094665462</v>
      </c>
      <c r="E45" s="393" t="s">
        <v>55</v>
      </c>
      <c r="F45" s="394"/>
      <c r="G45" s="358">
        <f>MAX(D11:D14)</f>
        <v>32178800.653313868</v>
      </c>
      <c r="H45" s="359">
        <f>MAX(D16:D24)</f>
        <v>24570763.596621089</v>
      </c>
      <c r="J45" s="49" t="s">
        <v>355</v>
      </c>
      <c r="K45" s="24">
        <f>G47</f>
        <v>47865965.971804373</v>
      </c>
      <c r="U45" s="17"/>
      <c r="V45" s="17"/>
      <c r="W45" s="17"/>
      <c r="X45" s="17"/>
      <c r="AC45" s="118">
        <v>2001</v>
      </c>
      <c r="AD45" s="128">
        <v>8765</v>
      </c>
      <c r="AE45" s="128">
        <v>780</v>
      </c>
      <c r="AF45" s="128">
        <v>14945270.52975796</v>
      </c>
      <c r="AG45" s="94">
        <v>17178624.609758183</v>
      </c>
      <c r="AH45" s="128">
        <v>72524.395510000002</v>
      </c>
      <c r="AI45" s="128">
        <v>6467095.308114701</v>
      </c>
      <c r="AJ45" s="128">
        <f t="shared" si="13"/>
        <v>21484890.233382661</v>
      </c>
      <c r="AK45" s="128">
        <f t="shared" si="14"/>
        <v>-4306265.6236244775</v>
      </c>
      <c r="AL45" s="129">
        <f t="shared" si="10"/>
        <v>-0.20043228412372871</v>
      </c>
      <c r="AM45" s="130">
        <f t="shared" si="11"/>
        <v>-0.25875631222909606</v>
      </c>
    </row>
    <row r="46" spans="1:45" x14ac:dyDescent="0.25">
      <c r="A46" s="386"/>
      <c r="B46" s="79" t="s">
        <v>44</v>
      </c>
      <c r="C46" s="350">
        <f>'GA-NC Hogfish'!D42</f>
        <v>1.1792125324846081</v>
      </c>
      <c r="E46" s="393" t="s">
        <v>358</v>
      </c>
      <c r="F46" s="394"/>
      <c r="G46" s="356">
        <v>0.85</v>
      </c>
      <c r="H46" s="357">
        <v>0.85</v>
      </c>
      <c r="J46" s="49" t="s">
        <v>356</v>
      </c>
      <c r="K46" s="24">
        <f>H47</f>
        <v>36549010.849973865</v>
      </c>
      <c r="U46" s="17"/>
      <c r="V46" s="17"/>
      <c r="W46" s="17"/>
      <c r="X46" s="17"/>
      <c r="AC46" s="125">
        <v>2002</v>
      </c>
      <c r="AD46" s="107">
        <v>10574</v>
      </c>
      <c r="AE46" s="107">
        <v>851</v>
      </c>
      <c r="AF46" s="107">
        <v>13794840.800095351</v>
      </c>
      <c r="AG46" s="107">
        <v>18023658.691262152</v>
      </c>
      <c r="AH46" s="107">
        <v>39236.39054600001</v>
      </c>
      <c r="AI46" s="107">
        <v>2762406.037849816</v>
      </c>
      <c r="AJ46" s="107">
        <f t="shared" si="13"/>
        <v>16596483.228491167</v>
      </c>
      <c r="AK46" s="107">
        <f t="shared" si="14"/>
        <v>1427175.4627709854</v>
      </c>
      <c r="AL46" s="126">
        <f t="shared" si="10"/>
        <v>8.5992643328253709E-2</v>
      </c>
      <c r="AM46" s="127">
        <f t="shared" si="11"/>
        <v>8.5756590960046467E-2</v>
      </c>
    </row>
    <row r="47" spans="1:45" ht="15.75" thickBot="1" x14ac:dyDescent="0.3">
      <c r="A47" s="387"/>
      <c r="B47" s="345" t="s">
        <v>14</v>
      </c>
      <c r="C47" s="351">
        <f>Scamp!D44</f>
        <v>1.1176222495404826</v>
      </c>
      <c r="E47" s="395" t="s">
        <v>41</v>
      </c>
      <c r="F47" s="396"/>
      <c r="G47" s="360">
        <f>G45*G42*G46</f>
        <v>47865965.971804373</v>
      </c>
      <c r="H47" s="361">
        <f>H45*H42*H46</f>
        <v>36549010.849973865</v>
      </c>
      <c r="K47" s="17"/>
      <c r="U47" s="17"/>
      <c r="V47" s="17"/>
      <c r="W47" s="17"/>
      <c r="X47" s="17"/>
      <c r="AC47" s="118">
        <v>2003</v>
      </c>
      <c r="AD47" s="128">
        <v>4188</v>
      </c>
      <c r="AE47" s="128">
        <v>720</v>
      </c>
      <c r="AF47" s="128">
        <v>12112709.541948242</v>
      </c>
      <c r="AG47" s="94">
        <v>13840586.360176375</v>
      </c>
      <c r="AH47" s="128">
        <v>16546.38279399999</v>
      </c>
      <c r="AI47" s="128">
        <v>3960278.0652151462</v>
      </c>
      <c r="AJ47" s="128">
        <f t="shared" si="13"/>
        <v>16089533.989957388</v>
      </c>
      <c r="AK47" s="128">
        <f t="shared" si="14"/>
        <v>-2248947.6297810134</v>
      </c>
      <c r="AL47" s="129">
        <f t="shared" si="10"/>
        <v>-0.13977705203797325</v>
      </c>
      <c r="AM47" s="130">
        <f t="shared" si="11"/>
        <v>-0.13513550856825821</v>
      </c>
    </row>
    <row r="48" spans="1:45" ht="15" customHeight="1" x14ac:dyDescent="0.25">
      <c r="A48" s="390" t="s">
        <v>339</v>
      </c>
      <c r="B48" s="344" t="s">
        <v>26</v>
      </c>
      <c r="C48" s="349">
        <f>'Deepwater Complex'!G40</f>
        <v>0.93728921701055945</v>
      </c>
      <c r="E48" s="376" t="s">
        <v>359</v>
      </c>
      <c r="F48" s="377"/>
      <c r="G48" s="377"/>
      <c r="H48" s="378"/>
      <c r="K48" s="17"/>
      <c r="U48" s="17"/>
      <c r="V48" s="17"/>
      <c r="W48" s="17"/>
      <c r="X48" s="17"/>
      <c r="AC48" s="118">
        <v>2004</v>
      </c>
      <c r="AD48" s="128">
        <v>4022</v>
      </c>
      <c r="AE48" s="128">
        <v>786</v>
      </c>
      <c r="AF48" s="128">
        <v>9707669.609118104</v>
      </c>
      <c r="AG48" s="94">
        <v>10238460.87509766</v>
      </c>
      <c r="AH48" s="128">
        <v>26966.490832000007</v>
      </c>
      <c r="AI48" s="128">
        <v>1680721.6017800744</v>
      </c>
      <c r="AJ48" s="128">
        <f t="shared" si="13"/>
        <v>11415357.701730177</v>
      </c>
      <c r="AK48" s="128">
        <f t="shared" si="14"/>
        <v>-1176896.8266325165</v>
      </c>
      <c r="AL48" s="129">
        <f t="shared" si="10"/>
        <v>-0.10309767397425831</v>
      </c>
      <c r="AM48" s="130">
        <f t="shared" si="11"/>
        <v>-7.0717765542117395E-2</v>
      </c>
    </row>
    <row r="49" spans="1:39" x14ac:dyDescent="0.25">
      <c r="A49" s="391"/>
      <c r="B49" s="79" t="s">
        <v>25</v>
      </c>
      <c r="C49" s="350">
        <f>'Deepwater Complex'!D40</f>
        <v>1.2617377907064162</v>
      </c>
      <c r="E49" s="379"/>
      <c r="F49" s="380"/>
      <c r="G49" s="380"/>
      <c r="H49" s="381"/>
      <c r="K49" s="17"/>
      <c r="U49" s="17"/>
      <c r="V49" s="17"/>
      <c r="W49" s="17"/>
      <c r="X49" s="17"/>
      <c r="AC49" s="118">
        <v>2005</v>
      </c>
      <c r="AD49" s="128">
        <v>5361</v>
      </c>
      <c r="AE49" s="128">
        <v>335</v>
      </c>
      <c r="AF49" s="128">
        <v>10299663.521732213</v>
      </c>
      <c r="AG49" s="94">
        <v>11028558.495946305</v>
      </c>
      <c r="AH49" s="128">
        <v>23658.378301999997</v>
      </c>
      <c r="AI49" s="128">
        <v>2128573.1741328421</v>
      </c>
      <c r="AJ49" s="128">
        <f t="shared" si="13"/>
        <v>12451895.074167056</v>
      </c>
      <c r="AK49" s="128">
        <f t="shared" si="14"/>
        <v>-1423336.5782207511</v>
      </c>
      <c r="AL49" s="129">
        <f t="shared" si="10"/>
        <v>-0.11430682396076666</v>
      </c>
      <c r="AM49" s="130">
        <f t="shared" si="11"/>
        <v>-8.5525918796248129E-2</v>
      </c>
    </row>
    <row r="50" spans="1:39" x14ac:dyDescent="0.25">
      <c r="A50" s="391"/>
      <c r="B50" s="79" t="s">
        <v>28</v>
      </c>
      <c r="C50" s="350">
        <f>'Deepwater Complex'!E40</f>
        <v>1.1515141029862157</v>
      </c>
      <c r="E50" s="379"/>
      <c r="F50" s="380"/>
      <c r="G50" s="380"/>
      <c r="H50" s="381"/>
      <c r="K50" s="17"/>
      <c r="U50" s="17"/>
      <c r="V50" s="17"/>
      <c r="W50" s="17"/>
      <c r="X50" s="17"/>
      <c r="AC50" s="118">
        <v>2006</v>
      </c>
      <c r="AD50" s="128">
        <v>6165</v>
      </c>
      <c r="AE50" s="128">
        <v>394</v>
      </c>
      <c r="AF50" s="128">
        <v>12805942.096489679</v>
      </c>
      <c r="AG50" s="94">
        <v>14110123.362943634</v>
      </c>
      <c r="AH50" s="128">
        <v>25903.256344000005</v>
      </c>
      <c r="AI50" s="128">
        <v>2229021.1047326042</v>
      </c>
      <c r="AJ50" s="128">
        <f t="shared" si="13"/>
        <v>15060866.457566284</v>
      </c>
      <c r="AK50" s="128">
        <f t="shared" si="14"/>
        <v>-950743.09462264925</v>
      </c>
      <c r="AL50" s="129">
        <f t="shared" si="10"/>
        <v>-6.312671965463279E-2</v>
      </c>
      <c r="AM50" s="130">
        <f t="shared" si="11"/>
        <v>-5.7128565337958424E-2</v>
      </c>
    </row>
    <row r="51" spans="1:39" ht="15" customHeight="1" x14ac:dyDescent="0.25">
      <c r="A51" s="391"/>
      <c r="B51" s="79" t="s">
        <v>30</v>
      </c>
      <c r="C51" s="350">
        <f>'Deepwater Complex'!F40</f>
        <v>1.3231813698411794</v>
      </c>
      <c r="E51" s="379"/>
      <c r="F51" s="380"/>
      <c r="G51" s="380"/>
      <c r="H51" s="381"/>
      <c r="K51" s="17"/>
      <c r="U51" s="17"/>
      <c r="V51" s="17"/>
      <c r="W51" s="17"/>
      <c r="X51" s="17"/>
      <c r="AC51" s="118">
        <v>2007</v>
      </c>
      <c r="AD51" s="128">
        <v>4688</v>
      </c>
      <c r="AE51" s="128">
        <v>279</v>
      </c>
      <c r="AF51" s="128">
        <v>13164365.470233217</v>
      </c>
      <c r="AG51" s="94">
        <v>13410699.114290779</v>
      </c>
      <c r="AH51" s="128">
        <v>47000.023926599984</v>
      </c>
      <c r="AI51" s="128">
        <v>2294929.9699948612</v>
      </c>
      <c r="AJ51" s="128">
        <f t="shared" si="13"/>
        <v>15506295.464154679</v>
      </c>
      <c r="AK51" s="128">
        <f t="shared" si="14"/>
        <v>-2095596.3498638999</v>
      </c>
      <c r="AL51" s="129">
        <f t="shared" si="10"/>
        <v>-0.13514487420339766</v>
      </c>
      <c r="AM51" s="130">
        <f t="shared" si="11"/>
        <v>-0.12592088617031011</v>
      </c>
    </row>
    <row r="52" spans="1:39" ht="15.75" thickBot="1" x14ac:dyDescent="0.3">
      <c r="A52" s="391"/>
      <c r="B52" s="79" t="s">
        <v>16</v>
      </c>
      <c r="C52" s="350">
        <f>'Deepwater Complex'!B40</f>
        <v>1.1864395740653526</v>
      </c>
      <c r="E52" s="382"/>
      <c r="F52" s="383"/>
      <c r="G52" s="383"/>
      <c r="H52" s="384"/>
      <c r="K52" s="17"/>
      <c r="U52" s="17"/>
      <c r="V52" s="17"/>
      <c r="W52" s="17"/>
      <c r="X52" s="17"/>
      <c r="AC52" s="115">
        <v>2008</v>
      </c>
      <c r="AD52" s="37">
        <v>6324</v>
      </c>
      <c r="AE52" s="37">
        <v>191</v>
      </c>
      <c r="AF52" s="37">
        <v>10417530.512207879</v>
      </c>
      <c r="AG52" s="94">
        <v>10289583.120446386</v>
      </c>
      <c r="AH52" s="37">
        <v>12825.258295399999</v>
      </c>
      <c r="AI52" s="37">
        <v>3383684.0753620686</v>
      </c>
      <c r="AJ52" s="37">
        <f t="shared" si="13"/>
        <v>13814039.845865346</v>
      </c>
      <c r="AK52" s="37">
        <f t="shared" si="14"/>
        <v>-3524456.7254189607</v>
      </c>
      <c r="AL52" s="116">
        <f t="shared" si="10"/>
        <v>-0.25513584474521833</v>
      </c>
      <c r="AM52" s="117">
        <f t="shared" si="11"/>
        <v>-0.21177872072667428</v>
      </c>
    </row>
    <row r="53" spans="1:39" ht="15.75" thickBot="1" x14ac:dyDescent="0.3">
      <c r="A53" s="392"/>
      <c r="B53" s="345" t="s">
        <v>18</v>
      </c>
      <c r="C53" s="351">
        <f>'Deepwater Complex'!C40</f>
        <v>1.1933862353297073</v>
      </c>
      <c r="K53" s="17"/>
      <c r="U53" s="17"/>
      <c r="V53" s="17"/>
      <c r="W53" s="17"/>
      <c r="X53" s="17"/>
      <c r="AC53" s="118">
        <v>2009</v>
      </c>
      <c r="AD53" s="37">
        <v>4337</v>
      </c>
      <c r="AE53" s="37">
        <v>187</v>
      </c>
      <c r="AF53" s="37">
        <v>13251087.977728931</v>
      </c>
      <c r="AG53" s="94">
        <v>14963657.229118079</v>
      </c>
      <c r="AH53" s="37">
        <v>24138.059579200006</v>
      </c>
      <c r="AI53" s="37">
        <v>2428494.4395272187</v>
      </c>
      <c r="AJ53" s="37">
        <f t="shared" si="13"/>
        <v>15703720.47683535</v>
      </c>
      <c r="AK53" s="37">
        <f t="shared" si="14"/>
        <v>-740063.24771727063</v>
      </c>
      <c r="AL53" s="116">
        <f t="shared" si="10"/>
        <v>-4.7126618740376991E-2</v>
      </c>
      <c r="AM53" s="117">
        <f t="shared" si="11"/>
        <v>-4.4469165056853006E-2</v>
      </c>
    </row>
    <row r="54" spans="1:39" x14ac:dyDescent="0.25">
      <c r="A54" s="390" t="s">
        <v>340</v>
      </c>
      <c r="B54" s="344" t="s">
        <v>0</v>
      </c>
      <c r="C54" s="349">
        <f>'Jacks Complex'!B39</f>
        <v>1.9296477561216947</v>
      </c>
      <c r="K54" s="17"/>
      <c r="U54" s="17"/>
      <c r="V54" s="17"/>
      <c r="W54" s="17"/>
      <c r="X54" s="17"/>
      <c r="AC54" s="115">
        <v>2010</v>
      </c>
      <c r="AD54" s="37">
        <v>7563</v>
      </c>
      <c r="AE54" s="37">
        <v>1051</v>
      </c>
      <c r="AF54" s="37">
        <v>8543532.0911195651</v>
      </c>
      <c r="AG54" s="94">
        <v>9946496.2625970989</v>
      </c>
      <c r="AH54" s="37">
        <v>19225.5097164</v>
      </c>
      <c r="AI54" s="37">
        <v>1176135.5752463317</v>
      </c>
      <c r="AJ54" s="37">
        <f t="shared" si="13"/>
        <v>9738893.1760822982</v>
      </c>
      <c r="AK54" s="37">
        <f t="shared" si="14"/>
        <v>207603.08651480079</v>
      </c>
      <c r="AL54" s="116">
        <f t="shared" si="10"/>
        <v>2.1316907656883662E-2</v>
      </c>
      <c r="AM54" s="117">
        <f t="shared" si="11"/>
        <v>1.2474522885732767E-2</v>
      </c>
    </row>
    <row r="55" spans="1:39" x14ac:dyDescent="0.25">
      <c r="A55" s="391"/>
      <c r="B55" s="79" t="s">
        <v>3</v>
      </c>
      <c r="C55" s="350">
        <f>'Jacks Complex'!C39</f>
        <v>1.0389653445409976</v>
      </c>
      <c r="U55" s="17"/>
      <c r="V55" s="17"/>
      <c r="W55" s="17"/>
      <c r="X55" s="17"/>
      <c r="AC55" s="115">
        <v>2011</v>
      </c>
      <c r="AD55" s="37">
        <v>7370</v>
      </c>
      <c r="AE55" s="37">
        <v>758</v>
      </c>
      <c r="AF55" s="37">
        <v>10774802.652300335</v>
      </c>
      <c r="AG55" s="94">
        <v>13187704.216142507</v>
      </c>
      <c r="AH55" s="37">
        <v>20127.819427399994</v>
      </c>
      <c r="AI55" s="37">
        <v>1806636.5667879556</v>
      </c>
      <c r="AJ55" s="37">
        <f t="shared" si="13"/>
        <v>12601567.038515693</v>
      </c>
      <c r="AK55" s="37">
        <f t="shared" si="14"/>
        <v>586137.17762681469</v>
      </c>
      <c r="AL55" s="116">
        <f t="shared" si="10"/>
        <v>4.6513038881222692E-2</v>
      </c>
      <c r="AM55" s="117">
        <f t="shared" si="11"/>
        <v>3.5220004476972107E-2</v>
      </c>
    </row>
    <row r="56" spans="1:39" ht="15.75" thickBot="1" x14ac:dyDescent="0.3">
      <c r="A56" s="392"/>
      <c r="B56" s="345" t="s">
        <v>11</v>
      </c>
      <c r="C56" s="351">
        <f>'Jacks Complex'!D39</f>
        <v>1.170602934689543</v>
      </c>
      <c r="U56" s="17"/>
      <c r="V56" s="17"/>
      <c r="W56" s="17"/>
      <c r="X56" s="17"/>
      <c r="AC56" s="115">
        <v>2012</v>
      </c>
      <c r="AD56" s="37">
        <v>6647</v>
      </c>
      <c r="AE56" s="37">
        <v>533</v>
      </c>
      <c r="AF56" s="37">
        <v>9983266.5527640302</v>
      </c>
      <c r="AG56" s="94">
        <v>11319265.507770803</v>
      </c>
      <c r="AH56" s="37">
        <v>20436.884505999999</v>
      </c>
      <c r="AI56" s="37">
        <v>2811595.5019380725</v>
      </c>
      <c r="AJ56" s="37">
        <f t="shared" si="13"/>
        <v>12815298.939208103</v>
      </c>
      <c r="AK56" s="37">
        <f t="shared" si="14"/>
        <v>-1496033.4314373005</v>
      </c>
      <c r="AL56" s="116">
        <f t="shared" si="10"/>
        <v>-0.11673808301577904</v>
      </c>
      <c r="AM56" s="117">
        <f t="shared" si="11"/>
        <v>-8.989415134227989E-2</v>
      </c>
    </row>
    <row r="57" spans="1:39" x14ac:dyDescent="0.25">
      <c r="A57" s="390" t="s">
        <v>341</v>
      </c>
      <c r="B57" s="344" t="s">
        <v>4</v>
      </c>
      <c r="C57" s="349">
        <f>'Snappers Complex'!D39</f>
        <v>1.0151780957786047</v>
      </c>
      <c r="U57" s="17"/>
      <c r="V57" s="17"/>
      <c r="W57" s="17"/>
      <c r="X57" s="17"/>
      <c r="AC57" s="115">
        <v>2013</v>
      </c>
      <c r="AD57" s="37">
        <v>2606</v>
      </c>
      <c r="AE57" s="37">
        <v>264</v>
      </c>
      <c r="AF57" s="37">
        <v>8483561.8293273281</v>
      </c>
      <c r="AG57" s="94">
        <v>8714853.7719850689</v>
      </c>
      <c r="AH57" s="37">
        <v>21159.126898200004</v>
      </c>
      <c r="AI57" s="37">
        <v>4480887.2887782594</v>
      </c>
      <c r="AJ57" s="37">
        <f t="shared" si="13"/>
        <v>12985608.245003786</v>
      </c>
      <c r="AK57" s="37">
        <f t="shared" si="14"/>
        <v>-4270754.473018717</v>
      </c>
      <c r="AL57" s="116">
        <f t="shared" si="10"/>
        <v>-0.32888366816871212</v>
      </c>
      <c r="AM57" s="117">
        <f t="shared" si="11"/>
        <v>-0.25662250647328094</v>
      </c>
    </row>
    <row r="58" spans="1:39" x14ac:dyDescent="0.25">
      <c r="A58" s="391"/>
      <c r="B58" s="79" t="s">
        <v>6</v>
      </c>
      <c r="C58" s="350">
        <f>'Snappers Complex'!B39</f>
        <v>1.1694852988936948</v>
      </c>
      <c r="K58" s="17"/>
      <c r="W58" s="17"/>
      <c r="X58" s="17"/>
      <c r="Y58" s="17"/>
      <c r="Z58" s="17"/>
      <c r="AC58" s="115">
        <v>2014</v>
      </c>
      <c r="AD58" s="37">
        <v>6086</v>
      </c>
      <c r="AE58" s="37">
        <v>296</v>
      </c>
      <c r="AF58" s="37">
        <v>11925333.733662056</v>
      </c>
      <c r="AG58" s="94">
        <v>13879977.97879179</v>
      </c>
      <c r="AH58" s="37">
        <v>27800.9517734</v>
      </c>
      <c r="AI58" s="37">
        <v>2756143.9422181058</v>
      </c>
      <c r="AJ58" s="37">
        <f t="shared" si="13"/>
        <v>14709278.627653562</v>
      </c>
      <c r="AK58" s="37">
        <f t="shared" si="14"/>
        <v>-829300.64886177145</v>
      </c>
      <c r="AL58" s="116">
        <f t="shared" si="10"/>
        <v>-5.6379423481902072E-2</v>
      </c>
      <c r="AM58" s="117">
        <f>AK58/$AJ$62</f>
        <v>-4.983129151426012E-2</v>
      </c>
    </row>
    <row r="59" spans="1:39" ht="15.75" thickBot="1" x14ac:dyDescent="0.3">
      <c r="A59" s="392"/>
      <c r="B59" s="345" t="s">
        <v>10</v>
      </c>
      <c r="C59" s="351">
        <f>'Snappers Complex'!C39</f>
        <v>1.3218599099643937</v>
      </c>
      <c r="K59" s="17"/>
      <c r="W59" s="17"/>
      <c r="X59" s="17"/>
      <c r="Y59" s="17"/>
      <c r="Z59" s="17"/>
      <c r="AC59" s="125">
        <v>2015</v>
      </c>
      <c r="AD59" s="107">
        <v>9362</v>
      </c>
      <c r="AE59" s="107">
        <v>573</v>
      </c>
      <c r="AF59" s="107">
        <v>14821759.940361556</v>
      </c>
      <c r="AG59" s="107">
        <v>20344050.870058242</v>
      </c>
      <c r="AH59" s="107">
        <v>28018.380448400007</v>
      </c>
      <c r="AI59" s="107">
        <v>5902238.486577821</v>
      </c>
      <c r="AJ59" s="107">
        <f t="shared" si="13"/>
        <v>20752016.807387777</v>
      </c>
      <c r="AK59" s="107">
        <f t="shared" si="14"/>
        <v>-407965.93732953444</v>
      </c>
      <c r="AL59" s="126">
        <f t="shared" si="10"/>
        <v>-1.9659098251322608E-2</v>
      </c>
      <c r="AM59" s="127">
        <f>AK59/$AJ$62</f>
        <v>-2.4513992095458903E-2</v>
      </c>
    </row>
    <row r="60" spans="1:39" x14ac:dyDescent="0.25">
      <c r="A60" s="390" t="s">
        <v>342</v>
      </c>
      <c r="B60" s="344" t="s">
        <v>23</v>
      </c>
      <c r="C60" s="349">
        <f>'Grunts Complex'!E39</f>
        <v>1.2612685351800519</v>
      </c>
      <c r="K60" s="19"/>
      <c r="W60" s="17"/>
      <c r="X60" s="17"/>
      <c r="Y60" s="17"/>
      <c r="Z60" s="17"/>
      <c r="AC60" s="115">
        <v>2016</v>
      </c>
      <c r="AD60" s="37">
        <v>7346</v>
      </c>
      <c r="AE60" s="37">
        <v>502</v>
      </c>
      <c r="AF60" s="37">
        <v>12357807.679792993</v>
      </c>
      <c r="AG60" s="94">
        <v>15020562.223387077</v>
      </c>
      <c r="AH60" s="37">
        <v>36745.972974399992</v>
      </c>
      <c r="AI60" s="37">
        <v>1168145.2310669515</v>
      </c>
      <c r="AJ60" s="37">
        <f t="shared" si="13"/>
        <v>13562698.883834343</v>
      </c>
      <c r="AK60" s="37">
        <f t="shared" si="14"/>
        <v>1457863.339552734</v>
      </c>
      <c r="AL60" s="116">
        <f t="shared" si="10"/>
        <v>0.10749065153178258</v>
      </c>
      <c r="AM60" s="117">
        <f>AK60/$AJ$62</f>
        <v>8.7600574243990467E-2</v>
      </c>
    </row>
    <row r="61" spans="1:39" x14ac:dyDescent="0.25">
      <c r="A61" s="391"/>
      <c r="B61" s="352" t="s">
        <v>343</v>
      </c>
      <c r="C61" s="353">
        <f>'Grunts Complex'!C39</f>
        <v>0.74150859313230055</v>
      </c>
      <c r="K61" s="19"/>
      <c r="W61" s="17"/>
      <c r="X61" s="17"/>
      <c r="Y61" s="17"/>
      <c r="Z61" s="17"/>
      <c r="AC61" s="118">
        <v>2017</v>
      </c>
      <c r="AD61" s="37">
        <v>4695</v>
      </c>
      <c r="AE61" s="37">
        <v>258</v>
      </c>
      <c r="AF61" s="37">
        <v>9457450.4902898464</v>
      </c>
      <c r="AG61" s="94">
        <v>10757738.451992178</v>
      </c>
      <c r="AH61" s="37">
        <v>15329.615552799998</v>
      </c>
      <c r="AI61" s="37">
        <v>1244921.2726287125</v>
      </c>
      <c r="AJ61" s="37">
        <f t="shared" si="13"/>
        <v>10717701.37847136</v>
      </c>
      <c r="AK61" s="37">
        <f t="shared" si="14"/>
        <v>40037.073520818725</v>
      </c>
      <c r="AL61" s="116">
        <f t="shared" si="10"/>
        <v>3.7356026359571066E-3</v>
      </c>
      <c r="AM61" s="117">
        <f>AK61/$AJ$62</f>
        <v>2.4057609079796193E-3</v>
      </c>
    </row>
    <row r="62" spans="1:39" x14ac:dyDescent="0.25">
      <c r="A62" s="391"/>
      <c r="B62" s="79" t="s">
        <v>15</v>
      </c>
      <c r="C62" s="350">
        <f>'Grunts Complex'!D39</f>
        <v>1.2002420122283177</v>
      </c>
      <c r="K62" s="19"/>
      <c r="W62" s="17"/>
      <c r="X62" s="17"/>
      <c r="Y62" s="17"/>
      <c r="Z62" s="17"/>
      <c r="AC62" s="119" t="s">
        <v>104</v>
      </c>
      <c r="AD62" s="123"/>
      <c r="AE62" s="123"/>
      <c r="AF62" s="123"/>
      <c r="AG62" s="124"/>
      <c r="AH62" s="123"/>
      <c r="AI62" s="123"/>
      <c r="AJ62" s="121">
        <f>AVERAGE(AJ30:AJ61)</f>
        <v>16642166.471331617</v>
      </c>
      <c r="AK62" s="120"/>
      <c r="AL62" s="120"/>
      <c r="AM62" s="122"/>
    </row>
    <row r="63" spans="1:39" ht="15.75" thickBot="1" x14ac:dyDescent="0.3">
      <c r="A63" s="392"/>
      <c r="B63" s="345" t="s">
        <v>19</v>
      </c>
      <c r="C63" s="351">
        <f>'Grunts Complex'!B39</f>
        <v>1.0623901945179768</v>
      </c>
      <c r="K63" s="19"/>
      <c r="W63" s="17"/>
      <c r="X63" s="17"/>
      <c r="Y63" s="17"/>
      <c r="Z63" s="17"/>
    </row>
    <row r="64" spans="1:39" x14ac:dyDescent="0.25">
      <c r="A64" s="390" t="s">
        <v>344</v>
      </c>
      <c r="B64" s="344" t="s">
        <v>24</v>
      </c>
      <c r="C64" s="349">
        <f>'Shallow-Water Complex'!F39</f>
        <v>1.6365688575916573</v>
      </c>
      <c r="K64" s="19"/>
      <c r="L64" s="17"/>
      <c r="X64" s="17"/>
      <c r="Y64" s="17"/>
      <c r="Z64" s="17"/>
      <c r="AA64" s="17"/>
    </row>
    <row r="65" spans="1:12" x14ac:dyDescent="0.25">
      <c r="A65" s="391"/>
      <c r="B65" s="79" t="s">
        <v>21</v>
      </c>
      <c r="C65" s="350">
        <f>'Shallow-Water Complex'!G39</f>
        <v>1.2993521538425949</v>
      </c>
      <c r="K65" s="19"/>
      <c r="L65" s="17"/>
    </row>
    <row r="66" spans="1:12" x14ac:dyDescent="0.25">
      <c r="A66" s="391"/>
      <c r="B66" s="79" t="s">
        <v>12</v>
      </c>
      <c r="C66" s="350">
        <f>'Shallow-Water Complex'!B39</f>
        <v>1.1091042355754495</v>
      </c>
      <c r="K66" s="19"/>
      <c r="L66" s="17"/>
    </row>
    <row r="67" spans="1:12" x14ac:dyDescent="0.25">
      <c r="A67" s="391"/>
      <c r="B67" s="79" t="s">
        <v>13</v>
      </c>
      <c r="C67" s="350">
        <f>'Shallow-Water Complex'!C39</f>
        <v>1.0473980914549943</v>
      </c>
      <c r="K67" s="19"/>
      <c r="L67" s="17"/>
    </row>
    <row r="68" spans="1:12" x14ac:dyDescent="0.25">
      <c r="A68" s="391"/>
      <c r="B68" s="79" t="s">
        <v>31</v>
      </c>
      <c r="C68" s="350">
        <f>'Shallow-Water Complex'!E39</f>
        <v>0.97727399907838164</v>
      </c>
      <c r="K68" s="19"/>
      <c r="L68" s="17"/>
    </row>
    <row r="69" spans="1:12" ht="15.75" thickBot="1" x14ac:dyDescent="0.3">
      <c r="A69" s="392"/>
      <c r="B69" s="354" t="s">
        <v>27</v>
      </c>
      <c r="C69" s="355">
        <f>'Shallow-Water Complex'!D39</f>
        <v>0.83190887741566744</v>
      </c>
      <c r="K69" s="19"/>
      <c r="L69" s="17"/>
    </row>
    <row r="70" spans="1:12" x14ac:dyDescent="0.25">
      <c r="A70" s="390" t="s">
        <v>345</v>
      </c>
      <c r="B70" s="344" t="s">
        <v>8</v>
      </c>
      <c r="C70" s="349">
        <f>'Porgy Complex'!B40</f>
        <v>1.0757718962046268</v>
      </c>
      <c r="K70" s="19"/>
      <c r="L70" s="17"/>
    </row>
    <row r="71" spans="1:12" x14ac:dyDescent="0.25">
      <c r="A71" s="391"/>
      <c r="B71" s="79" t="s">
        <v>9</v>
      </c>
      <c r="C71" s="350">
        <f>'Porgy Complex'!C40</f>
        <v>1.165185375594332</v>
      </c>
      <c r="K71" s="19"/>
      <c r="L71" s="17"/>
    </row>
    <row r="72" spans="1:12" x14ac:dyDescent="0.25">
      <c r="A72" s="391"/>
      <c r="B72" s="79" t="s">
        <v>22</v>
      </c>
      <c r="C72" s="350">
        <f>'Porgy Complex'!D40</f>
        <v>0.9640527804186847</v>
      </c>
      <c r="K72" s="19"/>
      <c r="L72" s="17"/>
    </row>
    <row r="73" spans="1:12" x14ac:dyDescent="0.25">
      <c r="A73" s="391"/>
      <c r="B73" s="79" t="s">
        <v>29</v>
      </c>
      <c r="C73" s="350">
        <f>'Porgy Complex'!E40</f>
        <v>0.98680758590599604</v>
      </c>
      <c r="K73" s="19"/>
      <c r="L73" s="17"/>
    </row>
    <row r="74" spans="1:12" ht="15.75" thickBot="1" x14ac:dyDescent="0.3">
      <c r="A74" s="392"/>
      <c r="B74" s="345" t="s">
        <v>17</v>
      </c>
      <c r="C74" s="351">
        <f>'Porgy Complex'!F40</f>
        <v>1.3052320872153269</v>
      </c>
      <c r="K74" s="19"/>
      <c r="L74" s="17"/>
    </row>
    <row r="75" spans="1:12" x14ac:dyDescent="0.25">
      <c r="K75" s="19"/>
      <c r="L75" s="17"/>
    </row>
    <row r="76" spans="1:12" x14ac:dyDescent="0.25">
      <c r="K76" s="19"/>
      <c r="L76" s="17"/>
    </row>
    <row r="77" spans="1:12" x14ac:dyDescent="0.25">
      <c r="K77" s="19"/>
      <c r="L77" s="17"/>
    </row>
    <row r="78" spans="1:12" x14ac:dyDescent="0.25">
      <c r="K78" s="19"/>
      <c r="L78" s="17"/>
    </row>
    <row r="79" spans="1:12" x14ac:dyDescent="0.25">
      <c r="K79" s="19"/>
      <c r="L79" s="17"/>
    </row>
    <row r="80" spans="1:12" x14ac:dyDescent="0.25">
      <c r="K80" s="19"/>
      <c r="L80" s="17"/>
    </row>
    <row r="81" spans="11:12" x14ac:dyDescent="0.25">
      <c r="K81" s="19"/>
      <c r="L81" s="17"/>
    </row>
    <row r="82" spans="11:12" x14ac:dyDescent="0.25">
      <c r="K82" s="19"/>
      <c r="L82" s="17"/>
    </row>
    <row r="83" spans="11:12" x14ac:dyDescent="0.25">
      <c r="K83" s="19"/>
      <c r="L83" s="17"/>
    </row>
    <row r="84" spans="11:12" x14ac:dyDescent="0.25">
      <c r="K84" s="19"/>
      <c r="L84" s="17"/>
    </row>
    <row r="85" spans="11:12" x14ac:dyDescent="0.25">
      <c r="K85" s="19"/>
      <c r="L85" s="17"/>
    </row>
  </sheetData>
  <mergeCells count="23">
    <mergeCell ref="A57:A59"/>
    <mergeCell ref="A60:A63"/>
    <mergeCell ref="A64:A69"/>
    <mergeCell ref="A70:A74"/>
    <mergeCell ref="AC28:AL28"/>
    <mergeCell ref="A39:A40"/>
    <mergeCell ref="B39:B40"/>
    <mergeCell ref="A48:A53"/>
    <mergeCell ref="E39:H39"/>
    <mergeCell ref="E40:F40"/>
    <mergeCell ref="G40:H40"/>
    <mergeCell ref="E41:F41"/>
    <mergeCell ref="E42:F42"/>
    <mergeCell ref="E43:F43"/>
    <mergeCell ref="E44:F44"/>
    <mergeCell ref="E45:F45"/>
    <mergeCell ref="E48:H52"/>
    <mergeCell ref="J39:K39"/>
    <mergeCell ref="A42:A47"/>
    <mergeCell ref="C39:C40"/>
    <mergeCell ref="A54:A56"/>
    <mergeCell ref="E46:F46"/>
    <mergeCell ref="E47:F47"/>
  </mergeCell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R62"/>
  <sheetViews>
    <sheetView topLeftCell="J1" workbookViewId="0">
      <selection activeCell="BG36" sqref="BG36"/>
    </sheetView>
  </sheetViews>
  <sheetFormatPr defaultRowHeight="15" x14ac:dyDescent="0.25"/>
  <cols>
    <col min="1" max="1" width="9.140625" style="17"/>
    <col min="2" max="2" width="8.85546875" style="17"/>
    <col min="3" max="3" width="12.7109375" style="17" customWidth="1"/>
    <col min="4" max="4" width="13.140625" style="17" customWidth="1"/>
    <col min="5" max="5" width="13.28515625" style="17" bestFit="1" customWidth="1"/>
    <col min="6" max="6" width="13.5703125" style="17" customWidth="1"/>
    <col min="7" max="7" width="11.5703125" style="17" bestFit="1" customWidth="1"/>
    <col min="8" max="8" width="13.140625" style="17" customWidth="1"/>
    <col min="9" max="9" width="10.5703125" style="17" customWidth="1"/>
    <col min="10" max="10" width="12.28515625" style="17" bestFit="1" customWidth="1"/>
    <col min="11" max="11" width="12.42578125" style="17" bestFit="1" customWidth="1"/>
    <col min="31" max="31" width="9.7109375" bestFit="1" customWidth="1"/>
    <col min="34" max="34" width="10" style="17" bestFit="1" customWidth="1"/>
    <col min="36" max="36" width="9.5703125" bestFit="1" customWidth="1"/>
    <col min="37" max="37" width="10.140625" bestFit="1" customWidth="1"/>
    <col min="38" max="38" width="9.5703125" bestFit="1" customWidth="1"/>
    <col min="42" max="42" width="13.7109375" bestFit="1" customWidth="1"/>
    <col min="43" max="44" width="12" bestFit="1" customWidth="1"/>
  </cols>
  <sheetData>
    <row r="1" spans="1:44" x14ac:dyDescent="0.25">
      <c r="D1" s="17" t="s">
        <v>43</v>
      </c>
      <c r="K1" s="64" t="s">
        <v>93</v>
      </c>
      <c r="AO1" s="362" t="s">
        <v>20</v>
      </c>
      <c r="AP1" s="362" t="s">
        <v>368</v>
      </c>
      <c r="AQ1" s="362" t="s">
        <v>370</v>
      </c>
      <c r="AR1" s="362" t="s">
        <v>369</v>
      </c>
    </row>
    <row r="2" spans="1:44" x14ac:dyDescent="0.25">
      <c r="J2" s="63"/>
      <c r="AO2" s="362">
        <v>1981</v>
      </c>
      <c r="AP2" s="362">
        <v>1.1551199240590564</v>
      </c>
      <c r="AQ2" s="362">
        <v>0.72618010938139566</v>
      </c>
      <c r="AR2" s="362">
        <v>0.11678631116638778</v>
      </c>
    </row>
    <row r="3" spans="1:44" x14ac:dyDescent="0.25">
      <c r="A3" s="408" t="s">
        <v>362</v>
      </c>
      <c r="B3" s="408"/>
      <c r="C3" s="141" t="s">
        <v>361</v>
      </c>
      <c r="D3" s="18" t="s">
        <v>20</v>
      </c>
      <c r="E3" s="47" t="s">
        <v>316</v>
      </c>
      <c r="F3" s="10" t="s">
        <v>322</v>
      </c>
      <c r="G3" s="9" t="s">
        <v>1</v>
      </c>
      <c r="H3" s="8" t="s">
        <v>305</v>
      </c>
      <c r="I3" s="34" t="s">
        <v>306</v>
      </c>
      <c r="J3" s="65" t="s">
        <v>317</v>
      </c>
      <c r="K3" s="68" t="s">
        <v>309</v>
      </c>
      <c r="AO3" s="362">
        <v>1982</v>
      </c>
      <c r="AP3" s="362">
        <v>0.79167199930295118</v>
      </c>
      <c r="AQ3" s="362">
        <v>0.15191325241389658</v>
      </c>
      <c r="AR3" s="362">
        <v>3.5543471269700373E-2</v>
      </c>
    </row>
    <row r="4" spans="1:44" x14ac:dyDescent="0.25">
      <c r="C4" s="141"/>
      <c r="D4" s="18">
        <v>1986</v>
      </c>
      <c r="E4" s="41">
        <f t="shared" ref="E4:E35" si="0">F4+G4</f>
        <v>2917526.414933701</v>
      </c>
      <c r="F4" s="22">
        <v>2890813.414933701</v>
      </c>
      <c r="G4" s="21">
        <v>26713</v>
      </c>
      <c r="H4" s="20">
        <f t="shared" ref="H4:H35" si="1">G4+I4</f>
        <v>3170004.7874319092</v>
      </c>
      <c r="I4" s="35">
        <v>3143291.7874319092</v>
      </c>
      <c r="J4" s="66"/>
      <c r="K4" s="69"/>
      <c r="AO4" s="362">
        <v>1983</v>
      </c>
      <c r="AP4" s="362">
        <v>1.7615158047026425</v>
      </c>
      <c r="AQ4" s="362">
        <v>1.2168107803867063</v>
      </c>
      <c r="AR4" s="362">
        <v>0.23796848028203188</v>
      </c>
    </row>
    <row r="5" spans="1:44" x14ac:dyDescent="0.25">
      <c r="C5" s="141"/>
      <c r="D5" s="18">
        <v>1987</v>
      </c>
      <c r="E5" s="41">
        <f t="shared" si="0"/>
        <v>2262168.4654296702</v>
      </c>
      <c r="F5" s="22">
        <v>2210418.4654296702</v>
      </c>
      <c r="G5" s="21">
        <v>51750</v>
      </c>
      <c r="H5" s="20">
        <f t="shared" si="1"/>
        <v>2323680.0903636711</v>
      </c>
      <c r="I5" s="35">
        <v>2271930.0903636711</v>
      </c>
      <c r="J5" s="66"/>
      <c r="K5" s="70"/>
      <c r="AO5" s="362">
        <v>1984</v>
      </c>
      <c r="AP5" s="362">
        <v>0.47459014991718357</v>
      </c>
      <c r="AQ5" s="362">
        <v>0.21243196065176934</v>
      </c>
      <c r="AR5" s="362">
        <v>4.1567060810519821E-2</v>
      </c>
    </row>
    <row r="6" spans="1:44" x14ac:dyDescent="0.25">
      <c r="C6" s="141"/>
      <c r="D6" s="18">
        <v>1988</v>
      </c>
      <c r="E6" s="41">
        <f t="shared" si="0"/>
        <v>1246790.6537249899</v>
      </c>
      <c r="F6" s="22">
        <v>1193626.6537249899</v>
      </c>
      <c r="G6" s="21">
        <v>53164</v>
      </c>
      <c r="H6" s="20">
        <f t="shared" si="1"/>
        <v>1425797.6860989905</v>
      </c>
      <c r="I6" s="35">
        <v>1372633.6860989905</v>
      </c>
      <c r="J6" s="66"/>
      <c r="K6" s="71"/>
      <c r="AO6" s="362">
        <v>1985</v>
      </c>
      <c r="AP6" s="362">
        <v>0.53947255726885346</v>
      </c>
      <c r="AQ6" s="362">
        <v>0.37842721188815687</v>
      </c>
      <c r="AR6" s="362">
        <v>7.1677180700819701E-2</v>
      </c>
    </row>
    <row r="7" spans="1:44" x14ac:dyDescent="0.25">
      <c r="C7" s="141"/>
      <c r="D7" s="18">
        <v>1989</v>
      </c>
      <c r="E7" s="41">
        <f t="shared" si="0"/>
        <v>811727.91482479987</v>
      </c>
      <c r="F7" s="22">
        <v>772699.91482479987</v>
      </c>
      <c r="G7" s="21">
        <v>39028</v>
      </c>
      <c r="H7" s="20">
        <f t="shared" si="1"/>
        <v>817261.03201919969</v>
      </c>
      <c r="I7" s="35">
        <v>778233.03201919969</v>
      </c>
      <c r="J7" s="66"/>
      <c r="K7" s="71"/>
      <c r="AO7" s="362">
        <v>1986</v>
      </c>
      <c r="AP7" s="362">
        <v>1.2704188353294692</v>
      </c>
      <c r="AQ7" s="362">
        <v>0.66847305808129054</v>
      </c>
      <c r="AR7" s="362">
        <v>9.9749774126076052E-2</v>
      </c>
    </row>
    <row r="8" spans="1:44" x14ac:dyDescent="0.25">
      <c r="C8" s="141"/>
      <c r="D8" s="18">
        <v>1990</v>
      </c>
      <c r="E8" s="41">
        <f t="shared" si="0"/>
        <v>689688.26021339989</v>
      </c>
      <c r="F8" s="22">
        <v>635859.26021339989</v>
      </c>
      <c r="G8" s="21">
        <v>53829</v>
      </c>
      <c r="H8" s="20">
        <f t="shared" si="1"/>
        <v>771464.84541079984</v>
      </c>
      <c r="I8" s="35">
        <v>717635.84541079984</v>
      </c>
      <c r="J8" s="66"/>
      <c r="K8" s="71"/>
      <c r="AO8" s="362">
        <v>1987</v>
      </c>
      <c r="AP8" s="362">
        <v>1.4455018358841465</v>
      </c>
      <c r="AQ8" s="362">
        <v>0.57310197817570441</v>
      </c>
      <c r="AR8" s="362">
        <v>8.152061170203756E-2</v>
      </c>
    </row>
    <row r="9" spans="1:44" x14ac:dyDescent="0.25">
      <c r="C9" s="141"/>
      <c r="D9" s="18">
        <v>1991</v>
      </c>
      <c r="E9" s="41">
        <f t="shared" si="0"/>
        <v>2213856.9742541499</v>
      </c>
      <c r="F9" s="22">
        <v>2152730.9742541499</v>
      </c>
      <c r="G9" s="21">
        <v>61126</v>
      </c>
      <c r="H9" s="20">
        <f t="shared" si="1"/>
        <v>2507930.7192032491</v>
      </c>
      <c r="I9" s="35">
        <v>2446804.7192032491</v>
      </c>
      <c r="J9" s="66"/>
      <c r="K9" s="71"/>
      <c r="AO9" s="362">
        <v>1988</v>
      </c>
      <c r="AP9" s="362">
        <v>1.3062281061061893</v>
      </c>
      <c r="AQ9" s="362">
        <v>0.42492787604893639</v>
      </c>
      <c r="AR9" s="362">
        <v>7.1547049088750911E-2</v>
      </c>
    </row>
    <row r="10" spans="1:44" x14ac:dyDescent="0.25">
      <c r="C10" s="141"/>
      <c r="D10" s="18">
        <v>1992</v>
      </c>
      <c r="E10" s="41">
        <f t="shared" si="0"/>
        <v>1415108.7480908902</v>
      </c>
      <c r="F10" s="22">
        <v>1348369.7480908902</v>
      </c>
      <c r="G10" s="21">
        <v>66739</v>
      </c>
      <c r="H10" s="20">
        <f t="shared" si="1"/>
        <v>2014584.7924843796</v>
      </c>
      <c r="I10" s="35">
        <v>1947845.7924843796</v>
      </c>
      <c r="J10" s="66"/>
      <c r="K10" s="71"/>
      <c r="AO10" s="362">
        <v>1989</v>
      </c>
      <c r="AP10" s="362">
        <v>0.48802532026317647</v>
      </c>
      <c r="AQ10" s="362">
        <v>0.11297395241555411</v>
      </c>
      <c r="AR10" s="362">
        <v>1.6284695531945483E-2</v>
      </c>
    </row>
    <row r="11" spans="1:44" x14ac:dyDescent="0.25">
      <c r="C11" s="141"/>
      <c r="D11" s="18">
        <v>1993</v>
      </c>
      <c r="E11" s="41">
        <f t="shared" si="0"/>
        <v>1262266.8727517999</v>
      </c>
      <c r="F11" s="22">
        <v>1190306.8727517999</v>
      </c>
      <c r="G11" s="21">
        <v>71960</v>
      </c>
      <c r="H11" s="20">
        <f t="shared" si="1"/>
        <v>1702879.4326952205</v>
      </c>
      <c r="I11" s="35">
        <v>1630919.4326952205</v>
      </c>
      <c r="J11" s="66"/>
      <c r="K11" s="71"/>
      <c r="AO11" s="362">
        <v>1990</v>
      </c>
      <c r="AP11" s="362">
        <v>0.32213080545900463</v>
      </c>
      <c r="AQ11" s="362">
        <v>0.11877942786223504</v>
      </c>
      <c r="AR11" s="362">
        <v>1.8970425383446708E-2</v>
      </c>
    </row>
    <row r="12" spans="1:44" x14ac:dyDescent="0.25">
      <c r="B12" s="141">
        <f>_xlfn.RANK.AVG(E12,$E$12:$E$21)</f>
        <v>10</v>
      </c>
      <c r="C12" s="141">
        <f>_xlfn.RANK.AVG(H12,$H$12:$H$21)</f>
        <v>10</v>
      </c>
      <c r="D12" s="18">
        <v>1994</v>
      </c>
      <c r="E12" s="41">
        <f t="shared" si="0"/>
        <v>926459.17671919998</v>
      </c>
      <c r="F12" s="22">
        <v>841493.17671919998</v>
      </c>
      <c r="G12" s="21">
        <v>84966</v>
      </c>
      <c r="H12" s="20">
        <f t="shared" si="1"/>
        <v>1051006.2257197099</v>
      </c>
      <c r="I12" s="35">
        <v>966040.22571970976</v>
      </c>
      <c r="J12" s="66"/>
      <c r="K12" s="71"/>
      <c r="L12">
        <v>1994</v>
      </c>
      <c r="AO12" s="362">
        <v>1991</v>
      </c>
      <c r="AP12" s="362">
        <v>1.0397935944242527</v>
      </c>
      <c r="AQ12" s="362">
        <v>0.70323813787871803</v>
      </c>
      <c r="AR12" s="362">
        <v>0.13899440916230288</v>
      </c>
    </row>
    <row r="13" spans="1:44" x14ac:dyDescent="0.25">
      <c r="B13" s="141">
        <f t="shared" ref="B13:B21" si="2">_xlfn.RANK.AVG(E13,$E$12:$E$21)</f>
        <v>6</v>
      </c>
      <c r="C13" s="141">
        <f t="shared" ref="C13:C21" si="3">_xlfn.RANK.AVG(H13,$H$12:$H$21)</f>
        <v>6</v>
      </c>
      <c r="D13" s="18">
        <v>1995</v>
      </c>
      <c r="E13" s="41">
        <f t="shared" si="0"/>
        <v>1771884.6354011006</v>
      </c>
      <c r="F13" s="22">
        <v>1664387.6354011006</v>
      </c>
      <c r="G13" s="21">
        <v>107497</v>
      </c>
      <c r="H13" s="20">
        <f t="shared" si="1"/>
        <v>1859296.1858809001</v>
      </c>
      <c r="I13" s="35">
        <v>1751799.1858809001</v>
      </c>
      <c r="J13" s="66"/>
      <c r="K13" s="71"/>
      <c r="L13">
        <v>1995</v>
      </c>
      <c r="AO13" s="362">
        <v>1992</v>
      </c>
      <c r="AP13" s="362">
        <v>1.0393993382210809</v>
      </c>
      <c r="AQ13" s="362">
        <v>0.84229709999932134</v>
      </c>
      <c r="AR13" s="362">
        <v>0.17632784960076628</v>
      </c>
    </row>
    <row r="14" spans="1:44" x14ac:dyDescent="0.25">
      <c r="B14" s="141">
        <f t="shared" si="2"/>
        <v>7</v>
      </c>
      <c r="C14" s="141">
        <f t="shared" si="3"/>
        <v>7</v>
      </c>
      <c r="D14" s="18">
        <v>1996</v>
      </c>
      <c r="E14" s="41">
        <f t="shared" si="0"/>
        <v>1621488.8369359504</v>
      </c>
      <c r="F14" s="22">
        <v>1538037.8369359504</v>
      </c>
      <c r="G14" s="21">
        <v>83451</v>
      </c>
      <c r="H14" s="20">
        <f t="shared" si="1"/>
        <v>1527291.0208316501</v>
      </c>
      <c r="I14" s="35">
        <v>1443840.0208316501</v>
      </c>
      <c r="J14" s="66"/>
      <c r="K14" s="71"/>
      <c r="L14">
        <v>1996</v>
      </c>
      <c r="AO14" s="362">
        <v>1993</v>
      </c>
      <c r="AP14" s="362">
        <v>0.90147792723785991</v>
      </c>
      <c r="AQ14" s="362">
        <v>0.70889809482340405</v>
      </c>
      <c r="AR14" s="362">
        <v>0.14782585204040652</v>
      </c>
    </row>
    <row r="15" spans="1:44" x14ac:dyDescent="0.25">
      <c r="B15" s="141">
        <f t="shared" si="2"/>
        <v>9</v>
      </c>
      <c r="C15" s="141">
        <f t="shared" si="3"/>
        <v>9</v>
      </c>
      <c r="D15" s="18">
        <v>1997</v>
      </c>
      <c r="E15" s="41">
        <f t="shared" si="0"/>
        <v>1212219.3172153796</v>
      </c>
      <c r="F15" s="22">
        <v>1119084.3172153796</v>
      </c>
      <c r="G15" s="21">
        <v>93135</v>
      </c>
      <c r="H15" s="20">
        <f t="shared" si="1"/>
        <v>1456614.4476146987</v>
      </c>
      <c r="I15" s="35">
        <v>1363479.4476146987</v>
      </c>
      <c r="J15" s="66"/>
      <c r="K15" s="71"/>
      <c r="L15">
        <v>1997</v>
      </c>
      <c r="AO15" s="362">
        <v>1994</v>
      </c>
      <c r="AP15" s="362">
        <v>0.48018078035140715</v>
      </c>
      <c r="AQ15" s="362">
        <v>0.59654371757902225</v>
      </c>
      <c r="AR15" s="362">
        <v>0.12382420644984579</v>
      </c>
    </row>
    <row r="16" spans="1:44" x14ac:dyDescent="0.25">
      <c r="B16" s="141">
        <f t="shared" si="2"/>
        <v>8</v>
      </c>
      <c r="C16" s="141">
        <f t="shared" si="3"/>
        <v>8</v>
      </c>
      <c r="D16" s="18">
        <v>1998</v>
      </c>
      <c r="E16" s="41">
        <f t="shared" si="0"/>
        <v>1425193.5631423101</v>
      </c>
      <c r="F16" s="22">
        <v>1347229.5631423101</v>
      </c>
      <c r="G16" s="21">
        <v>77964</v>
      </c>
      <c r="H16" s="20">
        <f t="shared" si="1"/>
        <v>1516570.9519685498</v>
      </c>
      <c r="I16" s="35">
        <v>1438606.9519685498</v>
      </c>
      <c r="J16" s="66"/>
      <c r="K16" s="71"/>
      <c r="L16">
        <v>1998</v>
      </c>
      <c r="AO16" s="362">
        <v>1995</v>
      </c>
      <c r="AP16" s="362">
        <v>1.1320425360440871</v>
      </c>
      <c r="AQ16" s="362">
        <v>0.93525650627210055</v>
      </c>
      <c r="AR16" s="362">
        <v>0.18271573482830145</v>
      </c>
    </row>
    <row r="17" spans="1:44" x14ac:dyDescent="0.25">
      <c r="A17" s="141">
        <f>_xlfn.RANK.AVG(E17,$E$17:$E$25)</f>
        <v>5</v>
      </c>
      <c r="B17" s="141">
        <f t="shared" si="2"/>
        <v>3</v>
      </c>
      <c r="C17" s="141">
        <f t="shared" si="3"/>
        <v>3</v>
      </c>
      <c r="D17" s="18">
        <v>1999</v>
      </c>
      <c r="E17" s="41">
        <f t="shared" si="0"/>
        <v>2011878.1029466104</v>
      </c>
      <c r="F17" s="22">
        <v>1912111.1029466104</v>
      </c>
      <c r="G17" s="21">
        <v>99767</v>
      </c>
      <c r="H17" s="20">
        <f t="shared" si="1"/>
        <v>2185680.2554577794</v>
      </c>
      <c r="I17" s="35">
        <v>2085913.2554577794</v>
      </c>
      <c r="J17" s="66"/>
      <c r="K17" s="71"/>
      <c r="L17">
        <v>1999</v>
      </c>
      <c r="AO17" s="362">
        <v>1996</v>
      </c>
      <c r="AP17" s="362">
        <v>1.153890422163115</v>
      </c>
      <c r="AQ17" s="362">
        <v>0.91170642909281618</v>
      </c>
      <c r="AR17" s="362">
        <v>0.18907127345267119</v>
      </c>
    </row>
    <row r="18" spans="1:44" x14ac:dyDescent="0.25">
      <c r="A18" s="141">
        <f t="shared" ref="A18:A25" si="4">_xlfn.RANK.AVG(E18,$E$17:$E$25)</f>
        <v>7</v>
      </c>
      <c r="B18" s="141">
        <f t="shared" si="2"/>
        <v>5</v>
      </c>
      <c r="C18" s="141">
        <f t="shared" si="3"/>
        <v>5</v>
      </c>
      <c r="D18" s="18">
        <v>2000</v>
      </c>
      <c r="E18" s="41">
        <f t="shared" si="0"/>
        <v>1855839.2365002602</v>
      </c>
      <c r="F18" s="22">
        <v>1789952.2365002602</v>
      </c>
      <c r="G18" s="21">
        <v>65887</v>
      </c>
      <c r="H18" s="20">
        <f t="shared" si="1"/>
        <v>1920836.3034087303</v>
      </c>
      <c r="I18" s="35">
        <v>1854949.3034087303</v>
      </c>
      <c r="J18" s="66"/>
      <c r="K18" s="71"/>
      <c r="L18">
        <v>2000</v>
      </c>
      <c r="AO18" s="362">
        <v>1997</v>
      </c>
      <c r="AP18" s="362">
        <v>0.85511710907848981</v>
      </c>
      <c r="AQ18" s="362">
        <v>0.6413833423469103</v>
      </c>
      <c r="AR18" s="362">
        <v>0.13881607455306122</v>
      </c>
    </row>
    <row r="19" spans="1:44" x14ac:dyDescent="0.25">
      <c r="A19" s="141">
        <f t="shared" si="4"/>
        <v>6</v>
      </c>
      <c r="B19" s="141">
        <f t="shared" si="2"/>
        <v>4</v>
      </c>
      <c r="C19" s="141">
        <f t="shared" si="3"/>
        <v>4</v>
      </c>
      <c r="D19" s="18">
        <v>2001</v>
      </c>
      <c r="E19" s="41">
        <f t="shared" si="0"/>
        <v>1866482.8828791506</v>
      </c>
      <c r="F19" s="22">
        <v>1807267.8828791506</v>
      </c>
      <c r="G19" s="21">
        <v>59215</v>
      </c>
      <c r="H19" s="20">
        <f t="shared" si="1"/>
        <v>1937904.0291686002</v>
      </c>
      <c r="I19" s="35">
        <v>1878689.0291686002</v>
      </c>
      <c r="J19" s="66"/>
      <c r="K19" s="71"/>
      <c r="L19">
        <v>2001</v>
      </c>
      <c r="AO19" s="362">
        <v>1998</v>
      </c>
      <c r="AP19" s="362">
        <v>0.98983008285723639</v>
      </c>
      <c r="AQ19" s="362">
        <v>2.3215208819611282</v>
      </c>
      <c r="AR19" s="362">
        <v>0.45081326608826061</v>
      </c>
    </row>
    <row r="20" spans="1:44" x14ac:dyDescent="0.25">
      <c r="A20" s="141">
        <f t="shared" si="4"/>
        <v>3</v>
      </c>
      <c r="B20" s="141">
        <f t="shared" si="2"/>
        <v>1</v>
      </c>
      <c r="C20" s="141">
        <f t="shared" si="3"/>
        <v>1</v>
      </c>
      <c r="D20" s="18">
        <v>2002</v>
      </c>
      <c r="E20" s="41">
        <f t="shared" si="0"/>
        <v>2885303.1330168797</v>
      </c>
      <c r="F20" s="22">
        <v>2826015.1330168797</v>
      </c>
      <c r="G20" s="21">
        <v>59288</v>
      </c>
      <c r="H20" s="20">
        <f t="shared" si="1"/>
        <v>2909574.3205151493</v>
      </c>
      <c r="I20" s="35">
        <v>2850286.3205151493</v>
      </c>
      <c r="J20" s="66"/>
      <c r="K20" s="71"/>
      <c r="L20">
        <v>2002</v>
      </c>
      <c r="AO20" s="362">
        <v>1999</v>
      </c>
      <c r="AP20" s="362">
        <v>1.1851939775556843</v>
      </c>
      <c r="AQ20" s="362">
        <v>3.0359639899333848</v>
      </c>
      <c r="AR20" s="362">
        <v>0.50448121843791349</v>
      </c>
    </row>
    <row r="21" spans="1:44" x14ac:dyDescent="0.25">
      <c r="A21" s="141">
        <f t="shared" si="4"/>
        <v>4</v>
      </c>
      <c r="B21" s="141">
        <f t="shared" si="2"/>
        <v>2</v>
      </c>
      <c r="C21" s="141">
        <f t="shared" si="3"/>
        <v>2</v>
      </c>
      <c r="D21" s="18">
        <v>2003</v>
      </c>
      <c r="E21" s="41">
        <f t="shared" si="0"/>
        <v>2056314.3799314406</v>
      </c>
      <c r="F21" s="22">
        <v>1997482.3799314406</v>
      </c>
      <c r="G21" s="21">
        <v>58832</v>
      </c>
      <c r="H21" s="20">
        <f t="shared" si="1"/>
        <v>2343668.3068354102</v>
      </c>
      <c r="I21" s="35">
        <v>2284836.3068354102</v>
      </c>
      <c r="J21" s="66"/>
      <c r="K21" s="71"/>
      <c r="L21">
        <v>2003</v>
      </c>
      <c r="AO21" s="362">
        <v>2000</v>
      </c>
      <c r="AP21" s="362">
        <v>0.95517959180191281</v>
      </c>
      <c r="AQ21" s="362">
        <v>2.7177018881815815</v>
      </c>
      <c r="AR21" s="362">
        <v>0.41908887125966032</v>
      </c>
    </row>
    <row r="22" spans="1:44" x14ac:dyDescent="0.25">
      <c r="A22" s="141">
        <f t="shared" si="4"/>
        <v>2</v>
      </c>
      <c r="B22" s="141"/>
      <c r="C22" s="141"/>
      <c r="D22" s="18">
        <v>2004</v>
      </c>
      <c r="E22" s="41">
        <f t="shared" si="0"/>
        <v>3180058.12191037</v>
      </c>
      <c r="F22" s="22">
        <v>3114115.12191037</v>
      </c>
      <c r="G22" s="21">
        <v>65943</v>
      </c>
      <c r="H22" s="20">
        <f t="shared" si="1"/>
        <v>2838886.4132012911</v>
      </c>
      <c r="I22" s="35">
        <v>2772943.4132012911</v>
      </c>
      <c r="J22" s="66"/>
      <c r="K22" s="71"/>
      <c r="L22">
        <v>2004</v>
      </c>
      <c r="AO22" s="362">
        <v>2001</v>
      </c>
      <c r="AP22" s="362">
        <v>0.89547978232543135</v>
      </c>
      <c r="AQ22" s="362">
        <v>1.1440464727673236</v>
      </c>
      <c r="AR22" s="362">
        <v>0.19814473460605292</v>
      </c>
    </row>
    <row r="23" spans="1:44" x14ac:dyDescent="0.25">
      <c r="A23" s="141">
        <f t="shared" si="4"/>
        <v>8</v>
      </c>
      <c r="B23" s="141"/>
      <c r="C23" s="141"/>
      <c r="D23" s="18">
        <v>2005</v>
      </c>
      <c r="E23" s="41">
        <f t="shared" si="0"/>
        <v>1722712.9036722297</v>
      </c>
      <c r="F23" s="22">
        <v>1676169.9036722297</v>
      </c>
      <c r="G23" s="21">
        <v>46543</v>
      </c>
      <c r="H23" s="20">
        <f t="shared" si="1"/>
        <v>1498862.4204232795</v>
      </c>
      <c r="I23" s="35">
        <v>1452319.4204232795</v>
      </c>
      <c r="J23" s="66"/>
      <c r="K23" s="71"/>
      <c r="L23">
        <v>2005</v>
      </c>
      <c r="AO23" s="362">
        <v>2002</v>
      </c>
      <c r="AP23" s="362">
        <v>1.3501145262792145</v>
      </c>
      <c r="AQ23" s="362">
        <v>2.849779601411881</v>
      </c>
      <c r="AR23" s="362">
        <v>0.49753103173222818</v>
      </c>
    </row>
    <row r="24" spans="1:44" x14ac:dyDescent="0.25">
      <c r="A24" s="141">
        <f t="shared" si="4"/>
        <v>9</v>
      </c>
      <c r="B24" s="141"/>
      <c r="C24" s="141"/>
      <c r="D24" s="18">
        <v>2006</v>
      </c>
      <c r="E24" s="41">
        <f t="shared" si="0"/>
        <v>1101481.24713195</v>
      </c>
      <c r="F24" s="22">
        <v>1061304.24713195</v>
      </c>
      <c r="G24" s="21">
        <v>40177</v>
      </c>
      <c r="H24" s="20">
        <f t="shared" si="1"/>
        <v>1204411.4472212794</v>
      </c>
      <c r="I24" s="35">
        <v>1164234.4472212794</v>
      </c>
      <c r="J24" s="66"/>
      <c r="K24" s="71"/>
      <c r="L24">
        <v>2006</v>
      </c>
      <c r="AO24" s="362">
        <v>2003</v>
      </c>
      <c r="AP24" s="362">
        <v>1.0899232079026826</v>
      </c>
      <c r="AQ24" s="362">
        <v>2.103760689808003</v>
      </c>
      <c r="AR24" s="362">
        <v>0.36953527913767314</v>
      </c>
    </row>
    <row r="25" spans="1:44" x14ac:dyDescent="0.25">
      <c r="A25" s="141">
        <f t="shared" si="4"/>
        <v>1</v>
      </c>
      <c r="B25" s="141"/>
      <c r="C25" s="141"/>
      <c r="D25" s="18">
        <v>2007</v>
      </c>
      <c r="E25" s="41">
        <f t="shared" si="0"/>
        <v>3746181.7622820162</v>
      </c>
      <c r="F25" s="22">
        <v>3687037.7622820162</v>
      </c>
      <c r="G25" s="21">
        <v>59144</v>
      </c>
      <c r="H25" s="20">
        <f t="shared" si="1"/>
        <v>3766982.2522946955</v>
      </c>
      <c r="I25" s="35">
        <v>3707838.2522946955</v>
      </c>
      <c r="J25" s="66"/>
      <c r="K25" s="71"/>
      <c r="L25">
        <v>2007</v>
      </c>
      <c r="AO25" s="362">
        <v>2004</v>
      </c>
      <c r="AP25" s="362">
        <v>1.2350691199102179</v>
      </c>
      <c r="AQ25" s="362">
        <v>0.76005214407119304</v>
      </c>
      <c r="AR25" s="362">
        <v>0.13571336169188405</v>
      </c>
    </row>
    <row r="26" spans="1:44" x14ac:dyDescent="0.25">
      <c r="B26" s="141">
        <f>_xlfn.RANK.AVG(E26,$E$26:$E$35)</f>
        <v>9</v>
      </c>
      <c r="C26" s="141"/>
      <c r="D26" s="18">
        <v>2008</v>
      </c>
      <c r="E26" s="41">
        <f t="shared" si="0"/>
        <v>1236426.2401378602</v>
      </c>
      <c r="F26" s="22">
        <v>1194215.2401378602</v>
      </c>
      <c r="G26" s="21">
        <v>42211</v>
      </c>
      <c r="H26" s="20">
        <f t="shared" si="1"/>
        <v>1306224.1684707608</v>
      </c>
      <c r="I26" s="35">
        <v>1264013.1684707608</v>
      </c>
      <c r="J26" s="66"/>
      <c r="K26" s="71"/>
      <c r="AO26" s="362">
        <v>2005</v>
      </c>
      <c r="AP26" s="362">
        <v>1.0294368410588604</v>
      </c>
      <c r="AQ26" s="362">
        <v>0.40359022453018767</v>
      </c>
      <c r="AR26" s="362">
        <v>7.7570778617248121E-2</v>
      </c>
    </row>
    <row r="27" spans="1:44" x14ac:dyDescent="0.25">
      <c r="B27" s="141">
        <f t="shared" ref="B27:B35" si="5">_xlfn.RANK.AVG(E27,$E$26:$E$35)</f>
        <v>4</v>
      </c>
      <c r="D27" s="18">
        <v>2009</v>
      </c>
      <c r="E27" s="41">
        <f t="shared" si="0"/>
        <v>2349102.6495041414</v>
      </c>
      <c r="F27" s="22">
        <v>2303485.6495041414</v>
      </c>
      <c r="G27" s="21">
        <v>45617</v>
      </c>
      <c r="H27" s="20">
        <f t="shared" si="1"/>
        <v>2369830.9453073414</v>
      </c>
      <c r="I27" s="35">
        <v>2324213.9453073414</v>
      </c>
      <c r="J27" s="66"/>
      <c r="K27" s="71"/>
      <c r="AO27" s="362">
        <v>2006</v>
      </c>
      <c r="AP27" s="362">
        <v>0.93299059139870155</v>
      </c>
      <c r="AQ27" s="362">
        <v>0.74269027641323948</v>
      </c>
      <c r="AR27" s="362">
        <v>0.14561876625361125</v>
      </c>
    </row>
    <row r="28" spans="1:44" x14ac:dyDescent="0.25">
      <c r="B28" s="141">
        <f t="shared" si="5"/>
        <v>8</v>
      </c>
      <c r="D28" s="18">
        <v>2010</v>
      </c>
      <c r="E28" s="41">
        <f t="shared" si="0"/>
        <v>1295624.52733358</v>
      </c>
      <c r="F28" s="22">
        <v>1251994.52733358</v>
      </c>
      <c r="G28" s="21">
        <v>43630</v>
      </c>
      <c r="H28" s="20">
        <f t="shared" si="1"/>
        <v>1500044.8068743302</v>
      </c>
      <c r="I28" s="35">
        <v>1456414.8068743302</v>
      </c>
      <c r="J28" s="66"/>
      <c r="K28" s="71"/>
      <c r="AB28" s="370" t="s">
        <v>43</v>
      </c>
      <c r="AC28" s="371"/>
      <c r="AD28" s="371"/>
      <c r="AE28" s="371"/>
      <c r="AF28" s="371"/>
      <c r="AG28" s="371"/>
      <c r="AH28" s="371"/>
      <c r="AI28" s="371"/>
      <c r="AJ28" s="371"/>
      <c r="AK28" s="371"/>
      <c r="AL28" s="372"/>
      <c r="AO28" s="362">
        <v>2007</v>
      </c>
      <c r="AP28" s="362">
        <v>2.3416365157358534</v>
      </c>
      <c r="AQ28" s="362">
        <v>1.9411406289182942</v>
      </c>
      <c r="AR28" s="362">
        <v>0.29506971575155494</v>
      </c>
    </row>
    <row r="29" spans="1:44" x14ac:dyDescent="0.25">
      <c r="B29" s="141">
        <f t="shared" si="5"/>
        <v>7</v>
      </c>
      <c r="D29" s="18">
        <v>2011</v>
      </c>
      <c r="E29" s="41">
        <f t="shared" si="0"/>
        <v>1390823.1411243698</v>
      </c>
      <c r="F29" s="22">
        <v>1329856.1411243698</v>
      </c>
      <c r="G29" s="21">
        <v>60967</v>
      </c>
      <c r="H29" s="20">
        <f t="shared" si="1"/>
        <v>1348200.5414636699</v>
      </c>
      <c r="I29" s="35">
        <v>1287233.5414636699</v>
      </c>
      <c r="J29" s="66"/>
      <c r="K29" s="71"/>
      <c r="AB29" s="111" t="s">
        <v>20</v>
      </c>
      <c r="AC29" s="112" t="s">
        <v>94</v>
      </c>
      <c r="AD29" s="112" t="s">
        <v>95</v>
      </c>
      <c r="AE29" s="112" t="s">
        <v>101</v>
      </c>
      <c r="AF29" s="113" t="s">
        <v>50</v>
      </c>
      <c r="AG29" s="112" t="s">
        <v>45</v>
      </c>
      <c r="AH29" s="112" t="s">
        <v>325</v>
      </c>
      <c r="AI29" s="112" t="s">
        <v>98</v>
      </c>
      <c r="AJ29" s="112" t="s">
        <v>97</v>
      </c>
      <c r="AK29" s="112" t="s">
        <v>99</v>
      </c>
      <c r="AL29" s="114" t="s">
        <v>103</v>
      </c>
      <c r="AM29" s="17"/>
      <c r="AO29" s="362">
        <v>2008</v>
      </c>
      <c r="AP29" s="362">
        <v>0.86205859779396099</v>
      </c>
      <c r="AQ29" s="362">
        <v>0.89024935882361533</v>
      </c>
      <c r="AR29" s="362">
        <v>0.15029675871584808</v>
      </c>
    </row>
    <row r="30" spans="1:44" x14ac:dyDescent="0.25">
      <c r="B30" s="141">
        <f t="shared" si="5"/>
        <v>5</v>
      </c>
      <c r="D30" s="18">
        <v>2012</v>
      </c>
      <c r="E30" s="41">
        <f t="shared" si="0"/>
        <v>2118283.1577607081</v>
      </c>
      <c r="F30" s="22">
        <v>2051665.1577607081</v>
      </c>
      <c r="G30" s="21">
        <v>66618</v>
      </c>
      <c r="H30" s="20">
        <f t="shared" si="1"/>
        <v>2133261.8790593077</v>
      </c>
      <c r="I30" s="35">
        <v>2066643.8790593077</v>
      </c>
      <c r="J30" s="67">
        <f>VLOOKUP(3,$B$12:$E$21,4,FALSE)</f>
        <v>2011878.1029466104</v>
      </c>
      <c r="K30" s="72">
        <f>VLOOKUP(3,$C$12:$H$21,6,FALSE)</f>
        <v>2185680.2554577794</v>
      </c>
      <c r="L30" s="19"/>
      <c r="AB30" s="115">
        <v>1986</v>
      </c>
      <c r="AC30" s="37">
        <v>55</v>
      </c>
      <c r="AD30" s="37">
        <v>11</v>
      </c>
      <c r="AE30" s="37">
        <v>1345388.2318533494</v>
      </c>
      <c r="AF30" s="94">
        <v>2502212.7410841002</v>
      </c>
      <c r="AG30" s="37">
        <v>900535.27916120004</v>
      </c>
      <c r="AH30" s="37">
        <v>572319.86506041093</v>
      </c>
      <c r="AI30" s="37">
        <f>AE30+AG30+AH30</f>
        <v>2818243.3760749605</v>
      </c>
      <c r="AJ30" s="37">
        <f>AF30-AI30</f>
        <v>-316030.63499086024</v>
      </c>
      <c r="AK30" s="116"/>
      <c r="AL30" s="117">
        <f>AJ30/$AI$62</f>
        <v>-0.17387839356211529</v>
      </c>
      <c r="AM30" s="17"/>
      <c r="AO30" s="362">
        <v>2009</v>
      </c>
      <c r="AP30" s="362">
        <v>0.9889813771761321</v>
      </c>
      <c r="AQ30" s="362">
        <v>1.0170455865043786</v>
      </c>
      <c r="AR30" s="362">
        <v>0.15368167879846714</v>
      </c>
    </row>
    <row r="31" spans="1:44" x14ac:dyDescent="0.25">
      <c r="B31" s="141">
        <f t="shared" si="5"/>
        <v>10</v>
      </c>
      <c r="D31" s="18">
        <v>2013</v>
      </c>
      <c r="E31" s="41">
        <f t="shared" si="0"/>
        <v>786110.43528469</v>
      </c>
      <c r="F31" s="22">
        <v>720372.43528469</v>
      </c>
      <c r="G31" s="21">
        <v>65738</v>
      </c>
      <c r="H31" s="20">
        <f t="shared" si="1"/>
        <v>827882.61762357026</v>
      </c>
      <c r="I31" s="35">
        <v>762144.61762357026</v>
      </c>
      <c r="J31" s="67">
        <f t="shared" ref="J31:J35" si="6">VLOOKUP(3,$B$12:$E$21,4,FALSE)</f>
        <v>2011878.1029466104</v>
      </c>
      <c r="K31" s="72">
        <f t="shared" ref="K31:K35" si="7">VLOOKUP(3,$C$12:$H$21,6,FALSE)</f>
        <v>2185680.2554577794</v>
      </c>
      <c r="L31" s="19"/>
      <c r="AB31" s="115">
        <v>1987</v>
      </c>
      <c r="AC31" s="37">
        <v>98</v>
      </c>
      <c r="AD31" s="37">
        <v>11</v>
      </c>
      <c r="AE31" s="37">
        <v>1285785.1162918899</v>
      </c>
      <c r="AF31" s="94">
        <v>1065555.1851781688</v>
      </c>
      <c r="AG31" s="37">
        <v>3762.0198286</v>
      </c>
      <c r="AH31" s="37">
        <v>934017.00527220767</v>
      </c>
      <c r="AI31" s="37">
        <f>AE31+AG31+AH31</f>
        <v>2223564.1413926976</v>
      </c>
      <c r="AJ31" s="37">
        <f>AF31-AI31</f>
        <v>-1158008.9562145288</v>
      </c>
      <c r="AK31" s="116"/>
      <c r="AL31" s="117">
        <f t="shared" ref="AL31:AL61" si="8">AJ31/$AI$62</f>
        <v>-0.63713043845558637</v>
      </c>
      <c r="AM31" s="17"/>
      <c r="AO31" s="362">
        <v>2010</v>
      </c>
      <c r="AP31" s="362">
        <v>0.78613797579668476</v>
      </c>
      <c r="AQ31" s="362">
        <v>0.5935311842331058</v>
      </c>
      <c r="AR31" s="362">
        <v>9.8833141216114542E-2</v>
      </c>
    </row>
    <row r="32" spans="1:44" x14ac:dyDescent="0.25">
      <c r="B32" s="141">
        <f t="shared" si="5"/>
        <v>6</v>
      </c>
      <c r="D32" s="18">
        <v>2014</v>
      </c>
      <c r="E32" s="41">
        <f t="shared" si="0"/>
        <v>1772238.3196001402</v>
      </c>
      <c r="F32" s="22">
        <v>1709780.3196001402</v>
      </c>
      <c r="G32" s="21">
        <v>62458</v>
      </c>
      <c r="H32" s="20">
        <f t="shared" si="1"/>
        <v>2063272.6413484295</v>
      </c>
      <c r="I32" s="35">
        <v>2000814.6413484295</v>
      </c>
      <c r="J32" s="67">
        <f t="shared" si="6"/>
        <v>2011878.1029466104</v>
      </c>
      <c r="K32" s="72">
        <f t="shared" si="7"/>
        <v>2185680.2554577794</v>
      </c>
      <c r="L32" s="19"/>
      <c r="AB32" s="118">
        <v>1988</v>
      </c>
      <c r="AC32" s="128">
        <v>145</v>
      </c>
      <c r="AD32" s="128">
        <v>13</v>
      </c>
      <c r="AE32" s="128">
        <v>274934.23414796731</v>
      </c>
      <c r="AF32" s="94">
        <v>655104.18481299013</v>
      </c>
      <c r="AG32" s="128">
        <v>15730.890231000003</v>
      </c>
      <c r="AH32" s="128">
        <v>541330.10948839365</v>
      </c>
      <c r="AI32" s="128"/>
      <c r="AJ32" s="128"/>
      <c r="AK32" s="129"/>
      <c r="AL32" s="130">
        <f t="shared" si="8"/>
        <v>0</v>
      </c>
      <c r="AM32" s="17" t="s">
        <v>112</v>
      </c>
      <c r="AO32" s="362">
        <v>2011</v>
      </c>
      <c r="AP32" s="362">
        <v>0.62551811084614473</v>
      </c>
      <c r="AQ32" s="362">
        <v>1.0903858960134651</v>
      </c>
      <c r="AR32" s="362">
        <v>0.18408383609898452</v>
      </c>
    </row>
    <row r="33" spans="1:44" s="17" customFormat="1" x14ac:dyDescent="0.25">
      <c r="B33" s="141">
        <f t="shared" si="5"/>
        <v>3</v>
      </c>
      <c r="D33" s="18">
        <v>2015</v>
      </c>
      <c r="E33" s="41">
        <f t="shared" si="0"/>
        <v>2991213.9365142998</v>
      </c>
      <c r="F33" s="22">
        <v>2926723.9365142998</v>
      </c>
      <c r="G33" s="21">
        <v>64490</v>
      </c>
      <c r="H33" s="20">
        <f t="shared" si="1"/>
        <v>3034156.9775158088</v>
      </c>
      <c r="I33" s="35">
        <v>2969666.9775158088</v>
      </c>
      <c r="J33" s="67">
        <f t="shared" si="6"/>
        <v>2011878.1029466104</v>
      </c>
      <c r="K33" s="72">
        <f t="shared" si="7"/>
        <v>2185680.2554577794</v>
      </c>
      <c r="L33" s="19"/>
      <c r="AB33" s="115">
        <v>1989</v>
      </c>
      <c r="AC33" s="37">
        <v>118</v>
      </c>
      <c r="AD33" s="37">
        <v>0</v>
      </c>
      <c r="AE33" s="37">
        <v>904612.92437883886</v>
      </c>
      <c r="AF33" s="94">
        <v>744558.35512719979</v>
      </c>
      <c r="AG33" s="37">
        <v>2419.8637577999998</v>
      </c>
      <c r="AH33" s="37">
        <v>79647.454618074815</v>
      </c>
      <c r="AI33" s="37">
        <f t="shared" ref="AI33:AI35" si="9">AE33+AG33+AH33</f>
        <v>986680.24275471363</v>
      </c>
      <c r="AJ33" s="37">
        <f>AF33-AI33</f>
        <v>-242121.88762751385</v>
      </c>
      <c r="AK33" s="116"/>
      <c r="AL33" s="117">
        <f t="shared" si="8"/>
        <v>-0.1332141894032414</v>
      </c>
      <c r="AO33" s="362">
        <v>2012</v>
      </c>
      <c r="AP33" s="362">
        <v>0.95597730293847205</v>
      </c>
      <c r="AQ33" s="362">
        <v>1.0158241950514879</v>
      </c>
      <c r="AR33" s="362">
        <v>0.17443268659560668</v>
      </c>
    </row>
    <row r="34" spans="1:44" s="17" customFormat="1" x14ac:dyDescent="0.25">
      <c r="B34" s="141">
        <f t="shared" si="5"/>
        <v>1</v>
      </c>
      <c r="D34" s="18">
        <v>2016</v>
      </c>
      <c r="E34" s="41">
        <f t="shared" si="0"/>
        <v>5067709.638781731</v>
      </c>
      <c r="F34" s="22">
        <v>5000100.638781731</v>
      </c>
      <c r="G34" s="21">
        <v>67609</v>
      </c>
      <c r="H34" s="20">
        <f t="shared" si="1"/>
        <v>4236069.5848269397</v>
      </c>
      <c r="I34" s="35">
        <v>4168460.5848269397</v>
      </c>
      <c r="J34" s="67">
        <f t="shared" si="6"/>
        <v>2011878.1029466104</v>
      </c>
      <c r="K34" s="72">
        <f t="shared" si="7"/>
        <v>2185680.2554577794</v>
      </c>
      <c r="L34" s="19"/>
      <c r="AB34" s="118">
        <v>1990</v>
      </c>
      <c r="AC34" s="128">
        <v>179</v>
      </c>
      <c r="AD34" s="128">
        <v>7</v>
      </c>
      <c r="AE34" s="128">
        <v>247674.56153467568</v>
      </c>
      <c r="AF34" s="94">
        <v>519189.45344189991</v>
      </c>
      <c r="AG34" s="128">
        <v>142220.730144</v>
      </c>
      <c r="AH34" s="128">
        <v>116252.93429229199</v>
      </c>
      <c r="AI34" s="37">
        <f t="shared" si="9"/>
        <v>506148.22597096767</v>
      </c>
      <c r="AJ34" s="128">
        <f>AF34-AI34</f>
        <v>13041.227470932237</v>
      </c>
      <c r="AK34" s="129"/>
      <c r="AL34" s="130">
        <f t="shared" si="8"/>
        <v>7.175214778748917E-3</v>
      </c>
      <c r="AO34" s="362">
        <v>2013</v>
      </c>
      <c r="AP34" s="362">
        <v>0.38910842839204168</v>
      </c>
      <c r="AQ34" s="362">
        <v>0.25656669918846425</v>
      </c>
      <c r="AR34" s="362">
        <v>4.550342125123686E-2</v>
      </c>
    </row>
    <row r="35" spans="1:44" x14ac:dyDescent="0.25">
      <c r="B35" s="141">
        <f t="shared" si="5"/>
        <v>2</v>
      </c>
      <c r="D35" s="18">
        <v>2017</v>
      </c>
      <c r="E35" s="41">
        <f t="shared" si="0"/>
        <v>3611199.5908464803</v>
      </c>
      <c r="F35" s="22">
        <v>3556120.5908464803</v>
      </c>
      <c r="G35" s="21">
        <v>55079</v>
      </c>
      <c r="H35" s="20">
        <f t="shared" si="1"/>
        <v>3651006.2084904104</v>
      </c>
      <c r="I35" s="35">
        <v>3595927.2084904104</v>
      </c>
      <c r="J35" s="67">
        <f t="shared" si="6"/>
        <v>2011878.1029466104</v>
      </c>
      <c r="K35" s="72">
        <f t="shared" si="7"/>
        <v>2185680.2554577794</v>
      </c>
      <c r="L35" s="19"/>
      <c r="AB35" s="118">
        <v>1991</v>
      </c>
      <c r="AC35" s="128">
        <v>144</v>
      </c>
      <c r="AD35" s="128">
        <v>12</v>
      </c>
      <c r="AE35" s="128">
        <v>685751.3106172944</v>
      </c>
      <c r="AF35" s="94">
        <v>959838.7599229503</v>
      </c>
      <c r="AG35" s="128">
        <v>1397.9368599999996</v>
      </c>
      <c r="AH35" s="128">
        <v>1471418.0019439762</v>
      </c>
      <c r="AI35" s="37">
        <f t="shared" si="9"/>
        <v>2158567.2494212706</v>
      </c>
      <c r="AJ35" s="128">
        <f>AF35-AI35</f>
        <v>-1198728.4894983203</v>
      </c>
      <c r="AK35" s="129"/>
      <c r="AL35" s="130">
        <f t="shared" si="8"/>
        <v>-0.65953411154946073</v>
      </c>
      <c r="AM35" s="17"/>
      <c r="AO35" s="362">
        <v>2014</v>
      </c>
      <c r="AP35" s="362">
        <v>0.70309368291955709</v>
      </c>
      <c r="AQ35" s="362">
        <v>0.61779198459160467</v>
      </c>
      <c r="AR35" s="362">
        <v>9.3937031667329474E-2</v>
      </c>
    </row>
    <row r="36" spans="1:44" x14ac:dyDescent="0.25">
      <c r="D36" s="55" t="s">
        <v>63</v>
      </c>
      <c r="E36" s="5"/>
      <c r="F36" s="5"/>
      <c r="G36" s="5">
        <f>AVERAGE(G4:G26)</f>
        <v>63840.391304347824</v>
      </c>
      <c r="H36" s="5">
        <f t="shared" ref="H36:I36" si="10">AVERAGE(H4:H26)</f>
        <v>1915539.6580313004</v>
      </c>
      <c r="I36" s="5">
        <f t="shared" si="10"/>
        <v>1851699.2667269525</v>
      </c>
      <c r="AB36" s="118">
        <v>1992</v>
      </c>
      <c r="AC36" s="128">
        <v>217</v>
      </c>
      <c r="AD36" s="128">
        <v>9</v>
      </c>
      <c r="AE36" s="128">
        <v>2455135.0024936614</v>
      </c>
      <c r="AF36" s="94">
        <v>932421.57113018038</v>
      </c>
      <c r="AG36" s="128">
        <v>2686.4153299999998</v>
      </c>
      <c r="AH36" s="128">
        <v>254520.53959024773</v>
      </c>
      <c r="AI36" s="128"/>
      <c r="AJ36" s="128"/>
      <c r="AK36" s="129"/>
      <c r="AL36" s="130">
        <f t="shared" si="8"/>
        <v>0</v>
      </c>
      <c r="AM36" s="17" t="s">
        <v>112</v>
      </c>
      <c r="AO36" s="362">
        <v>2015</v>
      </c>
      <c r="AP36" s="362">
        <v>1.076440483056158</v>
      </c>
      <c r="AQ36" s="362">
        <v>2.011988876277321</v>
      </c>
      <c r="AR36" s="362">
        <v>0.28096909436063139</v>
      </c>
    </row>
    <row r="37" spans="1:44" x14ac:dyDescent="0.25">
      <c r="D37" s="55" t="s">
        <v>64</v>
      </c>
      <c r="E37" s="5"/>
      <c r="F37" s="5"/>
      <c r="G37" s="5">
        <f>AVERAGE(G24:G26)</f>
        <v>47177.333333333336</v>
      </c>
      <c r="H37" s="5">
        <f t="shared" ref="H37:I37" si="11">AVERAGE(H24:H26)</f>
        <v>2092539.289328912</v>
      </c>
      <c r="I37" s="5">
        <f t="shared" si="11"/>
        <v>2045361.9559955786</v>
      </c>
      <c r="AB37" s="118">
        <v>1993</v>
      </c>
      <c r="AC37" s="128">
        <v>199</v>
      </c>
      <c r="AD37" s="128">
        <v>2</v>
      </c>
      <c r="AE37" s="128">
        <v>805260.61751815351</v>
      </c>
      <c r="AF37" s="94">
        <v>748266.21808686014</v>
      </c>
      <c r="AG37" s="128">
        <v>2045.1853740000004</v>
      </c>
      <c r="AH37" s="128">
        <v>458254.13423419243</v>
      </c>
      <c r="AI37" s="128">
        <f t="shared" ref="AI37:AI61" si="12">AE37+AG37+AH37</f>
        <v>1265559.9371263459</v>
      </c>
      <c r="AJ37" s="128">
        <f t="shared" ref="AJ37:AJ61" si="13">AF37-AI37</f>
        <v>-517293.71903948579</v>
      </c>
      <c r="AK37" s="129"/>
      <c r="AL37" s="130">
        <f t="shared" si="8"/>
        <v>-0.28461228408745654</v>
      </c>
      <c r="AM37" s="17"/>
      <c r="AO37" s="362">
        <v>2016</v>
      </c>
      <c r="AP37" s="362">
        <v>1.5772989050025517</v>
      </c>
      <c r="AQ37" s="362">
        <v>1.4191259446886979</v>
      </c>
      <c r="AR37" s="362">
        <v>0.20699858874168112</v>
      </c>
    </row>
    <row r="38" spans="1:44" x14ac:dyDescent="0.25">
      <c r="E38" s="27"/>
      <c r="AB38" s="118">
        <v>1994</v>
      </c>
      <c r="AC38" s="128">
        <v>359</v>
      </c>
      <c r="AD38" s="128">
        <v>6</v>
      </c>
      <c r="AE38" s="128">
        <v>817014.48596073396</v>
      </c>
      <c r="AF38" s="94">
        <v>656153.4862152097</v>
      </c>
      <c r="AG38" s="128">
        <v>2582.8211759999995</v>
      </c>
      <c r="AH38" s="128">
        <v>174809.09704603921</v>
      </c>
      <c r="AI38" s="128">
        <f t="shared" si="12"/>
        <v>994406.4041827732</v>
      </c>
      <c r="AJ38" s="128">
        <f t="shared" si="13"/>
        <v>-338252.9179675635</v>
      </c>
      <c r="AK38" s="129"/>
      <c r="AL38" s="130">
        <f t="shared" si="8"/>
        <v>-0.18610497680264085</v>
      </c>
      <c r="AO38" s="362">
        <v>2017</v>
      </c>
      <c r="AP38" s="362">
        <v>1.1470952516706028</v>
      </c>
      <c r="AQ38" s="362">
        <v>0.57496980783319851</v>
      </c>
      <c r="AR38" s="362">
        <v>8.7781019239479438E-2</v>
      </c>
    </row>
    <row r="39" spans="1:44" ht="15.75" thickBot="1" x14ac:dyDescent="0.3">
      <c r="E39" s="46"/>
      <c r="F39" s="46"/>
      <c r="G39" s="46"/>
      <c r="AB39" s="118">
        <v>1995</v>
      </c>
      <c r="AC39" s="128">
        <v>482</v>
      </c>
      <c r="AD39" s="128">
        <v>3</v>
      </c>
      <c r="AE39" s="128">
        <v>1285268.8399080604</v>
      </c>
      <c r="AF39" s="94">
        <v>1086343.1252845004</v>
      </c>
      <c r="AG39" s="128">
        <v>4458.9798680000004</v>
      </c>
      <c r="AH39" s="128">
        <v>603128.42091690004</v>
      </c>
      <c r="AI39" s="128">
        <f t="shared" si="12"/>
        <v>1892856.2406929603</v>
      </c>
      <c r="AJ39" s="128">
        <f t="shared" si="13"/>
        <v>-806513.11540845991</v>
      </c>
      <c r="AK39" s="129"/>
      <c r="AL39" s="130">
        <f t="shared" si="8"/>
        <v>-0.44373927514354922</v>
      </c>
      <c r="AO39" s="362">
        <v>2018</v>
      </c>
      <c r="AP39" s="362">
        <v>0.28153394006160387</v>
      </c>
      <c r="AQ39" s="362">
        <v>0.56893073350050993</v>
      </c>
      <c r="AR39" s="362">
        <v>0.10415728537107426</v>
      </c>
    </row>
    <row r="40" spans="1:44" ht="15.75" thickBot="1" x14ac:dyDescent="0.3">
      <c r="A40" s="401" t="s">
        <v>74</v>
      </c>
      <c r="B40" s="402"/>
      <c r="C40" s="402"/>
      <c r="D40" s="403"/>
      <c r="F40" s="367" t="s">
        <v>365</v>
      </c>
      <c r="G40" s="369"/>
      <c r="AB40" s="118">
        <v>1996</v>
      </c>
      <c r="AC40" s="128">
        <v>314</v>
      </c>
      <c r="AD40" s="128">
        <v>11</v>
      </c>
      <c r="AE40" s="128">
        <v>953031.58118665894</v>
      </c>
      <c r="AF40" s="94">
        <v>921093.88347925001</v>
      </c>
      <c r="AG40" s="128">
        <v>2442.3440639999999</v>
      </c>
      <c r="AH40" s="128">
        <v>671176.22443558893</v>
      </c>
      <c r="AI40" s="128">
        <f t="shared" si="12"/>
        <v>1626650.1496862478</v>
      </c>
      <c r="AJ40" s="128">
        <f t="shared" si="13"/>
        <v>-705556.2662069978</v>
      </c>
      <c r="AK40" s="129"/>
      <c r="AL40" s="130">
        <f t="shared" si="8"/>
        <v>-0.38819334758260049</v>
      </c>
    </row>
    <row r="41" spans="1:44" x14ac:dyDescent="0.25">
      <c r="A41" s="404" t="s">
        <v>56</v>
      </c>
      <c r="B41" s="405"/>
      <c r="C41" s="406" t="s">
        <v>76</v>
      </c>
      <c r="D41" s="407"/>
      <c r="F41" s="341" t="s">
        <v>351</v>
      </c>
      <c r="G41" s="341" t="s">
        <v>352</v>
      </c>
      <c r="AB41" s="118">
        <v>1997</v>
      </c>
      <c r="AC41" s="128">
        <v>359</v>
      </c>
      <c r="AD41" s="128">
        <v>12</v>
      </c>
      <c r="AE41" s="128">
        <v>896144.13497871766</v>
      </c>
      <c r="AF41" s="94">
        <v>773613.24795635999</v>
      </c>
      <c r="AG41" s="128">
        <v>2616.9042919999993</v>
      </c>
      <c r="AH41" s="128">
        <v>282058.50463547214</v>
      </c>
      <c r="AI41" s="128">
        <f t="shared" si="12"/>
        <v>1180819.5439061897</v>
      </c>
      <c r="AJ41" s="128">
        <f t="shared" si="13"/>
        <v>-407206.29594982974</v>
      </c>
      <c r="AK41" s="129"/>
      <c r="AL41" s="130">
        <f t="shared" si="8"/>
        <v>-0.22404276278527044</v>
      </c>
    </row>
    <row r="42" spans="1:44" x14ac:dyDescent="0.25">
      <c r="A42" s="393" t="s">
        <v>57</v>
      </c>
      <c r="B42" s="394"/>
      <c r="C42" s="356" t="s">
        <v>78</v>
      </c>
      <c r="D42" s="357" t="s">
        <v>78</v>
      </c>
      <c r="F42" s="49" t="s">
        <v>366</v>
      </c>
      <c r="G42" s="24">
        <f>VLOOKUP(3,$B$12:$E$21,4,FALSE)</f>
        <v>2011878.1029466104</v>
      </c>
      <c r="AB42" s="118">
        <v>1998</v>
      </c>
      <c r="AC42" s="128">
        <v>401</v>
      </c>
      <c r="AD42" s="128">
        <v>60</v>
      </c>
      <c r="AE42" s="128">
        <v>1065765.8628906019</v>
      </c>
      <c r="AF42" s="94">
        <v>1162819.6233126097</v>
      </c>
      <c r="AG42" s="128">
        <v>2548.9585200000001</v>
      </c>
      <c r="AH42" s="128">
        <v>137901.58419177815</v>
      </c>
      <c r="AI42" s="128">
        <f t="shared" si="12"/>
        <v>1206216.4056023802</v>
      </c>
      <c r="AJ42" s="128">
        <f t="shared" si="13"/>
        <v>-43396.782289770432</v>
      </c>
      <c r="AK42" s="129"/>
      <c r="AL42" s="130">
        <f t="shared" si="8"/>
        <v>-2.3876681418965491E-2</v>
      </c>
    </row>
    <row r="43" spans="1:44" x14ac:dyDescent="0.25">
      <c r="A43" s="393" t="s">
        <v>52</v>
      </c>
      <c r="B43" s="394"/>
      <c r="C43" s="356">
        <f>VLOOKUP(C42,'ORCS Categories'!$A$5:$C$9,2,FALSE)</f>
        <v>1.5</v>
      </c>
      <c r="D43" s="357">
        <f>VLOOKUP(D42,'ORCS Categories'!$A$5:$C$9,2,FALSE)</f>
        <v>1.5</v>
      </c>
      <c r="F43" s="49" t="s">
        <v>354</v>
      </c>
      <c r="G43" s="24">
        <f>VLOOKUP(3,$A$17:$E$25,5,FALSE)</f>
        <v>2885303.1330168797</v>
      </c>
      <c r="AB43" s="118">
        <v>1999</v>
      </c>
      <c r="AC43" s="128">
        <v>398</v>
      </c>
      <c r="AD43" s="128">
        <v>41</v>
      </c>
      <c r="AE43" s="128">
        <v>1505828.4931734833</v>
      </c>
      <c r="AF43" s="94">
        <v>1740749.1678928896</v>
      </c>
      <c r="AG43" s="128">
        <v>5358.4346220000016</v>
      </c>
      <c r="AH43" s="128">
        <v>137701.47594296391</v>
      </c>
      <c r="AI43" s="128">
        <f t="shared" si="12"/>
        <v>1648888.4037384472</v>
      </c>
      <c r="AJ43" s="128">
        <f t="shared" si="13"/>
        <v>91860.764154442353</v>
      </c>
      <c r="AK43" s="129"/>
      <c r="AL43" s="130">
        <f t="shared" si="8"/>
        <v>5.0541309398769892E-2</v>
      </c>
    </row>
    <row r="44" spans="1:44" ht="17.25" x14ac:dyDescent="0.25">
      <c r="A44" s="393" t="s">
        <v>363</v>
      </c>
      <c r="B44" s="394"/>
      <c r="C44" s="356" t="s">
        <v>364</v>
      </c>
      <c r="D44" s="357" t="s">
        <v>54</v>
      </c>
      <c r="F44" s="49" t="s">
        <v>360</v>
      </c>
      <c r="G44" s="24">
        <f>VLOOKUP(3,$B$26:$E$35,4,FALSE)</f>
        <v>2991213.9365142998</v>
      </c>
      <c r="AB44" s="118">
        <v>2000</v>
      </c>
      <c r="AC44" s="128">
        <v>390</v>
      </c>
      <c r="AD44" s="128">
        <v>30</v>
      </c>
      <c r="AE44" s="128">
        <v>1636764.0872222686</v>
      </c>
      <c r="AF44" s="94">
        <v>1805198.3447708804</v>
      </c>
      <c r="AG44" s="128">
        <v>5467.3859540000012</v>
      </c>
      <c r="AH44" s="128">
        <v>32277.880553964984</v>
      </c>
      <c r="AI44" s="128">
        <f t="shared" si="12"/>
        <v>1674509.3537302336</v>
      </c>
      <c r="AJ44" s="128">
        <f t="shared" si="13"/>
        <v>130688.9910406468</v>
      </c>
      <c r="AK44" s="129"/>
      <c r="AL44" s="130">
        <f t="shared" si="8"/>
        <v>7.1904395657903644E-2</v>
      </c>
    </row>
    <row r="45" spans="1:44" x14ac:dyDescent="0.25">
      <c r="A45" s="393" t="s">
        <v>58</v>
      </c>
      <c r="B45" s="394"/>
      <c r="C45" s="356">
        <f>VLOOKUP(C46,$E$12:$L$21,8,FALSE)</f>
        <v>2002</v>
      </c>
      <c r="D45" s="357">
        <f>VLOOKUP(D46,$E$17:$L$25,8,FALSE)</f>
        <v>2007</v>
      </c>
      <c r="F45" s="49" t="s">
        <v>355</v>
      </c>
      <c r="G45" s="24">
        <f>C48</f>
        <v>3462363.7596202553</v>
      </c>
      <c r="AB45" s="118">
        <v>2001</v>
      </c>
      <c r="AC45" s="128">
        <v>372</v>
      </c>
      <c r="AD45" s="128">
        <v>19</v>
      </c>
      <c r="AE45" s="128">
        <v>1569330.4870548989</v>
      </c>
      <c r="AF45" s="94">
        <v>1760060.4225296499</v>
      </c>
      <c r="AG45" s="128">
        <v>863.38749800000005</v>
      </c>
      <c r="AH45" s="128">
        <v>47110.007110254519</v>
      </c>
      <c r="AI45" s="128">
        <f t="shared" si="12"/>
        <v>1617303.8816631534</v>
      </c>
      <c r="AJ45" s="128">
        <f t="shared" si="13"/>
        <v>142756.54086649651</v>
      </c>
      <c r="AK45" s="129"/>
      <c r="AL45" s="130">
        <f t="shared" si="8"/>
        <v>7.854389811629732E-2</v>
      </c>
    </row>
    <row r="46" spans="1:44" x14ac:dyDescent="0.25">
      <c r="A46" s="393" t="s">
        <v>55</v>
      </c>
      <c r="B46" s="394"/>
      <c r="C46" s="358">
        <f>MAX(E12:E21)</f>
        <v>2885303.1330168797</v>
      </c>
      <c r="D46" s="359">
        <f>MAX(E17:E25)</f>
        <v>3746181.7622820162</v>
      </c>
      <c r="F46" s="49" t="s">
        <v>356</v>
      </c>
      <c r="G46" s="24">
        <f>D48</f>
        <v>4495418.1147384197</v>
      </c>
      <c r="AB46" s="118">
        <v>2002</v>
      </c>
      <c r="AC46" s="128">
        <v>488</v>
      </c>
      <c r="AD46" s="128">
        <v>33</v>
      </c>
      <c r="AE46" s="128">
        <v>2205673.2895213864</v>
      </c>
      <c r="AF46" s="94">
        <v>2633654.5279118088</v>
      </c>
      <c r="AG46" s="128">
        <v>4880.8300780000009</v>
      </c>
      <c r="AH46" s="128">
        <v>64226.023957899226</v>
      </c>
      <c r="AI46" s="128">
        <f t="shared" si="12"/>
        <v>2274780.1435572859</v>
      </c>
      <c r="AJ46" s="128">
        <f t="shared" si="13"/>
        <v>358874.38435452292</v>
      </c>
      <c r="AK46" s="129"/>
      <c r="AL46" s="130">
        <f t="shared" si="8"/>
        <v>0.19745079917319477</v>
      </c>
    </row>
    <row r="47" spans="1:44" x14ac:dyDescent="0.25">
      <c r="A47" s="393" t="s">
        <v>59</v>
      </c>
      <c r="B47" s="394"/>
      <c r="C47" s="356">
        <v>0.8</v>
      </c>
      <c r="D47" s="357">
        <v>0.8</v>
      </c>
      <c r="AB47" s="118">
        <v>2003</v>
      </c>
      <c r="AC47" s="128">
        <v>190</v>
      </c>
      <c r="AD47" s="128">
        <v>17</v>
      </c>
      <c r="AE47" s="128">
        <v>1731238.2123129282</v>
      </c>
      <c r="AF47" s="94">
        <v>2128465.4556717305</v>
      </c>
      <c r="AG47" s="128">
        <v>623.15223600000013</v>
      </c>
      <c r="AH47" s="128">
        <v>96463.058022469908</v>
      </c>
      <c r="AI47" s="128">
        <f t="shared" si="12"/>
        <v>1828324.4225713981</v>
      </c>
      <c r="AJ47" s="128">
        <f t="shared" si="13"/>
        <v>300141.03310033237</v>
      </c>
      <c r="AK47" s="129"/>
      <c r="AL47" s="130">
        <f t="shared" si="8"/>
        <v>0.16513601815554613</v>
      </c>
    </row>
    <row r="48" spans="1:44" ht="15.75" thickBot="1" x14ac:dyDescent="0.3">
      <c r="A48" s="395" t="s">
        <v>41</v>
      </c>
      <c r="B48" s="396"/>
      <c r="C48" s="360">
        <f>C46*C43*C47</f>
        <v>3462363.7596202553</v>
      </c>
      <c r="D48" s="361">
        <f>D46*D43*D47</f>
        <v>4495418.1147384197</v>
      </c>
      <c r="AB48" s="118">
        <v>2004</v>
      </c>
      <c r="AC48" s="128">
        <v>279</v>
      </c>
      <c r="AD48" s="128">
        <v>29</v>
      </c>
      <c r="AE48" s="128">
        <v>2547136.3656943431</v>
      </c>
      <c r="AF48" s="94">
        <v>2627118.0710420008</v>
      </c>
      <c r="AG48" s="128">
        <v>5215.620633999999</v>
      </c>
      <c r="AH48" s="128">
        <v>80908.077500714789</v>
      </c>
      <c r="AI48" s="128">
        <f t="shared" si="12"/>
        <v>2633260.0638290578</v>
      </c>
      <c r="AJ48" s="128">
        <f t="shared" si="13"/>
        <v>-6141.9927870570682</v>
      </c>
      <c r="AK48" s="129"/>
      <c r="AL48" s="130">
        <f t="shared" si="8"/>
        <v>-3.3792921344934432E-3</v>
      </c>
    </row>
    <row r="49" spans="28:38" x14ac:dyDescent="0.25">
      <c r="AB49" s="118">
        <v>2005</v>
      </c>
      <c r="AC49" s="128">
        <v>143</v>
      </c>
      <c r="AD49" s="128">
        <v>6</v>
      </c>
      <c r="AE49" s="128">
        <v>1524153.5753673827</v>
      </c>
      <c r="AF49" s="94">
        <v>1370340.3365753996</v>
      </c>
      <c r="AG49" s="128">
        <v>5789.5882439999996</v>
      </c>
      <c r="AH49" s="128">
        <v>24109.398620735945</v>
      </c>
      <c r="AI49" s="128">
        <f t="shared" si="12"/>
        <v>1554052.5622321186</v>
      </c>
      <c r="AJ49" s="128">
        <f t="shared" si="13"/>
        <v>-183712.22565671895</v>
      </c>
      <c r="AK49" s="129"/>
      <c r="AL49" s="130">
        <f t="shared" si="8"/>
        <v>-0.10107750052723508</v>
      </c>
    </row>
    <row r="50" spans="28:38" x14ac:dyDescent="0.25">
      <c r="AB50" s="118">
        <v>2006</v>
      </c>
      <c r="AC50" s="128">
        <v>188</v>
      </c>
      <c r="AD50" s="128">
        <v>7</v>
      </c>
      <c r="AE50" s="128">
        <v>999530.86702155834</v>
      </c>
      <c r="AF50" s="94">
        <v>1060270.4736509395</v>
      </c>
      <c r="AG50" s="128">
        <v>3001.3644860000004</v>
      </c>
      <c r="AH50" s="128">
        <v>22084.608429998287</v>
      </c>
      <c r="AI50" s="128">
        <f t="shared" si="12"/>
        <v>1024616.8399375567</v>
      </c>
      <c r="AJ50" s="128">
        <f t="shared" si="13"/>
        <v>35653.633713382878</v>
      </c>
      <c r="AK50" s="129"/>
      <c r="AL50" s="130">
        <f t="shared" si="8"/>
        <v>1.9616441788671467E-2</v>
      </c>
    </row>
    <row r="51" spans="28:38" x14ac:dyDescent="0.25">
      <c r="AB51" s="118">
        <v>2007</v>
      </c>
      <c r="AC51" s="128">
        <v>248</v>
      </c>
      <c r="AD51" s="128">
        <v>13</v>
      </c>
      <c r="AE51" s="128">
        <v>3407266.4511051597</v>
      </c>
      <c r="AF51" s="94">
        <v>3215645.6131249354</v>
      </c>
      <c r="AG51" s="128">
        <v>10278.409577599999</v>
      </c>
      <c r="AH51" s="128">
        <v>369322.15558709676</v>
      </c>
      <c r="AI51" s="128">
        <f t="shared" si="12"/>
        <v>3786867.0162698566</v>
      </c>
      <c r="AJ51" s="128">
        <f t="shared" si="13"/>
        <v>-571221.40314492118</v>
      </c>
      <c r="AK51" s="129"/>
      <c r="AL51" s="130">
        <f t="shared" si="8"/>
        <v>-0.31428301230989458</v>
      </c>
    </row>
    <row r="52" spans="28:38" x14ac:dyDescent="0.25">
      <c r="AB52" s="115">
        <v>2008</v>
      </c>
      <c r="AC52" s="37">
        <v>209</v>
      </c>
      <c r="AD52" s="37">
        <v>4</v>
      </c>
      <c r="AE52" s="37">
        <v>1112280.1745856681</v>
      </c>
      <c r="AF52" s="94">
        <v>1161765.7948748607</v>
      </c>
      <c r="AG52" s="37">
        <v>2766.7112711999998</v>
      </c>
      <c r="AH52" s="37">
        <v>24793.535518509281</v>
      </c>
      <c r="AI52" s="37">
        <f t="shared" si="12"/>
        <v>1139840.4213753776</v>
      </c>
      <c r="AJ52" s="37">
        <f t="shared" si="13"/>
        <v>21925.373499483103</v>
      </c>
      <c r="AK52" s="116"/>
      <c r="AL52" s="117">
        <f t="shared" si="8"/>
        <v>1.2063225207422536E-2</v>
      </c>
    </row>
    <row r="53" spans="28:38" x14ac:dyDescent="0.25">
      <c r="AB53" s="118">
        <v>2009</v>
      </c>
      <c r="AC53" s="37">
        <v>219</v>
      </c>
      <c r="AD53" s="37">
        <v>5</v>
      </c>
      <c r="AE53" s="37">
        <v>2625586.5051434417</v>
      </c>
      <c r="AF53" s="94">
        <v>2258977.8408906409</v>
      </c>
      <c r="AG53" s="37">
        <v>3368.5847080000003</v>
      </c>
      <c r="AH53" s="37">
        <v>25013.664441649988</v>
      </c>
      <c r="AI53" s="37">
        <f t="shared" si="12"/>
        <v>2653968.7542930916</v>
      </c>
      <c r="AJ53" s="37">
        <f t="shared" si="13"/>
        <v>-394990.91340245074</v>
      </c>
      <c r="AK53" s="116"/>
      <c r="AL53" s="117">
        <f t="shared" si="8"/>
        <v>-0.21732192354085231</v>
      </c>
    </row>
    <row r="54" spans="28:38" x14ac:dyDescent="0.25">
      <c r="AB54" s="115">
        <v>2010</v>
      </c>
      <c r="AC54" s="37">
        <v>278</v>
      </c>
      <c r="AD54" s="37">
        <v>37</v>
      </c>
      <c r="AE54" s="37">
        <v>1125735.0464518138</v>
      </c>
      <c r="AF54" s="94">
        <v>1344879.1697398499</v>
      </c>
      <c r="AG54" s="37">
        <v>4606.1126674000016</v>
      </c>
      <c r="AH54" s="37">
        <v>139807.19409792029</v>
      </c>
      <c r="AI54" s="37">
        <f t="shared" si="12"/>
        <v>1270148.353217134</v>
      </c>
      <c r="AJ54" s="37">
        <f t="shared" si="13"/>
        <v>74730.816522715846</v>
      </c>
      <c r="AK54" s="116"/>
      <c r="AL54" s="117">
        <f t="shared" si="8"/>
        <v>4.1116502287605154E-2</v>
      </c>
    </row>
    <row r="55" spans="28:38" x14ac:dyDescent="0.25">
      <c r="AB55" s="115">
        <v>2011</v>
      </c>
      <c r="AC55" s="37">
        <v>352</v>
      </c>
      <c r="AD55" s="37">
        <v>4</v>
      </c>
      <c r="AE55" s="37">
        <v>1040520.7835171965</v>
      </c>
      <c r="AF55" s="94">
        <v>1242906.3835533699</v>
      </c>
      <c r="AG55" s="37">
        <v>1632.8237623999999</v>
      </c>
      <c r="AH55" s="37">
        <v>31790.548283594628</v>
      </c>
      <c r="AI55" s="37">
        <f t="shared" si="12"/>
        <v>1073944.155563191</v>
      </c>
      <c r="AJ55" s="37">
        <f t="shared" si="13"/>
        <v>168962.22799017886</v>
      </c>
      <c r="AK55" s="116"/>
      <c r="AL55" s="117">
        <f t="shared" si="8"/>
        <v>9.2962129372229446E-2</v>
      </c>
    </row>
    <row r="56" spans="28:38" x14ac:dyDescent="0.25">
      <c r="AB56" s="115">
        <v>2012</v>
      </c>
      <c r="AC56" s="37">
        <v>741</v>
      </c>
      <c r="AD56" s="37">
        <v>32</v>
      </c>
      <c r="AE56" s="37">
        <v>1510350.0062381476</v>
      </c>
      <c r="AF56" s="94">
        <v>1960715.5681059081</v>
      </c>
      <c r="AG56" s="37">
        <v>3844.4939146000006</v>
      </c>
      <c r="AH56" s="37">
        <v>54978.805158477677</v>
      </c>
      <c r="AI56" s="37">
        <f t="shared" si="12"/>
        <v>1569173.3053112254</v>
      </c>
      <c r="AJ56" s="37">
        <f t="shared" si="13"/>
        <v>391542.26279468276</v>
      </c>
      <c r="AK56" s="116"/>
      <c r="AL56" s="117">
        <f t="shared" si="8"/>
        <v>0.21542449411078121</v>
      </c>
    </row>
    <row r="57" spans="28:38" x14ac:dyDescent="0.25">
      <c r="AB57" s="115">
        <v>2013</v>
      </c>
      <c r="AC57" s="37">
        <v>229</v>
      </c>
      <c r="AD57" s="37">
        <v>14</v>
      </c>
      <c r="AE57" s="37">
        <v>460010.96177048597</v>
      </c>
      <c r="AF57" s="94">
        <v>639019.81378692028</v>
      </c>
      <c r="AG57" s="37">
        <v>2983.5535226000006</v>
      </c>
      <c r="AH57" s="37">
        <v>100185.26345520877</v>
      </c>
      <c r="AI57" s="37">
        <f t="shared" si="12"/>
        <v>563179.77874829469</v>
      </c>
      <c r="AJ57" s="37">
        <f t="shared" si="13"/>
        <v>75840.035038625589</v>
      </c>
      <c r="AK57" s="116"/>
      <c r="AL57" s="117">
        <f t="shared" si="8"/>
        <v>4.172678848236383E-2</v>
      </c>
    </row>
    <row r="58" spans="28:38" x14ac:dyDescent="0.25">
      <c r="AB58" s="115">
        <v>2014</v>
      </c>
      <c r="AC58" s="37">
        <v>348</v>
      </c>
      <c r="AD58" s="37">
        <v>14</v>
      </c>
      <c r="AE58" s="37">
        <v>1384596.0121239517</v>
      </c>
      <c r="AF58" s="94">
        <v>1747908.3711868592</v>
      </c>
      <c r="AG58" s="37">
        <v>5094.6057307999999</v>
      </c>
      <c r="AH58" s="37">
        <v>275446.52532529691</v>
      </c>
      <c r="AI58" s="37">
        <f t="shared" si="12"/>
        <v>1665137.1431800486</v>
      </c>
      <c r="AJ58" s="37">
        <f t="shared" si="13"/>
        <v>82771.228006810648</v>
      </c>
      <c r="AK58" s="116"/>
      <c r="AL58" s="117">
        <f t="shared" si="8"/>
        <v>4.554029440659773E-2</v>
      </c>
    </row>
    <row r="59" spans="28:38" x14ac:dyDescent="0.25">
      <c r="AB59" s="125">
        <v>2015</v>
      </c>
      <c r="AC59" s="107">
        <v>399</v>
      </c>
      <c r="AD59" s="107">
        <v>13</v>
      </c>
      <c r="AE59" s="107">
        <v>1692342.9727640098</v>
      </c>
      <c r="AF59" s="107">
        <v>2549948.0008851988</v>
      </c>
      <c r="AG59" s="107">
        <v>5296.8888038000014</v>
      </c>
      <c r="AH59" s="107">
        <v>414360.33757033531</v>
      </c>
      <c r="AI59" s="107">
        <f t="shared" si="12"/>
        <v>2112000.1991381454</v>
      </c>
      <c r="AJ59" s="107">
        <f t="shared" si="13"/>
        <v>437947.8017470534</v>
      </c>
      <c r="AK59" s="126">
        <f t="shared" ref="AK59:AK61" si="14">AJ59/AI59</f>
        <v>0.20736162900257726</v>
      </c>
      <c r="AL59" s="127">
        <f t="shared" si="8"/>
        <v>0.24095657762431696</v>
      </c>
    </row>
    <row r="60" spans="28:38" x14ac:dyDescent="0.25">
      <c r="AB60" s="125">
        <v>2016</v>
      </c>
      <c r="AC60" s="107">
        <v>490</v>
      </c>
      <c r="AD60" s="107">
        <v>12</v>
      </c>
      <c r="AE60" s="107">
        <v>5033689.2835341189</v>
      </c>
      <c r="AF60" s="107">
        <v>3892639.3620732399</v>
      </c>
      <c r="AG60" s="107">
        <v>5502.0444705999998</v>
      </c>
      <c r="AH60" s="107">
        <v>217497.79206290719</v>
      </c>
      <c r="AI60" s="107">
        <f t="shared" si="12"/>
        <v>5256689.1200676262</v>
      </c>
      <c r="AJ60" s="107">
        <f t="shared" si="13"/>
        <v>-1364049.7579943864</v>
      </c>
      <c r="AK60" s="126">
        <f t="shared" si="14"/>
        <v>-0.25948838267552676</v>
      </c>
      <c r="AL60" s="127">
        <f t="shared" si="8"/>
        <v>-0.75049300415358577</v>
      </c>
    </row>
    <row r="61" spans="28:38" x14ac:dyDescent="0.25">
      <c r="AB61" s="125">
        <v>2017</v>
      </c>
      <c r="AC61" s="107">
        <v>382</v>
      </c>
      <c r="AD61" s="107">
        <v>21</v>
      </c>
      <c r="AE61" s="107">
        <v>1878357.9185989187</v>
      </c>
      <c r="AF61" s="107">
        <v>3343208.7776400908</v>
      </c>
      <c r="AG61" s="107">
        <v>2747.5929800000004</v>
      </c>
      <c r="AH61" s="107">
        <v>438646.81626388384</v>
      </c>
      <c r="AI61" s="107">
        <f t="shared" si="12"/>
        <v>2319752.3278428027</v>
      </c>
      <c r="AJ61" s="107">
        <f t="shared" si="13"/>
        <v>1023456.449797288</v>
      </c>
      <c r="AK61" s="126">
        <f t="shared" si="14"/>
        <v>0.44119212103519106</v>
      </c>
      <c r="AL61" s="127">
        <f t="shared" si="8"/>
        <v>0.56310035695332117</v>
      </c>
    </row>
    <row r="62" spans="28:38" x14ac:dyDescent="0.25">
      <c r="AB62" s="119" t="s">
        <v>104</v>
      </c>
      <c r="AC62" s="123"/>
      <c r="AD62" s="123"/>
      <c r="AE62" s="123"/>
      <c r="AF62" s="124"/>
      <c r="AG62" s="123"/>
      <c r="AH62" s="123"/>
      <c r="AI62" s="121">
        <f>AVERAGE(AI30:AI61)</f>
        <v>1817538.2721025848</v>
      </c>
      <c r="AJ62" s="120"/>
      <c r="AK62" s="120"/>
      <c r="AL62" s="122"/>
    </row>
  </sheetData>
  <mergeCells count="13">
    <mergeCell ref="AB28:AL28"/>
    <mergeCell ref="A3:B3"/>
    <mergeCell ref="A41:B41"/>
    <mergeCell ref="C41:D41"/>
    <mergeCell ref="A47:B47"/>
    <mergeCell ref="A48:B48"/>
    <mergeCell ref="A40:D40"/>
    <mergeCell ref="F40:G40"/>
    <mergeCell ref="A42:B42"/>
    <mergeCell ref="A43:B43"/>
    <mergeCell ref="A44:B44"/>
    <mergeCell ref="A45:B45"/>
    <mergeCell ref="A46:B4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A002-4CEC-42EB-A5BB-FF694AEBC8A0}">
  <dimension ref="A1:C11"/>
  <sheetViews>
    <sheetView workbookViewId="0">
      <selection activeCell="B16" sqref="B16"/>
    </sheetView>
  </sheetViews>
  <sheetFormatPr defaultRowHeight="15" x14ac:dyDescent="0.25"/>
  <cols>
    <col min="1" max="1" width="16.140625" customWidth="1"/>
    <col min="2" max="2" width="16.42578125" customWidth="1"/>
    <col min="3" max="3" width="11.42578125" customWidth="1"/>
  </cols>
  <sheetData>
    <row r="1" spans="1:3" x14ac:dyDescent="0.25">
      <c r="A1" s="365" t="s">
        <v>86</v>
      </c>
      <c r="B1" s="365"/>
      <c r="C1" s="365"/>
    </row>
    <row r="2" spans="1:3" ht="15" customHeight="1" x14ac:dyDescent="0.25">
      <c r="A2" s="409" t="s">
        <v>89</v>
      </c>
      <c r="B2" s="409" t="s">
        <v>91</v>
      </c>
      <c r="C2" s="409" t="s">
        <v>90</v>
      </c>
    </row>
    <row r="3" spans="1:3" s="17" customFormat="1" x14ac:dyDescent="0.25">
      <c r="A3" s="409"/>
      <c r="B3" s="409"/>
      <c r="C3" s="409"/>
    </row>
    <row r="4" spans="1:3" s="17" customFormat="1" x14ac:dyDescent="0.25">
      <c r="A4" s="409"/>
      <c r="B4" s="409"/>
      <c r="C4" s="409"/>
    </row>
    <row r="5" spans="1:3" x14ac:dyDescent="0.25">
      <c r="A5" s="49" t="s">
        <v>77</v>
      </c>
      <c r="B5" s="49">
        <v>2</v>
      </c>
      <c r="C5" s="49">
        <v>0.9</v>
      </c>
    </row>
    <row r="6" spans="1:3" x14ac:dyDescent="0.25">
      <c r="A6" s="49" t="s">
        <v>87</v>
      </c>
      <c r="B6" s="49">
        <v>1.75</v>
      </c>
      <c r="C6" s="143">
        <v>0.85</v>
      </c>
    </row>
    <row r="7" spans="1:3" x14ac:dyDescent="0.25">
      <c r="A7" s="49" t="s">
        <v>78</v>
      </c>
      <c r="B7" s="49">
        <v>1.5</v>
      </c>
      <c r="C7" s="49">
        <v>0.8</v>
      </c>
    </row>
    <row r="8" spans="1:3" x14ac:dyDescent="0.25">
      <c r="A8" s="49" t="s">
        <v>73</v>
      </c>
      <c r="B8" s="49">
        <v>1.25</v>
      </c>
      <c r="C8" s="49">
        <v>0.7</v>
      </c>
    </row>
    <row r="9" spans="1:3" x14ac:dyDescent="0.25">
      <c r="A9" s="49" t="s">
        <v>88</v>
      </c>
      <c r="B9" s="49">
        <v>1</v>
      </c>
      <c r="C9" s="49"/>
    </row>
    <row r="10" spans="1:3" x14ac:dyDescent="0.25">
      <c r="A10" s="410" t="s">
        <v>120</v>
      </c>
      <c r="B10" s="410"/>
      <c r="C10" s="410"/>
    </row>
    <row r="11" spans="1:3" x14ac:dyDescent="0.25">
      <c r="A11" s="410"/>
      <c r="B11" s="410"/>
      <c r="C11" s="410"/>
    </row>
  </sheetData>
  <mergeCells count="5">
    <mergeCell ref="A1:C1"/>
    <mergeCell ref="A2:A4"/>
    <mergeCell ref="B2:B4"/>
    <mergeCell ref="C2:C4"/>
    <mergeCell ref="A10:C11"/>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A100-6A95-4DE9-AFE8-9E20B444A0E3}">
  <dimension ref="A1:S318"/>
  <sheetViews>
    <sheetView topLeftCell="A178" workbookViewId="0">
      <selection activeCell="D6" sqref="D6"/>
    </sheetView>
  </sheetViews>
  <sheetFormatPr defaultColWidth="9.140625" defaultRowHeight="15" x14ac:dyDescent="0.25"/>
  <cols>
    <col min="1" max="1" width="11.7109375" style="17" customWidth="1"/>
    <col min="2" max="2" width="9.140625" style="17"/>
    <col min="3" max="3" width="14.7109375" style="17" customWidth="1"/>
    <col min="4" max="4" width="12.28515625" style="17" customWidth="1"/>
    <col min="5" max="5" width="9.140625" style="17"/>
    <col min="6" max="6" width="13" style="17" customWidth="1"/>
    <col min="7" max="7" width="11" style="17" customWidth="1"/>
    <col min="8" max="8" width="14" style="17" customWidth="1"/>
    <col min="9" max="9" width="12.5703125" style="17" customWidth="1"/>
    <col min="10" max="10" width="9.140625" style="17"/>
    <col min="11" max="11" width="12.42578125" style="17" customWidth="1"/>
    <col min="12" max="12" width="9.140625" style="17"/>
    <col min="13" max="13" width="15" style="17" customWidth="1"/>
    <col min="14" max="14" width="10.85546875" style="17" customWidth="1"/>
    <col min="15" max="15" width="10.28515625" style="17" customWidth="1"/>
    <col min="16" max="16" width="10.85546875" style="17" customWidth="1"/>
    <col min="17" max="17" width="11.7109375" style="17" customWidth="1"/>
    <col min="18" max="18" width="25.28515625" style="17" customWidth="1"/>
    <col min="19" max="19" width="12.85546875" style="17" bestFit="1" customWidth="1"/>
    <col min="20" max="16384" width="9.140625" style="17"/>
  </cols>
  <sheetData>
    <row r="1" spans="1:19" ht="15.75" customHeight="1" x14ac:dyDescent="0.25">
      <c r="A1" s="422" t="s">
        <v>122</v>
      </c>
      <c r="B1" s="422"/>
      <c r="C1" s="422"/>
      <c r="D1" s="422"/>
      <c r="E1" s="422"/>
      <c r="F1" s="422"/>
      <c r="G1" s="422"/>
      <c r="H1" s="422"/>
      <c r="I1" s="422"/>
      <c r="J1" s="422"/>
      <c r="K1" s="422"/>
      <c r="L1" s="422"/>
      <c r="M1" s="422"/>
      <c r="N1" s="422"/>
      <c r="O1" s="422"/>
      <c r="P1" s="422"/>
      <c r="Q1" s="422"/>
      <c r="R1" s="422"/>
      <c r="S1" s="422"/>
    </row>
    <row r="2" spans="1:19" ht="15.75" customHeight="1" x14ac:dyDescent="0.25">
      <c r="A2" s="423" t="s">
        <v>123</v>
      </c>
      <c r="B2" s="423"/>
      <c r="C2" s="423"/>
      <c r="D2" s="423"/>
      <c r="E2" s="423"/>
      <c r="F2" s="423"/>
      <c r="G2" s="423"/>
      <c r="H2" s="423"/>
      <c r="I2" s="423"/>
      <c r="J2" s="423"/>
      <c r="K2" s="423"/>
      <c r="L2" s="423"/>
      <c r="M2" s="423"/>
      <c r="N2" s="423"/>
      <c r="O2" s="423"/>
      <c r="P2" s="423"/>
      <c r="Q2" s="423"/>
      <c r="R2" s="423"/>
      <c r="S2" s="423"/>
    </row>
    <row r="3" spans="1:19" ht="15.75" customHeight="1" x14ac:dyDescent="0.25">
      <c r="A3" s="423" t="s">
        <v>124</v>
      </c>
      <c r="B3" s="423"/>
      <c r="C3" s="423"/>
      <c r="D3" s="423"/>
      <c r="E3" s="423"/>
      <c r="F3" s="423"/>
      <c r="G3" s="423"/>
      <c r="H3" s="423"/>
      <c r="I3" s="423"/>
      <c r="J3" s="423"/>
      <c r="K3" s="423"/>
      <c r="L3" s="423"/>
      <c r="M3" s="423"/>
      <c r="N3" s="423"/>
      <c r="O3" s="423"/>
      <c r="P3" s="423"/>
      <c r="Q3" s="423"/>
      <c r="R3" s="423"/>
      <c r="S3" s="423"/>
    </row>
    <row r="4" spans="1:19" ht="15.75" customHeight="1" x14ac:dyDescent="0.25">
      <c r="A4" s="424" t="s">
        <v>125</v>
      </c>
      <c r="B4" s="424"/>
      <c r="C4" s="424"/>
      <c r="D4" s="424"/>
      <c r="E4" s="424"/>
      <c r="F4" s="424"/>
      <c r="G4" s="424"/>
      <c r="H4" s="424"/>
      <c r="I4" s="424"/>
      <c r="J4" s="424"/>
      <c r="K4" s="424"/>
      <c r="L4" s="424"/>
      <c r="M4" s="424"/>
      <c r="N4" s="424"/>
      <c r="O4" s="424"/>
      <c r="P4" s="424"/>
      <c r="Q4" s="424"/>
      <c r="R4" s="424"/>
      <c r="S4" s="424"/>
    </row>
    <row r="5" spans="1:19" ht="18" x14ac:dyDescent="0.25">
      <c r="A5" s="425" t="s">
        <v>126</v>
      </c>
      <c r="B5" s="425"/>
      <c r="C5" s="425"/>
      <c r="D5" s="425"/>
      <c r="E5" s="425"/>
      <c r="F5" s="425"/>
      <c r="G5" s="425"/>
      <c r="H5" s="425"/>
      <c r="I5" s="425"/>
      <c r="J5" s="425"/>
      <c r="K5" s="425"/>
      <c r="L5" s="425"/>
      <c r="M5" s="425"/>
      <c r="N5" s="425"/>
      <c r="O5" s="425"/>
      <c r="P5" s="425"/>
      <c r="Q5" s="425"/>
      <c r="R5" s="425"/>
      <c r="S5" s="425"/>
    </row>
    <row r="6" spans="1:19" ht="15.75" x14ac:dyDescent="0.25">
      <c r="A6" s="149"/>
      <c r="B6" s="149"/>
      <c r="C6" s="149"/>
      <c r="D6" s="149"/>
      <c r="E6" s="149"/>
      <c r="F6" s="149"/>
      <c r="G6" s="149"/>
      <c r="H6" s="149"/>
      <c r="I6" s="149"/>
    </row>
    <row r="7" spans="1:19" ht="15.75" x14ac:dyDescent="0.25">
      <c r="A7" s="426" t="s">
        <v>2</v>
      </c>
      <c r="B7" s="427"/>
      <c r="C7" s="427"/>
      <c r="D7" s="427"/>
      <c r="E7" s="427"/>
      <c r="F7" s="427"/>
      <c r="G7" s="427"/>
      <c r="H7" s="427"/>
      <c r="I7" s="428"/>
      <c r="K7" s="426" t="s">
        <v>127</v>
      </c>
      <c r="L7" s="427"/>
      <c r="M7" s="427"/>
      <c r="N7" s="427"/>
      <c r="O7" s="427"/>
      <c r="P7" s="427"/>
      <c r="Q7" s="427"/>
      <c r="R7" s="427"/>
      <c r="S7" s="428"/>
    </row>
    <row r="8" spans="1:19" ht="31.5" x14ac:dyDescent="0.25">
      <c r="A8" s="150" t="s">
        <v>20</v>
      </c>
      <c r="B8" s="411" t="s">
        <v>128</v>
      </c>
      <c r="C8" s="412"/>
      <c r="D8" s="150" t="s">
        <v>129</v>
      </c>
      <c r="E8" s="150" t="s">
        <v>130</v>
      </c>
      <c r="F8" s="150" t="s">
        <v>131</v>
      </c>
      <c r="G8" s="150" t="s">
        <v>132</v>
      </c>
      <c r="H8" s="151" t="s">
        <v>133</v>
      </c>
      <c r="I8" s="152" t="s">
        <v>134</v>
      </c>
      <c r="K8" s="150" t="s">
        <v>20</v>
      </c>
      <c r="L8" s="411" t="s">
        <v>128</v>
      </c>
      <c r="M8" s="412"/>
      <c r="N8" s="150" t="s">
        <v>129</v>
      </c>
      <c r="O8" s="150" t="s">
        <v>130</v>
      </c>
      <c r="P8" s="150" t="s">
        <v>131</v>
      </c>
      <c r="Q8" s="150" t="s">
        <v>132</v>
      </c>
      <c r="R8" s="150" t="s">
        <v>133</v>
      </c>
      <c r="S8" s="150" t="s">
        <v>134</v>
      </c>
    </row>
    <row r="9" spans="1:19" s="159" customFormat="1" ht="18" x14ac:dyDescent="0.25">
      <c r="A9" s="153" t="s">
        <v>135</v>
      </c>
      <c r="B9" s="413" t="s">
        <v>136</v>
      </c>
      <c r="C9" s="414"/>
      <c r="D9" s="154">
        <v>137699</v>
      </c>
      <c r="E9" s="419" t="s">
        <v>137</v>
      </c>
      <c r="F9" s="155">
        <v>661926</v>
      </c>
      <c r="G9" s="156">
        <v>20.8</v>
      </c>
      <c r="H9" s="157"/>
      <c r="I9" s="158" t="s">
        <v>138</v>
      </c>
      <c r="K9" s="153" t="s">
        <v>139</v>
      </c>
      <c r="L9" s="413" t="s">
        <v>140</v>
      </c>
      <c r="M9" s="414"/>
      <c r="N9" s="154">
        <v>1133065</v>
      </c>
      <c r="O9" s="419" t="s">
        <v>137</v>
      </c>
      <c r="P9" s="154">
        <v>8000000</v>
      </c>
      <c r="Q9" s="153">
        <v>14.2</v>
      </c>
      <c r="R9" s="153"/>
      <c r="S9" s="158" t="s">
        <v>138</v>
      </c>
    </row>
    <row r="10" spans="1:19" s="159" customFormat="1" ht="15.75" customHeight="1" x14ac:dyDescent="0.25">
      <c r="A10" s="153">
        <v>2018</v>
      </c>
      <c r="B10" s="415"/>
      <c r="C10" s="416"/>
      <c r="D10" s="154">
        <v>338865</v>
      </c>
      <c r="E10" s="420"/>
      <c r="F10" s="155">
        <v>661926</v>
      </c>
      <c r="G10" s="156">
        <v>51.2</v>
      </c>
      <c r="H10" s="157"/>
      <c r="I10" s="158" t="s">
        <v>138</v>
      </c>
      <c r="K10" s="153" t="s">
        <v>141</v>
      </c>
      <c r="L10" s="415"/>
      <c r="M10" s="416"/>
      <c r="N10" s="154">
        <v>2469918</v>
      </c>
      <c r="O10" s="420"/>
      <c r="P10" s="154">
        <v>8900000</v>
      </c>
      <c r="Q10" s="153">
        <v>27.8</v>
      </c>
      <c r="R10" s="153"/>
      <c r="S10" s="158" t="s">
        <v>138</v>
      </c>
    </row>
    <row r="11" spans="1:19" ht="15.75" customHeight="1" x14ac:dyDescent="0.25">
      <c r="A11" s="160">
        <v>2017</v>
      </c>
      <c r="B11" s="415"/>
      <c r="C11" s="416"/>
      <c r="D11" s="155">
        <v>136301</v>
      </c>
      <c r="E11" s="420"/>
      <c r="F11" s="155">
        <v>661926</v>
      </c>
      <c r="G11" s="161">
        <v>20.6</v>
      </c>
      <c r="H11" s="162"/>
      <c r="I11" s="158" t="s">
        <v>138</v>
      </c>
      <c r="K11" s="163" t="s">
        <v>142</v>
      </c>
      <c r="L11" s="415"/>
      <c r="M11" s="416"/>
      <c r="N11" s="155">
        <v>1959393</v>
      </c>
      <c r="O11" s="420"/>
      <c r="P11" s="155">
        <v>9900000</v>
      </c>
      <c r="Q11" s="161">
        <v>19.8</v>
      </c>
      <c r="R11" s="164"/>
      <c r="S11" s="163" t="s">
        <v>143</v>
      </c>
    </row>
    <row r="12" spans="1:19" ht="15.75" x14ac:dyDescent="0.25">
      <c r="A12" s="160">
        <v>2016</v>
      </c>
      <c r="B12" s="415"/>
      <c r="C12" s="416"/>
      <c r="D12" s="155">
        <v>27591</v>
      </c>
      <c r="E12" s="420"/>
      <c r="F12" s="155">
        <v>661926</v>
      </c>
      <c r="G12" s="161">
        <v>4.2</v>
      </c>
      <c r="H12" s="162"/>
      <c r="I12" s="158" t="s">
        <v>138</v>
      </c>
      <c r="K12" s="163" t="s">
        <v>144</v>
      </c>
      <c r="L12" s="415"/>
      <c r="M12" s="416"/>
      <c r="N12" s="155">
        <v>2191324</v>
      </c>
      <c r="O12" s="420"/>
      <c r="P12" s="155">
        <v>6580000</v>
      </c>
      <c r="Q12" s="161">
        <v>33.299999999999997</v>
      </c>
      <c r="R12" s="164"/>
      <c r="S12" s="163" t="s">
        <v>143</v>
      </c>
    </row>
    <row r="13" spans="1:19" ht="15.75" x14ac:dyDescent="0.25">
      <c r="A13" s="160">
        <v>2015</v>
      </c>
      <c r="B13" s="415"/>
      <c r="C13" s="416"/>
      <c r="D13" s="155">
        <v>225861</v>
      </c>
      <c r="E13" s="420"/>
      <c r="F13" s="155">
        <v>661926</v>
      </c>
      <c r="G13" s="161">
        <v>34.1</v>
      </c>
      <c r="H13" s="162"/>
      <c r="I13" s="158" t="s">
        <v>138</v>
      </c>
      <c r="K13" s="163" t="s">
        <v>145</v>
      </c>
      <c r="L13" s="415"/>
      <c r="M13" s="416"/>
      <c r="N13" s="155">
        <v>1070319</v>
      </c>
      <c r="O13" s="420"/>
      <c r="P13" s="155">
        <v>6580000</v>
      </c>
      <c r="Q13" s="161">
        <v>16.3</v>
      </c>
      <c r="R13" s="164"/>
      <c r="S13" s="163" t="s">
        <v>143</v>
      </c>
    </row>
    <row r="14" spans="1:19" ht="15.75" x14ac:dyDescent="0.25">
      <c r="A14" s="160">
        <v>2014</v>
      </c>
      <c r="B14" s="415"/>
      <c r="C14" s="416"/>
      <c r="D14" s="155">
        <v>702011</v>
      </c>
      <c r="E14" s="420"/>
      <c r="F14" s="155">
        <v>154352</v>
      </c>
      <c r="G14" s="161">
        <v>454.8</v>
      </c>
      <c r="H14" s="162"/>
      <c r="I14" s="158" t="s">
        <v>138</v>
      </c>
      <c r="K14" s="163" t="s">
        <v>146</v>
      </c>
      <c r="L14" s="415"/>
      <c r="M14" s="416"/>
      <c r="N14" s="155">
        <v>1303837</v>
      </c>
      <c r="O14" s="420"/>
      <c r="P14" s="155">
        <v>6580000</v>
      </c>
      <c r="Q14" s="161">
        <v>19.8</v>
      </c>
      <c r="R14" s="164"/>
      <c r="S14" s="163" t="s">
        <v>143</v>
      </c>
    </row>
    <row r="15" spans="1:19" ht="15.75" x14ac:dyDescent="0.25">
      <c r="A15" s="160">
        <v>2013</v>
      </c>
      <c r="B15" s="415"/>
      <c r="C15" s="416"/>
      <c r="D15" s="155">
        <v>53878</v>
      </c>
      <c r="E15" s="420"/>
      <c r="F15" s="155">
        <v>154352</v>
      </c>
      <c r="G15" s="161">
        <v>34.9</v>
      </c>
      <c r="H15" s="162"/>
      <c r="I15" s="158" t="s">
        <v>138</v>
      </c>
      <c r="K15" s="163" t="s">
        <v>147</v>
      </c>
      <c r="L15" s="415"/>
      <c r="M15" s="416"/>
      <c r="N15" s="155">
        <v>1004441</v>
      </c>
      <c r="O15" s="420"/>
      <c r="P15" s="155">
        <v>6580000</v>
      </c>
      <c r="Q15" s="161">
        <v>15.3</v>
      </c>
      <c r="R15" s="164"/>
      <c r="S15" s="163" t="s">
        <v>143</v>
      </c>
    </row>
    <row r="16" spans="1:19" ht="15.75" x14ac:dyDescent="0.25">
      <c r="A16" s="160">
        <v>2012</v>
      </c>
      <c r="B16" s="417"/>
      <c r="C16" s="418"/>
      <c r="D16" s="155">
        <v>187106</v>
      </c>
      <c r="E16" s="421"/>
      <c r="F16" s="155">
        <v>246365</v>
      </c>
      <c r="G16" s="161">
        <v>75.900000000000006</v>
      </c>
      <c r="H16" s="162"/>
      <c r="I16" s="165" t="s">
        <v>143</v>
      </c>
      <c r="K16" s="163" t="s">
        <v>148</v>
      </c>
      <c r="L16" s="417"/>
      <c r="M16" s="418"/>
      <c r="N16" s="155">
        <v>1719199</v>
      </c>
      <c r="O16" s="421"/>
      <c r="P16" s="155">
        <v>6580000</v>
      </c>
      <c r="Q16" s="161">
        <v>26.1</v>
      </c>
      <c r="R16" s="164"/>
      <c r="S16" s="163" t="s">
        <v>143</v>
      </c>
    </row>
    <row r="17" spans="1:19" ht="15.75" x14ac:dyDescent="0.25">
      <c r="A17" s="432"/>
      <c r="B17" s="433"/>
      <c r="C17" s="433"/>
      <c r="D17" s="433"/>
      <c r="E17" s="433"/>
      <c r="F17" s="433"/>
      <c r="G17" s="433"/>
      <c r="H17" s="433"/>
      <c r="I17" s="434"/>
      <c r="K17" s="431"/>
      <c r="L17" s="431"/>
      <c r="M17" s="431"/>
      <c r="N17" s="431"/>
      <c r="O17" s="431"/>
      <c r="P17" s="431"/>
      <c r="Q17" s="431"/>
      <c r="R17" s="431"/>
      <c r="S17" s="431"/>
    </row>
    <row r="18" spans="1:19" ht="15.75" x14ac:dyDescent="0.25">
      <c r="A18" s="426" t="s">
        <v>39</v>
      </c>
      <c r="B18" s="427"/>
      <c r="C18" s="427"/>
      <c r="D18" s="427"/>
      <c r="E18" s="427"/>
      <c r="F18" s="427"/>
      <c r="G18" s="427"/>
      <c r="H18" s="427"/>
      <c r="I18" s="428"/>
      <c r="K18" s="426" t="s">
        <v>149</v>
      </c>
      <c r="L18" s="427"/>
      <c r="M18" s="427"/>
      <c r="N18" s="427"/>
      <c r="O18" s="427"/>
      <c r="P18" s="427"/>
      <c r="Q18" s="427"/>
      <c r="R18" s="427"/>
      <c r="S18" s="428"/>
    </row>
    <row r="19" spans="1:19" ht="31.5" customHeight="1" x14ac:dyDescent="0.25">
      <c r="A19" s="166" t="s">
        <v>20</v>
      </c>
      <c r="B19" s="435" t="s">
        <v>128</v>
      </c>
      <c r="C19" s="436"/>
      <c r="D19" s="166" t="s">
        <v>129</v>
      </c>
      <c r="E19" s="166" t="s">
        <v>130</v>
      </c>
      <c r="F19" s="166" t="s">
        <v>131</v>
      </c>
      <c r="G19" s="166" t="s">
        <v>132</v>
      </c>
      <c r="H19" s="167" t="s">
        <v>133</v>
      </c>
      <c r="I19" s="168" t="s">
        <v>134</v>
      </c>
      <c r="K19" s="150" t="s">
        <v>20</v>
      </c>
      <c r="L19" s="411" t="s">
        <v>128</v>
      </c>
      <c r="M19" s="412"/>
      <c r="N19" s="150" t="s">
        <v>129</v>
      </c>
      <c r="O19" s="150" t="s">
        <v>130</v>
      </c>
      <c r="P19" s="150" t="s">
        <v>131</v>
      </c>
      <c r="Q19" s="150" t="s">
        <v>132</v>
      </c>
      <c r="R19" s="150" t="s">
        <v>133</v>
      </c>
      <c r="S19" s="150" t="s">
        <v>134</v>
      </c>
    </row>
    <row r="20" spans="1:19" s="159" customFormat="1" ht="18" x14ac:dyDescent="0.25">
      <c r="A20" s="153" t="s">
        <v>135</v>
      </c>
      <c r="B20" s="429" t="s">
        <v>136</v>
      </c>
      <c r="C20" s="429"/>
      <c r="D20" s="169">
        <v>7357</v>
      </c>
      <c r="E20" s="429" t="s">
        <v>137</v>
      </c>
      <c r="F20" s="169">
        <v>49021</v>
      </c>
      <c r="G20" s="170">
        <v>15</v>
      </c>
      <c r="H20" s="171"/>
      <c r="I20" s="172" t="s">
        <v>138</v>
      </c>
      <c r="K20" s="153" t="s">
        <v>135</v>
      </c>
      <c r="L20" s="413" t="s">
        <v>136</v>
      </c>
      <c r="M20" s="414"/>
      <c r="N20" s="154">
        <v>83763</v>
      </c>
      <c r="O20" s="419" t="s">
        <v>150</v>
      </c>
      <c r="P20" s="154">
        <v>121318</v>
      </c>
      <c r="Q20" s="173">
        <v>69</v>
      </c>
      <c r="R20" s="153"/>
      <c r="S20" s="158" t="s">
        <v>138</v>
      </c>
    </row>
    <row r="21" spans="1:19" s="159" customFormat="1" ht="15.75" x14ac:dyDescent="0.25">
      <c r="A21" s="171">
        <v>2018</v>
      </c>
      <c r="B21" s="429"/>
      <c r="C21" s="429"/>
      <c r="D21" s="171">
        <v>287</v>
      </c>
      <c r="E21" s="429"/>
      <c r="F21" s="169">
        <v>49021</v>
      </c>
      <c r="G21" s="171">
        <v>0.6</v>
      </c>
      <c r="H21" s="171"/>
      <c r="I21" s="172" t="s">
        <v>138</v>
      </c>
      <c r="K21" s="171">
        <v>2018</v>
      </c>
      <c r="L21" s="415"/>
      <c r="M21" s="416"/>
      <c r="N21" s="154">
        <v>76491</v>
      </c>
      <c r="O21" s="421"/>
      <c r="P21" s="154">
        <v>121318</v>
      </c>
      <c r="Q21" s="153">
        <v>63.1</v>
      </c>
      <c r="R21" s="153"/>
      <c r="S21" s="158" t="s">
        <v>138</v>
      </c>
    </row>
    <row r="22" spans="1:19" ht="15.75" customHeight="1" x14ac:dyDescent="0.25">
      <c r="A22" s="174">
        <v>2017</v>
      </c>
      <c r="B22" s="429"/>
      <c r="C22" s="429"/>
      <c r="D22" s="169">
        <v>9756</v>
      </c>
      <c r="E22" s="429"/>
      <c r="F22" s="169">
        <v>49021</v>
      </c>
      <c r="G22" s="175">
        <v>19.899999999999999</v>
      </c>
      <c r="H22" s="176"/>
      <c r="I22" s="172" t="s">
        <v>138</v>
      </c>
      <c r="K22" s="160">
        <v>2017</v>
      </c>
      <c r="L22" s="415"/>
      <c r="M22" s="416"/>
      <c r="N22" s="155">
        <v>494566</v>
      </c>
      <c r="O22" s="419" t="s">
        <v>137</v>
      </c>
      <c r="P22" s="155">
        <v>768857</v>
      </c>
      <c r="Q22" s="161">
        <v>64.3</v>
      </c>
      <c r="R22" s="164"/>
      <c r="S22" s="163" t="s">
        <v>143</v>
      </c>
    </row>
    <row r="23" spans="1:19" ht="15.75" x14ac:dyDescent="0.25">
      <c r="A23" s="174">
        <v>2016</v>
      </c>
      <c r="B23" s="429"/>
      <c r="C23" s="429"/>
      <c r="D23" s="169">
        <v>2005</v>
      </c>
      <c r="E23" s="429"/>
      <c r="F23" s="169">
        <v>49021</v>
      </c>
      <c r="G23" s="175">
        <v>4.0999999999999996</v>
      </c>
      <c r="H23" s="177"/>
      <c r="I23" s="172" t="s">
        <v>138</v>
      </c>
      <c r="K23" s="160">
        <v>2016</v>
      </c>
      <c r="L23" s="415"/>
      <c r="M23" s="416"/>
      <c r="N23" s="155">
        <v>608480</v>
      </c>
      <c r="O23" s="420"/>
      <c r="P23" s="155">
        <v>768857</v>
      </c>
      <c r="Q23" s="161">
        <v>79.099999999999994</v>
      </c>
      <c r="R23" s="164"/>
      <c r="S23" s="163" t="s">
        <v>143</v>
      </c>
    </row>
    <row r="24" spans="1:19" ht="15.75" x14ac:dyDescent="0.25">
      <c r="A24" s="174">
        <v>2015</v>
      </c>
      <c r="B24" s="429"/>
      <c r="C24" s="429"/>
      <c r="D24" s="169">
        <v>4612</v>
      </c>
      <c r="E24" s="429"/>
      <c r="F24" s="169">
        <v>49021</v>
      </c>
      <c r="G24" s="175">
        <v>9.4</v>
      </c>
      <c r="H24" s="177"/>
      <c r="I24" s="172" t="s">
        <v>138</v>
      </c>
      <c r="K24" s="160">
        <v>2015</v>
      </c>
      <c r="L24" s="415"/>
      <c r="M24" s="416"/>
      <c r="N24" s="155">
        <v>707119</v>
      </c>
      <c r="O24" s="420"/>
      <c r="P24" s="155">
        <v>768857</v>
      </c>
      <c r="Q24" s="161">
        <v>92</v>
      </c>
      <c r="R24" s="164"/>
      <c r="S24" s="163" t="s">
        <v>143</v>
      </c>
    </row>
    <row r="25" spans="1:19" ht="15.75" x14ac:dyDescent="0.25">
      <c r="A25" s="174">
        <v>2014</v>
      </c>
      <c r="B25" s="429"/>
      <c r="C25" s="429"/>
      <c r="D25" s="169">
        <v>1979</v>
      </c>
      <c r="E25" s="429"/>
      <c r="F25" s="169">
        <v>19515</v>
      </c>
      <c r="G25" s="175">
        <v>10.1</v>
      </c>
      <c r="H25" s="177"/>
      <c r="I25" s="172" t="s">
        <v>138</v>
      </c>
      <c r="K25" s="160">
        <v>2014</v>
      </c>
      <c r="L25" s="415"/>
      <c r="M25" s="416"/>
      <c r="N25" s="155">
        <v>518320</v>
      </c>
      <c r="O25" s="420"/>
      <c r="P25" s="155">
        <v>768857</v>
      </c>
      <c r="Q25" s="161">
        <v>67.400000000000006</v>
      </c>
      <c r="R25" s="164"/>
      <c r="S25" s="163" t="s">
        <v>143</v>
      </c>
    </row>
    <row r="26" spans="1:19" ht="15.75" x14ac:dyDescent="0.25">
      <c r="A26" s="174">
        <v>2013</v>
      </c>
      <c r="B26" s="429"/>
      <c r="C26" s="429"/>
      <c r="D26" s="169">
        <v>2209</v>
      </c>
      <c r="E26" s="429"/>
      <c r="F26" s="169">
        <v>19515</v>
      </c>
      <c r="G26" s="175">
        <v>11.3</v>
      </c>
      <c r="H26" s="177"/>
      <c r="I26" s="172" t="s">
        <v>138</v>
      </c>
      <c r="K26" s="160">
        <v>2013</v>
      </c>
      <c r="L26" s="415"/>
      <c r="M26" s="416"/>
      <c r="N26" s="155">
        <v>481731</v>
      </c>
      <c r="O26" s="420"/>
      <c r="P26" s="155">
        <v>768857</v>
      </c>
      <c r="Q26" s="161">
        <v>62.7</v>
      </c>
      <c r="R26" s="164"/>
      <c r="S26" s="163" t="s">
        <v>143</v>
      </c>
    </row>
    <row r="27" spans="1:19" ht="15.75" x14ac:dyDescent="0.25">
      <c r="A27" s="174">
        <v>2012</v>
      </c>
      <c r="B27" s="429"/>
      <c r="C27" s="429"/>
      <c r="D27" s="169">
        <v>2559</v>
      </c>
      <c r="E27" s="429"/>
      <c r="F27" s="169">
        <v>13834</v>
      </c>
      <c r="G27" s="175">
        <v>18.5</v>
      </c>
      <c r="H27" s="177"/>
      <c r="I27" s="178" t="s">
        <v>143</v>
      </c>
      <c r="K27" s="160">
        <v>2012</v>
      </c>
      <c r="L27" s="417"/>
      <c r="M27" s="418"/>
      <c r="N27" s="155">
        <v>470028</v>
      </c>
      <c r="O27" s="421"/>
      <c r="P27" s="155">
        <v>768857</v>
      </c>
      <c r="Q27" s="161">
        <v>61.1</v>
      </c>
      <c r="R27" s="164"/>
      <c r="S27" s="163" t="s">
        <v>143</v>
      </c>
    </row>
    <row r="28" spans="1:19" ht="15.75" x14ac:dyDescent="0.25">
      <c r="A28" s="430"/>
      <c r="B28" s="430"/>
      <c r="C28" s="430"/>
      <c r="D28" s="430"/>
      <c r="E28" s="430"/>
      <c r="F28" s="430"/>
      <c r="G28" s="430"/>
      <c r="H28" s="430"/>
      <c r="I28" s="430"/>
      <c r="K28" s="431"/>
      <c r="L28" s="431"/>
      <c r="M28" s="431"/>
      <c r="N28" s="431"/>
      <c r="O28" s="431"/>
      <c r="P28" s="431"/>
      <c r="Q28" s="431"/>
      <c r="R28" s="431"/>
      <c r="S28" s="431"/>
    </row>
    <row r="29" spans="1:19" ht="15.75" x14ac:dyDescent="0.25">
      <c r="A29" s="426" t="s">
        <v>114</v>
      </c>
      <c r="B29" s="427"/>
      <c r="C29" s="427"/>
      <c r="D29" s="427"/>
      <c r="E29" s="427"/>
      <c r="F29" s="427"/>
      <c r="G29" s="427"/>
      <c r="H29" s="427"/>
      <c r="I29" s="428"/>
      <c r="K29" s="437" t="s">
        <v>151</v>
      </c>
      <c r="L29" s="438"/>
      <c r="M29" s="438"/>
      <c r="N29" s="438"/>
      <c r="O29" s="438"/>
      <c r="P29" s="438"/>
      <c r="Q29" s="438"/>
      <c r="R29" s="438"/>
      <c r="S29" s="439"/>
    </row>
    <row r="30" spans="1:19" ht="31.5" x14ac:dyDescent="0.25">
      <c r="A30" s="166" t="s">
        <v>20</v>
      </c>
      <c r="B30" s="166" t="s">
        <v>128</v>
      </c>
      <c r="C30" s="166" t="s">
        <v>152</v>
      </c>
      <c r="D30" s="166" t="s">
        <v>129</v>
      </c>
      <c r="E30" s="166" t="s">
        <v>130</v>
      </c>
      <c r="F30" s="166" t="s">
        <v>131</v>
      </c>
      <c r="G30" s="166" t="s">
        <v>132</v>
      </c>
      <c r="H30" s="166" t="s">
        <v>133</v>
      </c>
      <c r="I30" s="167" t="s">
        <v>134</v>
      </c>
      <c r="K30" s="440" t="s">
        <v>153</v>
      </c>
      <c r="L30" s="441"/>
      <c r="M30" s="441"/>
      <c r="N30" s="441"/>
      <c r="O30" s="441"/>
      <c r="P30" s="441"/>
      <c r="Q30" s="441"/>
      <c r="R30" s="441"/>
      <c r="S30" s="442"/>
    </row>
    <row r="31" spans="1:19" ht="31.5" x14ac:dyDescent="0.25">
      <c r="A31" s="153" t="s">
        <v>135</v>
      </c>
      <c r="B31" s="416" t="s">
        <v>136</v>
      </c>
      <c r="C31" s="415" t="s">
        <v>154</v>
      </c>
      <c r="D31" s="179">
        <v>13693</v>
      </c>
      <c r="E31" s="444" t="s">
        <v>137</v>
      </c>
      <c r="F31" s="180">
        <v>165750</v>
      </c>
      <c r="G31" s="171">
        <v>8.3000000000000007</v>
      </c>
      <c r="H31" s="171"/>
      <c r="I31" s="181" t="s">
        <v>143</v>
      </c>
      <c r="K31" s="150" t="s">
        <v>20</v>
      </c>
      <c r="L31" s="411" t="s">
        <v>128</v>
      </c>
      <c r="M31" s="412"/>
      <c r="N31" s="150" t="s">
        <v>129</v>
      </c>
      <c r="O31" s="150" t="s">
        <v>130</v>
      </c>
      <c r="P31" s="150" t="s">
        <v>131</v>
      </c>
      <c r="Q31" s="150" t="s">
        <v>132</v>
      </c>
      <c r="R31" s="150" t="s">
        <v>133</v>
      </c>
      <c r="S31" s="150" t="s">
        <v>134</v>
      </c>
    </row>
    <row r="32" spans="1:19" ht="15.75" customHeight="1" x14ac:dyDescent="0.25">
      <c r="A32" s="171">
        <v>2018</v>
      </c>
      <c r="B32" s="416"/>
      <c r="C32" s="415"/>
      <c r="D32" s="179">
        <v>121221</v>
      </c>
      <c r="E32" s="444"/>
      <c r="F32" s="180">
        <v>165750</v>
      </c>
      <c r="G32" s="171">
        <v>73.099999999999994</v>
      </c>
      <c r="H32" s="171"/>
      <c r="I32" s="181" t="s">
        <v>143</v>
      </c>
      <c r="K32" s="153" t="s">
        <v>135</v>
      </c>
      <c r="L32" s="445" t="s">
        <v>136</v>
      </c>
      <c r="M32" s="414"/>
      <c r="N32" s="154">
        <v>47978</v>
      </c>
      <c r="O32" s="419" t="s">
        <v>137</v>
      </c>
      <c r="P32" s="155">
        <v>106914</v>
      </c>
      <c r="Q32" s="153">
        <v>44.9</v>
      </c>
      <c r="R32" s="153"/>
      <c r="S32" s="163" t="s">
        <v>138</v>
      </c>
    </row>
    <row r="33" spans="1:19" ht="15.75" x14ac:dyDescent="0.25">
      <c r="A33" s="182">
        <v>2017</v>
      </c>
      <c r="B33" s="420"/>
      <c r="C33" s="420"/>
      <c r="D33" s="180">
        <v>86454</v>
      </c>
      <c r="E33" s="420"/>
      <c r="F33" s="180">
        <v>165750</v>
      </c>
      <c r="G33" s="183">
        <v>52.2</v>
      </c>
      <c r="H33" s="184"/>
      <c r="I33" s="181" t="s">
        <v>143</v>
      </c>
      <c r="K33" s="171">
        <v>2018</v>
      </c>
      <c r="L33" s="444"/>
      <c r="M33" s="416"/>
      <c r="N33" s="154">
        <v>96470</v>
      </c>
      <c r="O33" s="420"/>
      <c r="P33" s="155">
        <v>106914</v>
      </c>
      <c r="Q33" s="153">
        <v>90.2</v>
      </c>
      <c r="R33" s="153"/>
      <c r="S33" s="163" t="s">
        <v>138</v>
      </c>
    </row>
    <row r="34" spans="1:19" ht="15.75" x14ac:dyDescent="0.25">
      <c r="A34" s="185">
        <v>2016</v>
      </c>
      <c r="B34" s="420"/>
      <c r="C34" s="420"/>
      <c r="D34" s="155">
        <v>116547</v>
      </c>
      <c r="E34" s="420"/>
      <c r="F34" s="155">
        <v>165750</v>
      </c>
      <c r="G34" s="161">
        <v>70.3</v>
      </c>
      <c r="H34" s="164"/>
      <c r="I34" s="186" t="s">
        <v>143</v>
      </c>
      <c r="K34" s="160">
        <v>2017</v>
      </c>
      <c r="L34" s="444"/>
      <c r="M34" s="416"/>
      <c r="N34" s="155">
        <v>70671</v>
      </c>
      <c r="O34" s="420"/>
      <c r="P34" s="155">
        <v>106914</v>
      </c>
      <c r="Q34" s="161">
        <v>66.099999999999994</v>
      </c>
      <c r="R34" s="164"/>
      <c r="S34" s="163" t="s">
        <v>138</v>
      </c>
    </row>
    <row r="35" spans="1:19" ht="15.75" x14ac:dyDescent="0.25">
      <c r="A35" s="185">
        <v>2015</v>
      </c>
      <c r="B35" s="420"/>
      <c r="C35" s="420"/>
      <c r="D35" s="155">
        <v>128557</v>
      </c>
      <c r="E35" s="420"/>
      <c r="F35" s="155">
        <v>165750</v>
      </c>
      <c r="G35" s="161">
        <v>77.599999999999994</v>
      </c>
      <c r="H35" s="164"/>
      <c r="I35" s="186" t="s">
        <v>143</v>
      </c>
      <c r="K35" s="160">
        <v>2016</v>
      </c>
      <c r="L35" s="444"/>
      <c r="M35" s="416"/>
      <c r="N35" s="155">
        <v>140105</v>
      </c>
      <c r="O35" s="420"/>
      <c r="P35" s="155">
        <v>106914</v>
      </c>
      <c r="Q35" s="161">
        <v>131</v>
      </c>
      <c r="R35" s="187">
        <v>42616</v>
      </c>
      <c r="S35" s="163" t="s">
        <v>138</v>
      </c>
    </row>
    <row r="36" spans="1:19" ht="15.75" x14ac:dyDescent="0.25">
      <c r="A36" s="185">
        <v>2014</v>
      </c>
      <c r="B36" s="420"/>
      <c r="C36" s="420"/>
      <c r="D36" s="155">
        <v>57031</v>
      </c>
      <c r="E36" s="420"/>
      <c r="F36" s="155">
        <v>165750</v>
      </c>
      <c r="G36" s="161">
        <v>34.4</v>
      </c>
      <c r="H36" s="164"/>
      <c r="I36" s="186" t="s">
        <v>143</v>
      </c>
      <c r="K36" s="160">
        <v>2015</v>
      </c>
      <c r="L36" s="444"/>
      <c r="M36" s="416"/>
      <c r="N36" s="155">
        <v>111577</v>
      </c>
      <c r="O36" s="420"/>
      <c r="P36" s="155">
        <v>106914</v>
      </c>
      <c r="Q36" s="161">
        <v>104.4</v>
      </c>
      <c r="R36" s="164"/>
      <c r="S36" s="163" t="s">
        <v>138</v>
      </c>
    </row>
    <row r="37" spans="1:19" ht="15.75" customHeight="1" x14ac:dyDescent="0.25">
      <c r="A37" s="185">
        <v>2013</v>
      </c>
      <c r="B37" s="420"/>
      <c r="C37" s="420"/>
      <c r="D37" s="155">
        <v>99096</v>
      </c>
      <c r="E37" s="420"/>
      <c r="F37" s="155">
        <v>161859</v>
      </c>
      <c r="G37" s="161">
        <v>61.2</v>
      </c>
      <c r="H37" s="164"/>
      <c r="I37" s="186" t="s">
        <v>143</v>
      </c>
      <c r="K37" s="160">
        <v>2014</v>
      </c>
      <c r="L37" s="444"/>
      <c r="M37" s="416"/>
      <c r="N37" s="155">
        <v>128231</v>
      </c>
      <c r="O37" s="420"/>
      <c r="P37" s="155">
        <v>106914</v>
      </c>
      <c r="Q37" s="161">
        <v>119.9</v>
      </c>
      <c r="R37" s="164"/>
      <c r="S37" s="163" t="s">
        <v>138</v>
      </c>
    </row>
    <row r="38" spans="1:19" ht="15.75" customHeight="1" x14ac:dyDescent="0.25">
      <c r="A38" s="188">
        <v>2012</v>
      </c>
      <c r="B38" s="443"/>
      <c r="C38" s="443"/>
      <c r="D38" s="189">
        <v>147446</v>
      </c>
      <c r="E38" s="443"/>
      <c r="F38" s="189">
        <v>155020</v>
      </c>
      <c r="G38" s="190">
        <v>95.1</v>
      </c>
      <c r="H38" s="191"/>
      <c r="I38" s="192" t="s">
        <v>143</v>
      </c>
      <c r="K38" s="160">
        <v>2013</v>
      </c>
      <c r="L38" s="444"/>
      <c r="M38" s="416"/>
      <c r="N38" s="155">
        <v>117293</v>
      </c>
      <c r="O38" s="420"/>
      <c r="P38" s="155">
        <v>106914</v>
      </c>
      <c r="Q38" s="161">
        <v>109.7</v>
      </c>
      <c r="R38" s="164"/>
      <c r="S38" s="163" t="s">
        <v>138</v>
      </c>
    </row>
    <row r="39" spans="1:19" ht="15.75" x14ac:dyDescent="0.25">
      <c r="A39" s="447" t="s">
        <v>155</v>
      </c>
      <c r="B39" s="448"/>
      <c r="C39" s="448"/>
      <c r="D39" s="448"/>
      <c r="E39" s="448"/>
      <c r="F39" s="448"/>
      <c r="G39" s="448"/>
      <c r="H39" s="448"/>
      <c r="I39" s="449"/>
      <c r="K39" s="160">
        <v>2012</v>
      </c>
      <c r="L39" s="446"/>
      <c r="M39" s="418"/>
      <c r="N39" s="155">
        <v>125641</v>
      </c>
      <c r="O39" s="421"/>
      <c r="P39" s="155">
        <v>112485</v>
      </c>
      <c r="Q39" s="161">
        <v>111.7</v>
      </c>
      <c r="R39" s="164"/>
      <c r="S39" s="163" t="s">
        <v>143</v>
      </c>
    </row>
    <row r="40" spans="1:19" ht="15.75" x14ac:dyDescent="0.25">
      <c r="A40" s="450"/>
      <c r="B40" s="451"/>
      <c r="C40" s="451"/>
      <c r="D40" s="451"/>
      <c r="E40" s="451"/>
      <c r="F40" s="451"/>
      <c r="G40" s="451"/>
      <c r="H40" s="451"/>
      <c r="I40" s="452"/>
      <c r="K40" s="431"/>
      <c r="L40" s="431"/>
      <c r="M40" s="431"/>
      <c r="N40" s="431"/>
      <c r="O40" s="431"/>
      <c r="P40" s="431"/>
      <c r="Q40" s="431"/>
      <c r="R40" s="431"/>
      <c r="S40" s="431"/>
    </row>
    <row r="41" spans="1:19" ht="15.75" x14ac:dyDescent="0.25">
      <c r="A41" s="430"/>
      <c r="B41" s="430"/>
      <c r="C41" s="430"/>
      <c r="D41" s="430"/>
      <c r="E41" s="430"/>
      <c r="F41" s="430"/>
      <c r="G41" s="430"/>
      <c r="H41" s="430"/>
      <c r="I41" s="430"/>
      <c r="K41" s="426" t="s">
        <v>156</v>
      </c>
      <c r="L41" s="427"/>
      <c r="M41" s="427"/>
      <c r="N41" s="427"/>
      <c r="O41" s="427"/>
      <c r="P41" s="427"/>
      <c r="Q41" s="427"/>
      <c r="R41" s="427"/>
      <c r="S41" s="428"/>
    </row>
    <row r="42" spans="1:19" ht="31.5" x14ac:dyDescent="0.25">
      <c r="A42" s="426" t="s">
        <v>157</v>
      </c>
      <c r="B42" s="427"/>
      <c r="C42" s="427"/>
      <c r="D42" s="427"/>
      <c r="E42" s="427"/>
      <c r="F42" s="427"/>
      <c r="G42" s="427"/>
      <c r="H42" s="427"/>
      <c r="I42" s="428"/>
      <c r="K42" s="150" t="s">
        <v>20</v>
      </c>
      <c r="L42" s="411" t="s">
        <v>128</v>
      </c>
      <c r="M42" s="412"/>
      <c r="N42" s="150" t="s">
        <v>129</v>
      </c>
      <c r="O42" s="150" t="s">
        <v>130</v>
      </c>
      <c r="P42" s="150" t="s">
        <v>131</v>
      </c>
      <c r="Q42" s="150" t="s">
        <v>132</v>
      </c>
      <c r="R42" s="150" t="s">
        <v>133</v>
      </c>
      <c r="S42" s="150" t="s">
        <v>134</v>
      </c>
    </row>
    <row r="43" spans="1:19" ht="31.5" x14ac:dyDescent="0.25">
      <c r="A43" s="166" t="s">
        <v>20</v>
      </c>
      <c r="B43" s="435" t="s">
        <v>128</v>
      </c>
      <c r="C43" s="436"/>
      <c r="D43" s="166" t="s">
        <v>129</v>
      </c>
      <c r="E43" s="166" t="s">
        <v>130</v>
      </c>
      <c r="F43" s="166" t="s">
        <v>131</v>
      </c>
      <c r="G43" s="166" t="s">
        <v>132</v>
      </c>
      <c r="H43" s="166" t="s">
        <v>133</v>
      </c>
      <c r="I43" s="167" t="s">
        <v>134</v>
      </c>
      <c r="K43" s="153" t="s">
        <v>135</v>
      </c>
      <c r="L43" s="413" t="s">
        <v>136</v>
      </c>
      <c r="M43" s="414"/>
      <c r="N43" s="155">
        <v>77829</v>
      </c>
      <c r="O43" s="419" t="s">
        <v>137</v>
      </c>
      <c r="P43" s="154">
        <v>84000</v>
      </c>
      <c r="Q43" s="153">
        <v>92.7</v>
      </c>
      <c r="R43" s="153"/>
      <c r="S43" s="153" t="s">
        <v>138</v>
      </c>
    </row>
    <row r="44" spans="1:19" ht="15.75" customHeight="1" x14ac:dyDescent="0.25">
      <c r="A44" s="182">
        <v>2011</v>
      </c>
      <c r="B44" s="453" t="s">
        <v>136</v>
      </c>
      <c r="C44" s="454"/>
      <c r="D44" s="180">
        <v>308215</v>
      </c>
      <c r="E44" s="455" t="s">
        <v>158</v>
      </c>
      <c r="F44" s="180">
        <v>648663</v>
      </c>
      <c r="G44" s="183">
        <v>47.5</v>
      </c>
      <c r="H44" s="184"/>
      <c r="I44" s="181" t="s">
        <v>143</v>
      </c>
      <c r="K44" s="171">
        <v>2018</v>
      </c>
      <c r="L44" s="415"/>
      <c r="M44" s="416"/>
      <c r="N44" s="154">
        <v>153844</v>
      </c>
      <c r="O44" s="420"/>
      <c r="P44" s="154">
        <v>77840</v>
      </c>
      <c r="Q44" s="153">
        <v>197.6</v>
      </c>
      <c r="R44" s="193">
        <v>43446</v>
      </c>
      <c r="S44" s="153" t="s">
        <v>138</v>
      </c>
    </row>
    <row r="45" spans="1:19" ht="15.75" customHeight="1" x14ac:dyDescent="0.25">
      <c r="A45" s="194">
        <v>2010</v>
      </c>
      <c r="B45" s="415"/>
      <c r="C45" s="416"/>
      <c r="D45" s="195">
        <v>293564</v>
      </c>
      <c r="E45" s="420"/>
      <c r="F45" s="195">
        <v>648663</v>
      </c>
      <c r="G45" s="196">
        <v>45.3</v>
      </c>
      <c r="H45" s="197"/>
      <c r="I45" s="198" t="s">
        <v>143</v>
      </c>
      <c r="K45" s="160">
        <v>2017</v>
      </c>
      <c r="L45" s="415"/>
      <c r="M45" s="416"/>
      <c r="N45" s="155">
        <v>96430</v>
      </c>
      <c r="O45" s="420"/>
      <c r="P45" s="155">
        <v>436800</v>
      </c>
      <c r="Q45" s="161">
        <v>22.1</v>
      </c>
      <c r="R45" s="164"/>
      <c r="S45" s="163" t="s">
        <v>143</v>
      </c>
    </row>
    <row r="46" spans="1:19" ht="15.75" x14ac:dyDescent="0.25">
      <c r="A46" s="447" t="s">
        <v>159</v>
      </c>
      <c r="B46" s="448"/>
      <c r="C46" s="448"/>
      <c r="D46" s="448"/>
      <c r="E46" s="448"/>
      <c r="F46" s="448"/>
      <c r="G46" s="448"/>
      <c r="H46" s="448"/>
      <c r="I46" s="449"/>
      <c r="K46" s="160">
        <v>2016</v>
      </c>
      <c r="L46" s="415"/>
      <c r="M46" s="416"/>
      <c r="N46" s="155">
        <v>155271</v>
      </c>
      <c r="O46" s="420"/>
      <c r="P46" s="155">
        <v>436800</v>
      </c>
      <c r="Q46" s="161">
        <v>35.5</v>
      </c>
      <c r="R46" s="164"/>
      <c r="S46" s="163" t="s">
        <v>143</v>
      </c>
    </row>
    <row r="47" spans="1:19" ht="15.75" x14ac:dyDescent="0.25">
      <c r="A47" s="450"/>
      <c r="B47" s="451"/>
      <c r="C47" s="451"/>
      <c r="D47" s="451"/>
      <c r="E47" s="451"/>
      <c r="F47" s="451"/>
      <c r="G47" s="451"/>
      <c r="H47" s="451"/>
      <c r="I47" s="452"/>
      <c r="K47" s="160">
        <v>2015</v>
      </c>
      <c r="L47" s="415"/>
      <c r="M47" s="416"/>
      <c r="N47" s="155">
        <v>128213</v>
      </c>
      <c r="O47" s="420"/>
      <c r="P47" s="155">
        <v>436800</v>
      </c>
      <c r="Q47" s="161">
        <v>29.4</v>
      </c>
      <c r="R47" s="164"/>
      <c r="S47" s="163" t="s">
        <v>143</v>
      </c>
    </row>
    <row r="48" spans="1:19" ht="15.75" x14ac:dyDescent="0.25">
      <c r="A48" s="430"/>
      <c r="B48" s="430"/>
      <c r="C48" s="430"/>
      <c r="D48" s="430"/>
      <c r="E48" s="430"/>
      <c r="F48" s="430"/>
      <c r="G48" s="430"/>
      <c r="H48" s="430"/>
      <c r="I48" s="430"/>
      <c r="K48" s="160">
        <v>2014</v>
      </c>
      <c r="L48" s="415"/>
      <c r="M48" s="416"/>
      <c r="N48" s="155">
        <v>38756</v>
      </c>
      <c r="O48" s="420"/>
      <c r="P48" s="155">
        <v>436800</v>
      </c>
      <c r="Q48" s="161">
        <v>8.9</v>
      </c>
      <c r="R48" s="164"/>
      <c r="S48" s="163" t="s">
        <v>143</v>
      </c>
    </row>
    <row r="49" spans="1:19" ht="15.75" x14ac:dyDescent="0.25">
      <c r="A49" s="426" t="s">
        <v>160</v>
      </c>
      <c r="B49" s="427"/>
      <c r="C49" s="427"/>
      <c r="D49" s="427"/>
      <c r="E49" s="427"/>
      <c r="F49" s="427"/>
      <c r="G49" s="427"/>
      <c r="H49" s="427"/>
      <c r="I49" s="428"/>
      <c r="K49" s="160">
        <v>2013</v>
      </c>
      <c r="L49" s="415"/>
      <c r="M49" s="416"/>
      <c r="N49" s="155">
        <v>87123</v>
      </c>
      <c r="O49" s="420"/>
      <c r="P49" s="155">
        <v>402080</v>
      </c>
      <c r="Q49" s="161">
        <v>21.7</v>
      </c>
      <c r="R49" s="164"/>
      <c r="S49" s="163" t="s">
        <v>143</v>
      </c>
    </row>
    <row r="50" spans="1:19" ht="31.5" x14ac:dyDescent="0.25">
      <c r="A50" s="150" t="s">
        <v>20</v>
      </c>
      <c r="B50" s="411" t="s">
        <v>128</v>
      </c>
      <c r="C50" s="412"/>
      <c r="D50" s="150" t="s">
        <v>129</v>
      </c>
      <c r="E50" s="150" t="s">
        <v>130</v>
      </c>
      <c r="F50" s="150" t="s">
        <v>131</v>
      </c>
      <c r="G50" s="150" t="s">
        <v>132</v>
      </c>
      <c r="H50" s="150" t="s">
        <v>133</v>
      </c>
      <c r="I50" s="167" t="s">
        <v>134</v>
      </c>
      <c r="K50" s="160">
        <v>2012</v>
      </c>
      <c r="L50" s="417"/>
      <c r="M50" s="418"/>
      <c r="N50" s="155">
        <v>101604</v>
      </c>
      <c r="O50" s="421"/>
      <c r="P50" s="155">
        <v>362320</v>
      </c>
      <c r="Q50" s="161">
        <v>28</v>
      </c>
      <c r="R50" s="164"/>
      <c r="S50" s="163" t="s">
        <v>143</v>
      </c>
    </row>
    <row r="51" spans="1:19" ht="15.75" customHeight="1" x14ac:dyDescent="0.25">
      <c r="A51" s="153" t="s">
        <v>139</v>
      </c>
      <c r="B51" s="413" t="s">
        <v>161</v>
      </c>
      <c r="C51" s="414"/>
      <c r="D51" s="155">
        <v>75849</v>
      </c>
      <c r="E51" s="419" t="s">
        <v>137</v>
      </c>
      <c r="F51" s="155">
        <v>1001177</v>
      </c>
      <c r="G51" s="153">
        <v>7.6</v>
      </c>
      <c r="H51" s="157"/>
      <c r="I51" s="199" t="s">
        <v>138</v>
      </c>
      <c r="K51" s="431"/>
      <c r="L51" s="431"/>
      <c r="M51" s="431"/>
      <c r="N51" s="431"/>
      <c r="O51" s="431"/>
      <c r="P51" s="431"/>
      <c r="Q51" s="431"/>
      <c r="R51" s="431"/>
      <c r="S51" s="431"/>
    </row>
    <row r="52" spans="1:19" ht="15.75" x14ac:dyDescent="0.25">
      <c r="A52" s="153" t="s">
        <v>141</v>
      </c>
      <c r="B52" s="415"/>
      <c r="C52" s="416"/>
      <c r="D52" s="155">
        <v>191778</v>
      </c>
      <c r="E52" s="420"/>
      <c r="F52" s="155">
        <v>1001177</v>
      </c>
      <c r="G52" s="153">
        <v>19.2</v>
      </c>
      <c r="H52" s="157"/>
      <c r="I52" s="199" t="s">
        <v>138</v>
      </c>
      <c r="K52" s="426" t="s">
        <v>162</v>
      </c>
      <c r="L52" s="427"/>
      <c r="M52" s="427"/>
      <c r="N52" s="427"/>
      <c r="O52" s="427"/>
      <c r="P52" s="427"/>
      <c r="Q52" s="427"/>
      <c r="R52" s="427"/>
      <c r="S52" s="428"/>
    </row>
    <row r="53" spans="1:19" ht="31.5" x14ac:dyDescent="0.25">
      <c r="A53" s="163" t="s">
        <v>142</v>
      </c>
      <c r="B53" s="415"/>
      <c r="C53" s="416"/>
      <c r="D53" s="155">
        <v>246889</v>
      </c>
      <c r="E53" s="420"/>
      <c r="F53" s="155">
        <v>1001177</v>
      </c>
      <c r="G53" s="161">
        <v>24.7</v>
      </c>
      <c r="H53" s="162"/>
      <c r="I53" s="199" t="s">
        <v>138</v>
      </c>
      <c r="K53" s="150" t="s">
        <v>20</v>
      </c>
      <c r="L53" s="411" t="s">
        <v>128</v>
      </c>
      <c r="M53" s="412"/>
      <c r="N53" s="150" t="s">
        <v>129</v>
      </c>
      <c r="O53" s="150" t="s">
        <v>130</v>
      </c>
      <c r="P53" s="150" t="s">
        <v>131</v>
      </c>
      <c r="Q53" s="150" t="s">
        <v>132</v>
      </c>
      <c r="R53" s="150" t="s">
        <v>133</v>
      </c>
      <c r="S53" s="150" t="s">
        <v>134</v>
      </c>
    </row>
    <row r="54" spans="1:19" ht="15.75" customHeight="1" x14ac:dyDescent="0.25">
      <c r="A54" s="163" t="s">
        <v>144</v>
      </c>
      <c r="B54" s="415"/>
      <c r="C54" s="416"/>
      <c r="D54" s="155">
        <v>329455</v>
      </c>
      <c r="E54" s="420"/>
      <c r="F54" s="155">
        <v>1001177</v>
      </c>
      <c r="G54" s="161">
        <v>32.9</v>
      </c>
      <c r="H54" s="162"/>
      <c r="I54" s="172" t="s">
        <v>138</v>
      </c>
      <c r="K54" s="153" t="s">
        <v>135</v>
      </c>
      <c r="L54" s="413" t="s">
        <v>136</v>
      </c>
      <c r="M54" s="414"/>
      <c r="N54" s="155">
        <v>18544</v>
      </c>
      <c r="O54" s="419" t="s">
        <v>137</v>
      </c>
      <c r="P54" s="155">
        <v>164000</v>
      </c>
      <c r="Q54" s="153">
        <v>11.3</v>
      </c>
      <c r="R54" s="153"/>
      <c r="S54" s="163" t="s">
        <v>138</v>
      </c>
    </row>
    <row r="55" spans="1:19" ht="15.75" x14ac:dyDescent="0.25">
      <c r="A55" s="163" t="s">
        <v>145</v>
      </c>
      <c r="B55" s="417"/>
      <c r="C55" s="418"/>
      <c r="D55" s="155">
        <v>377239</v>
      </c>
      <c r="E55" s="420"/>
      <c r="F55" s="155">
        <v>1033980</v>
      </c>
      <c r="G55" s="161">
        <v>36.5</v>
      </c>
      <c r="H55" s="162"/>
      <c r="I55" s="172" t="s">
        <v>138</v>
      </c>
      <c r="K55" s="171">
        <v>2018</v>
      </c>
      <c r="L55" s="415"/>
      <c r="M55" s="416"/>
      <c r="N55" s="155">
        <v>112724</v>
      </c>
      <c r="O55" s="420"/>
      <c r="P55" s="155">
        <v>164000</v>
      </c>
      <c r="Q55" s="153">
        <v>68.7</v>
      </c>
      <c r="R55" s="153"/>
      <c r="S55" s="163" t="s">
        <v>138</v>
      </c>
    </row>
    <row r="56" spans="1:19" ht="15.75" x14ac:dyDescent="0.25">
      <c r="A56" s="163" t="s">
        <v>146</v>
      </c>
      <c r="B56" s="413" t="s">
        <v>163</v>
      </c>
      <c r="C56" s="414"/>
      <c r="D56" s="155">
        <v>406826</v>
      </c>
      <c r="E56" s="420"/>
      <c r="F56" s="155">
        <v>1033980</v>
      </c>
      <c r="G56" s="161">
        <v>39.299999999999997</v>
      </c>
      <c r="H56" s="162"/>
      <c r="I56" s="172" t="s">
        <v>138</v>
      </c>
      <c r="K56" s="160">
        <v>2017</v>
      </c>
      <c r="L56" s="415"/>
      <c r="M56" s="416"/>
      <c r="N56" s="155">
        <v>78573</v>
      </c>
      <c r="O56" s="420"/>
      <c r="P56" s="155">
        <v>164000</v>
      </c>
      <c r="Q56" s="161">
        <v>47.9</v>
      </c>
      <c r="R56" s="164"/>
      <c r="S56" s="163" t="s">
        <v>138</v>
      </c>
    </row>
    <row r="57" spans="1:19" ht="15.75" x14ac:dyDescent="0.25">
      <c r="A57" s="163" t="s">
        <v>147</v>
      </c>
      <c r="B57" s="415"/>
      <c r="C57" s="416"/>
      <c r="D57" s="155">
        <v>585357</v>
      </c>
      <c r="E57" s="421"/>
      <c r="F57" s="155">
        <v>1033980</v>
      </c>
      <c r="G57" s="161">
        <v>56.6</v>
      </c>
      <c r="H57" s="162"/>
      <c r="I57" s="172" t="s">
        <v>138</v>
      </c>
      <c r="K57" s="160">
        <v>2016</v>
      </c>
      <c r="L57" s="415"/>
      <c r="M57" s="416"/>
      <c r="N57" s="155">
        <v>145173</v>
      </c>
      <c r="O57" s="420"/>
      <c r="P57" s="155">
        <v>164000</v>
      </c>
      <c r="Q57" s="161">
        <v>88.5</v>
      </c>
      <c r="R57" s="164"/>
      <c r="S57" s="163" t="s">
        <v>138</v>
      </c>
    </row>
    <row r="58" spans="1:19" ht="15.75" x14ac:dyDescent="0.25">
      <c r="A58" s="163" t="s">
        <v>148</v>
      </c>
      <c r="B58" s="415"/>
      <c r="C58" s="416"/>
      <c r="D58" s="155">
        <v>428786</v>
      </c>
      <c r="E58" s="456"/>
      <c r="F58" s="155">
        <v>409000</v>
      </c>
      <c r="G58" s="161">
        <v>104.8</v>
      </c>
      <c r="H58" s="162"/>
      <c r="I58" s="158" t="s">
        <v>143</v>
      </c>
      <c r="K58" s="160">
        <v>2015</v>
      </c>
      <c r="L58" s="415"/>
      <c r="M58" s="416"/>
      <c r="N58" s="155">
        <v>97503</v>
      </c>
      <c r="O58" s="420"/>
      <c r="P58" s="155">
        <v>164000</v>
      </c>
      <c r="Q58" s="161">
        <v>59.5</v>
      </c>
      <c r="R58" s="164"/>
      <c r="S58" s="163" t="s">
        <v>138</v>
      </c>
    </row>
    <row r="59" spans="1:19" ht="15.75" x14ac:dyDescent="0.25">
      <c r="A59" s="163" t="s">
        <v>164</v>
      </c>
      <c r="B59" s="415"/>
      <c r="C59" s="416"/>
      <c r="D59" s="155">
        <v>491677</v>
      </c>
      <c r="E59" s="457"/>
      <c r="F59" s="155">
        <v>341747</v>
      </c>
      <c r="G59" s="161">
        <v>143.9</v>
      </c>
      <c r="H59" s="200">
        <v>40833</v>
      </c>
      <c r="I59" s="158" t="s">
        <v>143</v>
      </c>
      <c r="K59" s="160">
        <v>2014</v>
      </c>
      <c r="L59" s="415"/>
      <c r="M59" s="416"/>
      <c r="N59" s="155">
        <v>59788</v>
      </c>
      <c r="O59" s="420"/>
      <c r="P59" s="155">
        <v>154500</v>
      </c>
      <c r="Q59" s="161">
        <v>38.700000000000003</v>
      </c>
      <c r="R59" s="164"/>
      <c r="S59" s="163" t="s">
        <v>138</v>
      </c>
    </row>
    <row r="60" spans="1:19" ht="15.75" x14ac:dyDescent="0.25">
      <c r="A60" s="201" t="s">
        <v>165</v>
      </c>
      <c r="B60" s="415"/>
      <c r="C60" s="416"/>
      <c r="D60" s="195">
        <v>485663</v>
      </c>
      <c r="E60" s="457"/>
      <c r="F60" s="195">
        <v>409000</v>
      </c>
      <c r="G60" s="196">
        <v>118.7</v>
      </c>
      <c r="H60" s="202">
        <v>40585</v>
      </c>
      <c r="I60" s="165" t="s">
        <v>143</v>
      </c>
      <c r="K60" s="160">
        <v>2013</v>
      </c>
      <c r="L60" s="415"/>
      <c r="M60" s="416"/>
      <c r="N60" s="155">
        <v>74177</v>
      </c>
      <c r="O60" s="420"/>
      <c r="P60" s="155">
        <v>153000</v>
      </c>
      <c r="Q60" s="161">
        <v>48.5</v>
      </c>
      <c r="R60" s="164"/>
      <c r="S60" s="163" t="s">
        <v>138</v>
      </c>
    </row>
    <row r="61" spans="1:19" ht="15.75" x14ac:dyDescent="0.25">
      <c r="A61" s="458" t="s">
        <v>166</v>
      </c>
      <c r="B61" s="459"/>
      <c r="C61" s="459"/>
      <c r="D61" s="459"/>
      <c r="E61" s="459"/>
      <c r="F61" s="459"/>
      <c r="G61" s="459"/>
      <c r="H61" s="459"/>
      <c r="I61" s="460"/>
      <c r="K61" s="160">
        <v>2012</v>
      </c>
      <c r="L61" s="417"/>
      <c r="M61" s="418"/>
      <c r="N61" s="155">
        <v>101298</v>
      </c>
      <c r="O61" s="421"/>
      <c r="P61" s="155">
        <v>197652</v>
      </c>
      <c r="Q61" s="161">
        <v>51.3</v>
      </c>
      <c r="R61" s="164"/>
      <c r="S61" s="163" t="s">
        <v>143</v>
      </c>
    </row>
    <row r="62" spans="1:19" ht="15.75" x14ac:dyDescent="0.25">
      <c r="A62" s="203"/>
      <c r="B62" s="204"/>
      <c r="C62" s="204"/>
      <c r="D62" s="204"/>
      <c r="E62" s="204"/>
      <c r="F62" s="204"/>
      <c r="G62" s="204"/>
      <c r="H62" s="204"/>
      <c r="I62" s="204"/>
      <c r="K62" s="431"/>
      <c r="L62" s="431"/>
      <c r="M62" s="431"/>
      <c r="N62" s="431"/>
      <c r="O62" s="431"/>
      <c r="P62" s="431"/>
      <c r="Q62" s="431"/>
      <c r="R62" s="431"/>
      <c r="S62" s="431"/>
    </row>
    <row r="63" spans="1:19" ht="15.75" customHeight="1" x14ac:dyDescent="0.25">
      <c r="A63" s="426" t="s">
        <v>167</v>
      </c>
      <c r="B63" s="427"/>
      <c r="C63" s="427"/>
      <c r="D63" s="427"/>
      <c r="E63" s="427"/>
      <c r="F63" s="427"/>
      <c r="G63" s="427"/>
      <c r="H63" s="427"/>
      <c r="I63" s="428"/>
      <c r="K63" s="426" t="s">
        <v>168</v>
      </c>
      <c r="L63" s="427"/>
      <c r="M63" s="427"/>
      <c r="N63" s="427"/>
      <c r="O63" s="427"/>
      <c r="P63" s="427"/>
      <c r="Q63" s="427"/>
      <c r="R63" s="427"/>
      <c r="S63" s="428"/>
    </row>
    <row r="64" spans="1:19" ht="31.5" x14ac:dyDescent="0.25">
      <c r="A64" s="150" t="s">
        <v>20</v>
      </c>
      <c r="B64" s="150" t="s">
        <v>128</v>
      </c>
      <c r="C64" s="150" t="s">
        <v>152</v>
      </c>
      <c r="D64" s="166" t="s">
        <v>129</v>
      </c>
      <c r="E64" s="150" t="s">
        <v>130</v>
      </c>
      <c r="F64" s="150" t="s">
        <v>131</v>
      </c>
      <c r="G64" s="150" t="s">
        <v>132</v>
      </c>
      <c r="H64" s="150" t="s">
        <v>133</v>
      </c>
      <c r="I64" s="150" t="s">
        <v>134</v>
      </c>
      <c r="K64" s="150" t="s">
        <v>20</v>
      </c>
      <c r="L64" s="411" t="s">
        <v>128</v>
      </c>
      <c r="M64" s="412"/>
      <c r="N64" s="150" t="s">
        <v>129</v>
      </c>
      <c r="O64" s="150" t="s">
        <v>130</v>
      </c>
      <c r="P64" s="150" t="s">
        <v>131</v>
      </c>
      <c r="Q64" s="150" t="s">
        <v>169</v>
      </c>
      <c r="R64" s="150" t="s">
        <v>133</v>
      </c>
      <c r="S64" s="150" t="s">
        <v>134</v>
      </c>
    </row>
    <row r="65" spans="1:19" ht="31.5" x14ac:dyDescent="0.25">
      <c r="A65" s="153" t="s">
        <v>135</v>
      </c>
      <c r="B65" s="419" t="s">
        <v>136</v>
      </c>
      <c r="C65" s="413" t="s">
        <v>170</v>
      </c>
      <c r="D65" s="179">
        <v>51949</v>
      </c>
      <c r="E65" s="414" t="s">
        <v>137</v>
      </c>
      <c r="F65" s="155">
        <v>87277</v>
      </c>
      <c r="G65" s="153">
        <v>59.5</v>
      </c>
      <c r="H65" s="153"/>
      <c r="I65" s="163" t="s">
        <v>138</v>
      </c>
      <c r="K65" s="160">
        <v>2017</v>
      </c>
      <c r="L65" s="461" t="s">
        <v>136</v>
      </c>
      <c r="M65" s="462"/>
      <c r="N65" s="160">
        <v>14270</v>
      </c>
      <c r="O65" s="163" t="s">
        <v>171</v>
      </c>
      <c r="P65" s="155">
        <v>29656</v>
      </c>
      <c r="Q65" s="161">
        <v>48.1</v>
      </c>
      <c r="R65" s="163" t="s">
        <v>172</v>
      </c>
      <c r="S65" s="163" t="s">
        <v>143</v>
      </c>
    </row>
    <row r="66" spans="1:19" ht="15.75" x14ac:dyDescent="0.25">
      <c r="A66" s="153">
        <v>2018</v>
      </c>
      <c r="B66" s="420"/>
      <c r="C66" s="415"/>
      <c r="D66" s="179">
        <v>116597</v>
      </c>
      <c r="E66" s="416"/>
      <c r="F66" s="155">
        <v>87277</v>
      </c>
      <c r="G66" s="153">
        <v>133.6</v>
      </c>
      <c r="H66" s="153"/>
      <c r="I66" s="163" t="s">
        <v>138</v>
      </c>
      <c r="K66" s="160">
        <v>2016</v>
      </c>
      <c r="L66" s="461" t="s">
        <v>173</v>
      </c>
      <c r="M66" s="463"/>
      <c r="N66" s="463"/>
      <c r="O66" s="463"/>
      <c r="P66" s="462"/>
      <c r="Q66" s="464"/>
      <c r="R66" s="465"/>
      <c r="S66" s="466"/>
    </row>
    <row r="67" spans="1:19" ht="15.75" x14ac:dyDescent="0.25">
      <c r="A67" s="160">
        <v>2017</v>
      </c>
      <c r="B67" s="420"/>
      <c r="C67" s="415"/>
      <c r="D67" s="169">
        <v>153959</v>
      </c>
      <c r="E67" s="416"/>
      <c r="F67" s="155">
        <v>87277</v>
      </c>
      <c r="G67" s="161">
        <v>176.4</v>
      </c>
      <c r="H67" s="164"/>
      <c r="I67" s="163" t="s">
        <v>138</v>
      </c>
      <c r="K67" s="160">
        <v>2015</v>
      </c>
      <c r="L67" s="461" t="s">
        <v>173</v>
      </c>
      <c r="M67" s="463"/>
      <c r="N67" s="463"/>
      <c r="O67" s="463"/>
      <c r="P67" s="462"/>
      <c r="Q67" s="470"/>
      <c r="R67" s="471"/>
      <c r="S67" s="472"/>
    </row>
    <row r="68" spans="1:19" ht="15.75" customHeight="1" x14ac:dyDescent="0.25">
      <c r="A68" s="160">
        <v>2016</v>
      </c>
      <c r="B68" s="420"/>
      <c r="C68" s="420"/>
      <c r="D68" s="205">
        <v>172286</v>
      </c>
      <c r="E68" s="420"/>
      <c r="F68" s="155">
        <v>87277</v>
      </c>
      <c r="G68" s="161">
        <v>197.4</v>
      </c>
      <c r="H68" s="164"/>
      <c r="I68" s="163" t="s">
        <v>138</v>
      </c>
      <c r="K68" s="160">
        <v>2014</v>
      </c>
      <c r="L68" s="473" t="s">
        <v>174</v>
      </c>
      <c r="M68" s="474"/>
      <c r="N68" s="456"/>
      <c r="O68" s="419" t="s">
        <v>171</v>
      </c>
      <c r="P68" s="155">
        <v>22576</v>
      </c>
      <c r="Q68" s="470"/>
      <c r="R68" s="471"/>
      <c r="S68" s="472"/>
    </row>
    <row r="69" spans="1:19" ht="15.75" customHeight="1" x14ac:dyDescent="0.25">
      <c r="A69" s="160">
        <v>2015</v>
      </c>
      <c r="B69" s="420"/>
      <c r="C69" s="420"/>
      <c r="D69" s="155">
        <v>45323</v>
      </c>
      <c r="E69" s="420"/>
      <c r="F69" s="155">
        <v>17791</v>
      </c>
      <c r="G69" s="161">
        <v>254.8</v>
      </c>
      <c r="H69" s="187">
        <v>42165</v>
      </c>
      <c r="I69" s="163" t="s">
        <v>138</v>
      </c>
      <c r="K69" s="160">
        <v>2013</v>
      </c>
      <c r="L69" s="473" t="s">
        <v>174</v>
      </c>
      <c r="M69" s="474"/>
      <c r="N69" s="457"/>
      <c r="O69" s="420"/>
      <c r="P69" s="155">
        <v>9585</v>
      </c>
      <c r="Q69" s="470"/>
      <c r="R69" s="471"/>
      <c r="S69" s="472"/>
    </row>
    <row r="70" spans="1:19" ht="15.75" x14ac:dyDescent="0.25">
      <c r="A70" s="160">
        <v>2014</v>
      </c>
      <c r="B70" s="421"/>
      <c r="C70" s="421"/>
      <c r="D70" s="155">
        <v>95712</v>
      </c>
      <c r="E70" s="421"/>
      <c r="F70" s="155">
        <v>111893</v>
      </c>
      <c r="G70" s="161">
        <v>85.5</v>
      </c>
      <c r="H70" s="164"/>
      <c r="I70" s="163" t="s">
        <v>138</v>
      </c>
      <c r="K70" s="160">
        <v>2012</v>
      </c>
      <c r="L70" s="473" t="s">
        <v>174</v>
      </c>
      <c r="M70" s="474"/>
      <c r="N70" s="475"/>
      <c r="O70" s="421"/>
      <c r="P70" s="155">
        <v>9399</v>
      </c>
      <c r="Q70" s="476"/>
      <c r="R70" s="477"/>
      <c r="S70" s="478"/>
    </row>
    <row r="71" spans="1:19" ht="15.75" x14ac:dyDescent="0.25">
      <c r="A71" s="467" t="s">
        <v>175</v>
      </c>
      <c r="B71" s="468"/>
      <c r="C71" s="468"/>
      <c r="D71" s="468"/>
      <c r="E71" s="468"/>
      <c r="F71" s="468"/>
      <c r="G71" s="468"/>
      <c r="H71" s="468"/>
      <c r="I71" s="469"/>
      <c r="K71" s="160">
        <v>2011</v>
      </c>
      <c r="L71" s="461" t="s">
        <v>173</v>
      </c>
      <c r="M71" s="463"/>
      <c r="N71" s="463"/>
      <c r="O71" s="463"/>
      <c r="P71" s="462"/>
      <c r="Q71" s="461" t="s">
        <v>176</v>
      </c>
      <c r="R71" s="463"/>
      <c r="S71" s="462"/>
    </row>
    <row r="72" spans="1:19" ht="15.75" x14ac:dyDescent="0.25">
      <c r="A72" s="431"/>
      <c r="B72" s="431"/>
      <c r="C72" s="431"/>
      <c r="D72" s="431"/>
      <c r="E72" s="431"/>
      <c r="F72" s="431"/>
      <c r="G72" s="431"/>
      <c r="H72" s="431"/>
      <c r="I72" s="431"/>
      <c r="K72" s="160">
        <v>2010</v>
      </c>
      <c r="L72" s="461" t="s">
        <v>173</v>
      </c>
      <c r="M72" s="463"/>
      <c r="N72" s="463"/>
      <c r="O72" s="463"/>
      <c r="P72" s="462"/>
      <c r="Q72" s="461" t="s">
        <v>176</v>
      </c>
      <c r="R72" s="463"/>
      <c r="S72" s="462"/>
    </row>
    <row r="73" spans="1:19" ht="15.75" x14ac:dyDescent="0.25">
      <c r="A73" s="437" t="s">
        <v>32</v>
      </c>
      <c r="B73" s="438"/>
      <c r="C73" s="438"/>
      <c r="D73" s="438"/>
      <c r="E73" s="438"/>
      <c r="F73" s="438"/>
      <c r="G73" s="438"/>
      <c r="H73" s="438"/>
      <c r="I73" s="439"/>
      <c r="K73" s="206"/>
      <c r="L73" s="207"/>
      <c r="M73" s="207"/>
      <c r="N73" s="207"/>
      <c r="O73" s="207"/>
      <c r="P73" s="207"/>
      <c r="Q73" s="207"/>
      <c r="R73" s="207"/>
      <c r="S73" s="207"/>
    </row>
    <row r="74" spans="1:19" ht="15.75" x14ac:dyDescent="0.25">
      <c r="A74" s="479" t="s">
        <v>177</v>
      </c>
      <c r="B74" s="480"/>
      <c r="C74" s="480"/>
      <c r="D74" s="480"/>
      <c r="E74" s="480"/>
      <c r="F74" s="480"/>
      <c r="G74" s="480"/>
      <c r="H74" s="480"/>
      <c r="I74" s="481"/>
      <c r="K74" s="482" t="s">
        <v>14</v>
      </c>
      <c r="L74" s="482"/>
      <c r="M74" s="482"/>
      <c r="N74" s="482"/>
      <c r="O74" s="482"/>
      <c r="P74" s="482"/>
      <c r="Q74" s="482"/>
      <c r="R74" s="482"/>
      <c r="S74" s="482"/>
    </row>
    <row r="75" spans="1:19" ht="31.5" x14ac:dyDescent="0.25">
      <c r="A75" s="440"/>
      <c r="B75" s="441"/>
      <c r="C75" s="441"/>
      <c r="D75" s="441"/>
      <c r="E75" s="441"/>
      <c r="F75" s="441"/>
      <c r="G75" s="441"/>
      <c r="H75" s="441"/>
      <c r="I75" s="442"/>
      <c r="K75" s="150" t="s">
        <v>20</v>
      </c>
      <c r="L75" s="150" t="s">
        <v>128</v>
      </c>
      <c r="M75" s="150" t="s">
        <v>152</v>
      </c>
      <c r="N75" s="150" t="s">
        <v>129</v>
      </c>
      <c r="O75" s="150" t="s">
        <v>130</v>
      </c>
      <c r="P75" s="150" t="s">
        <v>131</v>
      </c>
      <c r="Q75" s="150" t="s">
        <v>132</v>
      </c>
      <c r="R75" s="150" t="s">
        <v>133</v>
      </c>
      <c r="S75" s="150" t="s">
        <v>134</v>
      </c>
    </row>
    <row r="76" spans="1:19" ht="15.75" customHeight="1" x14ac:dyDescent="0.25">
      <c r="A76" s="150" t="s">
        <v>20</v>
      </c>
      <c r="B76" s="411" t="s">
        <v>128</v>
      </c>
      <c r="C76" s="412"/>
      <c r="D76" s="150" t="s">
        <v>129</v>
      </c>
      <c r="E76" s="150" t="s">
        <v>130</v>
      </c>
      <c r="F76" s="150" t="s">
        <v>131</v>
      </c>
      <c r="G76" s="150" t="s">
        <v>132</v>
      </c>
      <c r="H76" s="150" t="s">
        <v>133</v>
      </c>
      <c r="I76" s="150" t="s">
        <v>134</v>
      </c>
      <c r="K76" s="153" t="s">
        <v>135</v>
      </c>
      <c r="L76" s="414" t="s">
        <v>136</v>
      </c>
      <c r="M76" s="419" t="s">
        <v>154</v>
      </c>
      <c r="N76" s="155">
        <v>15768</v>
      </c>
      <c r="O76" s="419" t="s">
        <v>137</v>
      </c>
      <c r="P76" s="155">
        <v>116369</v>
      </c>
      <c r="Q76" s="153">
        <v>13.6</v>
      </c>
      <c r="R76" s="153"/>
      <c r="S76" s="163" t="s">
        <v>138</v>
      </c>
    </row>
    <row r="77" spans="1:19" ht="18" x14ac:dyDescent="0.25">
      <c r="A77" s="153" t="s">
        <v>135</v>
      </c>
      <c r="B77" s="413" t="s">
        <v>136</v>
      </c>
      <c r="C77" s="414"/>
      <c r="D77" s="154">
        <v>26501</v>
      </c>
      <c r="E77" s="419" t="s">
        <v>137</v>
      </c>
      <c r="F77" s="155">
        <v>38628</v>
      </c>
      <c r="G77" s="153">
        <v>68.599999999999994</v>
      </c>
      <c r="H77" s="153"/>
      <c r="I77" s="172" t="s">
        <v>138</v>
      </c>
      <c r="K77" s="171">
        <v>2018</v>
      </c>
      <c r="L77" s="416"/>
      <c r="M77" s="420"/>
      <c r="N77" s="155">
        <v>14055</v>
      </c>
      <c r="O77" s="420"/>
      <c r="P77" s="155">
        <v>116369</v>
      </c>
      <c r="Q77" s="153">
        <v>12.1</v>
      </c>
      <c r="R77" s="153"/>
      <c r="S77" s="163" t="s">
        <v>138</v>
      </c>
    </row>
    <row r="78" spans="1:19" ht="15.75" customHeight="1" x14ac:dyDescent="0.25">
      <c r="A78" s="153">
        <v>2018</v>
      </c>
      <c r="B78" s="415"/>
      <c r="C78" s="416"/>
      <c r="D78" s="154">
        <v>18490</v>
      </c>
      <c r="E78" s="420"/>
      <c r="F78" s="155">
        <v>38628</v>
      </c>
      <c r="G78" s="153">
        <v>47.9</v>
      </c>
      <c r="H78" s="153"/>
      <c r="I78" s="172" t="s">
        <v>138</v>
      </c>
      <c r="K78" s="160">
        <v>2017</v>
      </c>
      <c r="L78" s="416"/>
      <c r="M78" s="420"/>
      <c r="N78" s="155">
        <v>96196</v>
      </c>
      <c r="O78" s="420"/>
      <c r="P78" s="155">
        <v>116369</v>
      </c>
      <c r="Q78" s="161">
        <v>82.7</v>
      </c>
      <c r="R78" s="164"/>
      <c r="S78" s="163" t="s">
        <v>138</v>
      </c>
    </row>
    <row r="79" spans="1:19" ht="15.75" customHeight="1" x14ac:dyDescent="0.25">
      <c r="A79" s="160">
        <v>2017</v>
      </c>
      <c r="B79" s="415"/>
      <c r="C79" s="416"/>
      <c r="D79" s="155">
        <v>20674</v>
      </c>
      <c r="E79" s="420"/>
      <c r="F79" s="155">
        <v>38628</v>
      </c>
      <c r="G79" s="161">
        <v>53.5</v>
      </c>
      <c r="H79" s="164"/>
      <c r="I79" s="172" t="s">
        <v>138</v>
      </c>
      <c r="K79" s="160">
        <v>2016</v>
      </c>
      <c r="L79" s="416"/>
      <c r="M79" s="420"/>
      <c r="N79" s="155">
        <v>30961</v>
      </c>
      <c r="O79" s="420"/>
      <c r="P79" s="155">
        <v>116369</v>
      </c>
      <c r="Q79" s="161">
        <v>26.6</v>
      </c>
      <c r="R79" s="164"/>
      <c r="S79" s="163" t="s">
        <v>138</v>
      </c>
    </row>
    <row r="80" spans="1:19" ht="15.75" x14ac:dyDescent="0.25">
      <c r="A80" s="163" t="s">
        <v>178</v>
      </c>
      <c r="B80" s="415"/>
      <c r="C80" s="416"/>
      <c r="D80" s="155">
        <v>17494</v>
      </c>
      <c r="E80" s="420"/>
      <c r="F80" s="155">
        <v>38628</v>
      </c>
      <c r="G80" s="161">
        <v>45.3</v>
      </c>
      <c r="H80" s="164"/>
      <c r="I80" s="172" t="s">
        <v>138</v>
      </c>
      <c r="K80" s="160">
        <v>2015</v>
      </c>
      <c r="L80" s="416"/>
      <c r="M80" s="420"/>
      <c r="N80" s="155">
        <v>18639</v>
      </c>
      <c r="O80" s="420"/>
      <c r="P80" s="155">
        <v>116369</v>
      </c>
      <c r="Q80" s="161">
        <v>16</v>
      </c>
      <c r="R80" s="164"/>
      <c r="S80" s="163" t="s">
        <v>138</v>
      </c>
    </row>
    <row r="81" spans="1:19" ht="15.75" x14ac:dyDescent="0.25">
      <c r="A81" s="160">
        <v>2015</v>
      </c>
      <c r="B81" s="415"/>
      <c r="C81" s="416"/>
      <c r="D81" s="155">
        <v>16271</v>
      </c>
      <c r="E81" s="420"/>
      <c r="F81" s="155">
        <v>38644</v>
      </c>
      <c r="G81" s="161">
        <v>42.1</v>
      </c>
      <c r="H81" s="164"/>
      <c r="I81" s="172" t="s">
        <v>138</v>
      </c>
      <c r="K81" s="160">
        <v>2014</v>
      </c>
      <c r="L81" s="416"/>
      <c r="M81" s="420"/>
      <c r="N81" s="155">
        <v>70157</v>
      </c>
      <c r="O81" s="420"/>
      <c r="P81" s="155">
        <v>176688</v>
      </c>
      <c r="Q81" s="161">
        <v>39.700000000000003</v>
      </c>
      <c r="R81" s="164"/>
      <c r="S81" s="163" t="s">
        <v>138</v>
      </c>
    </row>
    <row r="82" spans="1:19" ht="15.75" x14ac:dyDescent="0.25">
      <c r="A82" s="163" t="s">
        <v>179</v>
      </c>
      <c r="B82" s="415"/>
      <c r="C82" s="416"/>
      <c r="D82" s="155">
        <v>14489</v>
      </c>
      <c r="E82" s="420"/>
      <c r="F82" s="155">
        <v>19313</v>
      </c>
      <c r="G82" s="161">
        <v>75</v>
      </c>
      <c r="H82" s="164"/>
      <c r="I82" s="172" t="s">
        <v>138</v>
      </c>
      <c r="K82" s="160">
        <v>2013</v>
      </c>
      <c r="L82" s="416"/>
      <c r="M82" s="420"/>
      <c r="N82" s="155">
        <v>45813</v>
      </c>
      <c r="O82" s="420"/>
      <c r="P82" s="155">
        <v>176688</v>
      </c>
      <c r="Q82" s="161">
        <v>25.9</v>
      </c>
      <c r="R82" s="164"/>
      <c r="S82" s="163" t="s">
        <v>138</v>
      </c>
    </row>
    <row r="83" spans="1:19" ht="15.75" x14ac:dyDescent="0.25">
      <c r="A83" s="160">
        <v>2013</v>
      </c>
      <c r="B83" s="415"/>
      <c r="C83" s="416"/>
      <c r="D83" s="155">
        <v>325129</v>
      </c>
      <c r="E83" s="420"/>
      <c r="F83" s="155">
        <v>334556</v>
      </c>
      <c r="G83" s="161">
        <v>97.2</v>
      </c>
      <c r="H83" s="164"/>
      <c r="I83" s="172" t="s">
        <v>138</v>
      </c>
      <c r="K83" s="160">
        <v>2012</v>
      </c>
      <c r="L83" s="418"/>
      <c r="M83" s="421"/>
      <c r="N83" s="155">
        <v>78446</v>
      </c>
      <c r="O83" s="421"/>
      <c r="P83" s="155">
        <v>150936</v>
      </c>
      <c r="Q83" s="161">
        <v>52</v>
      </c>
      <c r="R83" s="164"/>
      <c r="S83" s="163" t="s">
        <v>143</v>
      </c>
    </row>
    <row r="84" spans="1:19" ht="15.75" x14ac:dyDescent="0.25">
      <c r="A84" s="160">
        <v>2012</v>
      </c>
      <c r="B84" s="417"/>
      <c r="C84" s="418"/>
      <c r="D84" s="155">
        <v>107849</v>
      </c>
      <c r="E84" s="421"/>
      <c r="F84" s="155">
        <v>332039</v>
      </c>
      <c r="G84" s="161">
        <v>32.5</v>
      </c>
      <c r="H84" s="164"/>
      <c r="I84" s="163" t="s">
        <v>143</v>
      </c>
      <c r="K84" s="431"/>
      <c r="L84" s="431"/>
      <c r="M84" s="431"/>
      <c r="N84" s="431"/>
      <c r="O84" s="431"/>
      <c r="P84" s="431"/>
      <c r="Q84" s="431"/>
      <c r="R84" s="431"/>
      <c r="S84" s="431"/>
    </row>
    <row r="85" spans="1:19" ht="15.75" x14ac:dyDescent="0.25">
      <c r="A85" s="489" t="s">
        <v>180</v>
      </c>
      <c r="B85" s="490"/>
      <c r="C85" s="490"/>
      <c r="D85" s="490"/>
      <c r="E85" s="490"/>
      <c r="F85" s="490"/>
      <c r="G85" s="490"/>
      <c r="H85" s="490"/>
      <c r="I85" s="491"/>
      <c r="K85" s="437" t="s">
        <v>181</v>
      </c>
      <c r="L85" s="438"/>
      <c r="M85" s="438"/>
      <c r="N85" s="438"/>
      <c r="O85" s="438"/>
      <c r="P85" s="438"/>
      <c r="Q85" s="438"/>
      <c r="R85" s="438"/>
      <c r="S85" s="439"/>
    </row>
    <row r="86" spans="1:19" ht="15.75" x14ac:dyDescent="0.25">
      <c r="A86" s="447" t="s">
        <v>182</v>
      </c>
      <c r="B86" s="448"/>
      <c r="C86" s="448"/>
      <c r="D86" s="448"/>
      <c r="E86" s="448"/>
      <c r="F86" s="448"/>
      <c r="G86" s="448"/>
      <c r="H86" s="448"/>
      <c r="I86" s="449"/>
      <c r="K86" s="440" t="s">
        <v>183</v>
      </c>
      <c r="L86" s="441"/>
      <c r="M86" s="441"/>
      <c r="N86" s="441"/>
      <c r="O86" s="441"/>
      <c r="P86" s="441"/>
      <c r="Q86" s="441"/>
      <c r="R86" s="441"/>
      <c r="S86" s="442"/>
    </row>
    <row r="87" spans="1:19" ht="31.5" x14ac:dyDescent="0.25">
      <c r="A87" s="450"/>
      <c r="B87" s="451"/>
      <c r="C87" s="451"/>
      <c r="D87" s="451"/>
      <c r="E87" s="451"/>
      <c r="F87" s="451"/>
      <c r="G87" s="451"/>
      <c r="H87" s="451"/>
      <c r="I87" s="452"/>
      <c r="K87" s="150" t="s">
        <v>20</v>
      </c>
      <c r="L87" s="150" t="s">
        <v>128</v>
      </c>
      <c r="M87" s="150" t="s">
        <v>152</v>
      </c>
      <c r="N87" s="150" t="s">
        <v>129</v>
      </c>
      <c r="O87" s="150" t="s">
        <v>130</v>
      </c>
      <c r="P87" s="150" t="s">
        <v>131</v>
      </c>
      <c r="Q87" s="150" t="s">
        <v>132</v>
      </c>
      <c r="R87" s="150" t="s">
        <v>133</v>
      </c>
      <c r="S87" s="150" t="s">
        <v>134</v>
      </c>
    </row>
    <row r="88" spans="1:19" ht="18" x14ac:dyDescent="0.25">
      <c r="A88" s="430"/>
      <c r="B88" s="430"/>
      <c r="C88" s="430"/>
      <c r="D88" s="430"/>
      <c r="E88" s="430"/>
      <c r="F88" s="430"/>
      <c r="G88" s="430"/>
      <c r="H88" s="430"/>
      <c r="I88" s="430"/>
      <c r="K88" s="153" t="s">
        <v>135</v>
      </c>
      <c r="L88" s="419" t="s">
        <v>136</v>
      </c>
      <c r="M88" s="419" t="s">
        <v>154</v>
      </c>
      <c r="N88" s="155">
        <v>5172</v>
      </c>
      <c r="O88" s="419" t="s">
        <v>137</v>
      </c>
      <c r="P88" s="155">
        <v>48648</v>
      </c>
      <c r="Q88" s="153">
        <v>10.6</v>
      </c>
      <c r="R88" s="153"/>
      <c r="S88" s="163" t="s">
        <v>138</v>
      </c>
    </row>
    <row r="89" spans="1:19" ht="15.75" x14ac:dyDescent="0.25">
      <c r="A89" s="426" t="s">
        <v>42</v>
      </c>
      <c r="B89" s="427"/>
      <c r="C89" s="427"/>
      <c r="D89" s="427"/>
      <c r="E89" s="427"/>
      <c r="F89" s="427"/>
      <c r="G89" s="427"/>
      <c r="H89" s="427"/>
      <c r="I89" s="428"/>
      <c r="K89" s="171">
        <v>2018</v>
      </c>
      <c r="L89" s="420"/>
      <c r="M89" s="420"/>
      <c r="N89" s="155">
        <v>17550</v>
      </c>
      <c r="O89" s="420"/>
      <c r="P89" s="155">
        <v>48648</v>
      </c>
      <c r="Q89" s="153">
        <v>36.1</v>
      </c>
      <c r="R89" s="153"/>
      <c r="S89" s="163" t="s">
        <v>138</v>
      </c>
    </row>
    <row r="90" spans="1:19" ht="31.5" x14ac:dyDescent="0.25">
      <c r="A90" s="150" t="s">
        <v>20</v>
      </c>
      <c r="B90" s="411" t="s">
        <v>128</v>
      </c>
      <c r="C90" s="412"/>
      <c r="D90" s="150" t="s">
        <v>129</v>
      </c>
      <c r="E90" s="150" t="s">
        <v>130</v>
      </c>
      <c r="F90" s="150" t="s">
        <v>131</v>
      </c>
      <c r="G90" s="150" t="s">
        <v>132</v>
      </c>
      <c r="H90" s="150" t="s">
        <v>133</v>
      </c>
      <c r="I90" s="150" t="s">
        <v>134</v>
      </c>
      <c r="K90" s="160">
        <v>2017</v>
      </c>
      <c r="L90" s="420"/>
      <c r="M90" s="420"/>
      <c r="N90" s="155">
        <v>6540</v>
      </c>
      <c r="O90" s="420"/>
      <c r="P90" s="155">
        <v>48648</v>
      </c>
      <c r="Q90" s="161">
        <v>13.4</v>
      </c>
      <c r="R90" s="164"/>
      <c r="S90" s="163" t="s">
        <v>138</v>
      </c>
    </row>
    <row r="91" spans="1:19" ht="18" x14ac:dyDescent="0.25">
      <c r="A91" s="153" t="s">
        <v>135</v>
      </c>
      <c r="B91" s="413" t="s">
        <v>136</v>
      </c>
      <c r="C91" s="414"/>
      <c r="D91" s="154">
        <v>2339129</v>
      </c>
      <c r="E91" s="419" t="s">
        <v>137</v>
      </c>
      <c r="F91" s="208">
        <v>13810361</v>
      </c>
      <c r="G91" s="153">
        <v>16.899999999999999</v>
      </c>
      <c r="H91" s="153"/>
      <c r="I91" s="163" t="s">
        <v>138</v>
      </c>
      <c r="K91" s="160">
        <v>2016</v>
      </c>
      <c r="L91" s="420"/>
      <c r="M91" s="420"/>
      <c r="N91" s="155">
        <v>28229</v>
      </c>
      <c r="O91" s="420"/>
      <c r="P91" s="155">
        <v>48648</v>
      </c>
      <c r="Q91" s="161">
        <v>58</v>
      </c>
      <c r="R91" s="164"/>
      <c r="S91" s="163" t="s">
        <v>138</v>
      </c>
    </row>
    <row r="92" spans="1:19" ht="15.75" x14ac:dyDescent="0.25">
      <c r="A92" s="153">
        <v>2018</v>
      </c>
      <c r="B92" s="415"/>
      <c r="C92" s="416"/>
      <c r="D92" s="154">
        <v>6726555</v>
      </c>
      <c r="E92" s="420"/>
      <c r="F92" s="208">
        <v>13810361</v>
      </c>
      <c r="G92" s="153">
        <v>48.7</v>
      </c>
      <c r="H92" s="153"/>
      <c r="I92" s="163" t="s">
        <v>138</v>
      </c>
      <c r="K92" s="160">
        <v>2015</v>
      </c>
      <c r="L92" s="420"/>
      <c r="M92" s="420"/>
      <c r="N92" s="155">
        <v>20571</v>
      </c>
      <c r="O92" s="420"/>
      <c r="P92" s="155">
        <v>48648</v>
      </c>
      <c r="Q92" s="161">
        <v>42.3</v>
      </c>
      <c r="R92" s="164"/>
      <c r="S92" s="163" t="s">
        <v>138</v>
      </c>
    </row>
    <row r="93" spans="1:19" ht="15.75" x14ac:dyDescent="0.25">
      <c r="A93" s="160">
        <v>2017</v>
      </c>
      <c r="B93" s="415"/>
      <c r="C93" s="416"/>
      <c r="D93" s="155">
        <v>3830337</v>
      </c>
      <c r="E93" s="420"/>
      <c r="F93" s="208">
        <v>13810361</v>
      </c>
      <c r="G93" s="161">
        <v>27.7</v>
      </c>
      <c r="H93" s="164"/>
      <c r="I93" s="163" t="s">
        <v>138</v>
      </c>
      <c r="K93" s="160">
        <v>2014</v>
      </c>
      <c r="L93" s="420"/>
      <c r="M93" s="420"/>
      <c r="N93" s="155">
        <v>11940</v>
      </c>
      <c r="O93" s="420"/>
      <c r="P93" s="155">
        <v>46656</v>
      </c>
      <c r="Q93" s="161">
        <v>25.6</v>
      </c>
      <c r="R93" s="164"/>
      <c r="S93" s="163" t="s">
        <v>138</v>
      </c>
    </row>
    <row r="94" spans="1:19" ht="15.75" x14ac:dyDescent="0.25">
      <c r="A94" s="160">
        <v>2016</v>
      </c>
      <c r="B94" s="415"/>
      <c r="C94" s="416"/>
      <c r="D94" s="155">
        <v>6301326</v>
      </c>
      <c r="E94" s="420"/>
      <c r="F94" s="208">
        <v>13810361</v>
      </c>
      <c r="G94" s="161">
        <v>45.6</v>
      </c>
      <c r="H94" s="164"/>
      <c r="I94" s="163" t="s">
        <v>138</v>
      </c>
      <c r="K94" s="160">
        <v>2013</v>
      </c>
      <c r="L94" s="420"/>
      <c r="M94" s="420"/>
      <c r="N94" s="155">
        <v>26959</v>
      </c>
      <c r="O94" s="420"/>
      <c r="P94" s="155">
        <v>46656</v>
      </c>
      <c r="Q94" s="161">
        <v>57.8</v>
      </c>
      <c r="R94" s="164"/>
      <c r="S94" s="163" t="s">
        <v>138</v>
      </c>
    </row>
    <row r="95" spans="1:19" ht="15.75" x14ac:dyDescent="0.25">
      <c r="A95" s="160">
        <v>2015</v>
      </c>
      <c r="B95" s="415"/>
      <c r="C95" s="416"/>
      <c r="D95" s="155">
        <v>7586553</v>
      </c>
      <c r="E95" s="420"/>
      <c r="F95" s="208">
        <v>14187845</v>
      </c>
      <c r="G95" s="161">
        <v>53.5</v>
      </c>
      <c r="H95" s="164"/>
      <c r="I95" s="163" t="s">
        <v>138</v>
      </c>
      <c r="K95" s="160">
        <v>2012</v>
      </c>
      <c r="L95" s="421"/>
      <c r="M95" s="421"/>
      <c r="N95" s="155">
        <v>19552</v>
      </c>
      <c r="O95" s="421"/>
      <c r="P95" s="155">
        <v>48329</v>
      </c>
      <c r="Q95" s="161">
        <v>40.5</v>
      </c>
      <c r="R95" s="164"/>
      <c r="S95" s="163" t="s">
        <v>143</v>
      </c>
    </row>
    <row r="96" spans="1:19" ht="15.75" x14ac:dyDescent="0.25">
      <c r="A96" s="160">
        <v>2014</v>
      </c>
      <c r="B96" s="415"/>
      <c r="C96" s="416"/>
      <c r="D96" s="155">
        <v>5227644</v>
      </c>
      <c r="E96" s="420"/>
      <c r="F96" s="208">
        <v>14187845</v>
      </c>
      <c r="G96" s="161">
        <v>36.799999999999997</v>
      </c>
      <c r="H96" s="164"/>
      <c r="I96" s="163" t="s">
        <v>138</v>
      </c>
      <c r="K96" s="477"/>
      <c r="L96" s="477"/>
      <c r="M96" s="477"/>
      <c r="N96" s="477"/>
      <c r="O96" s="477"/>
      <c r="P96" s="477"/>
      <c r="Q96" s="477"/>
      <c r="R96" s="477"/>
      <c r="S96" s="477"/>
    </row>
    <row r="97" spans="1:19" ht="15.75" x14ac:dyDescent="0.25">
      <c r="A97" s="160">
        <v>2013</v>
      </c>
      <c r="B97" s="415"/>
      <c r="C97" s="416"/>
      <c r="D97" s="155">
        <v>5136067</v>
      </c>
      <c r="E97" s="420"/>
      <c r="F97" s="208">
        <v>13530692</v>
      </c>
      <c r="G97" s="161">
        <v>38</v>
      </c>
      <c r="H97" s="164"/>
      <c r="I97" s="163" t="s">
        <v>143</v>
      </c>
      <c r="K97" s="483" t="s">
        <v>184</v>
      </c>
      <c r="L97" s="484"/>
      <c r="M97" s="484"/>
      <c r="N97" s="484"/>
      <c r="O97" s="484"/>
      <c r="P97" s="484"/>
      <c r="Q97" s="484"/>
      <c r="R97" s="484"/>
      <c r="S97" s="484"/>
    </row>
    <row r="98" spans="1:19" ht="15.75" x14ac:dyDescent="0.25">
      <c r="A98" s="160">
        <v>2012</v>
      </c>
      <c r="B98" s="417"/>
      <c r="C98" s="418"/>
      <c r="D98" s="155">
        <v>6108460</v>
      </c>
      <c r="E98" s="421"/>
      <c r="F98" s="208">
        <v>13530692</v>
      </c>
      <c r="G98" s="161">
        <v>45.1</v>
      </c>
      <c r="H98" s="164"/>
      <c r="I98" s="163" t="s">
        <v>143</v>
      </c>
      <c r="K98" s="485" t="s">
        <v>185</v>
      </c>
      <c r="L98" s="486"/>
      <c r="M98" s="486"/>
      <c r="N98" s="486"/>
      <c r="O98" s="486"/>
      <c r="P98" s="486"/>
      <c r="Q98" s="486"/>
      <c r="R98" s="486"/>
      <c r="S98" s="486"/>
    </row>
    <row r="99" spans="1:19" ht="31.5" x14ac:dyDescent="0.25">
      <c r="A99" s="431"/>
      <c r="B99" s="431"/>
      <c r="C99" s="431"/>
      <c r="D99" s="431"/>
      <c r="E99" s="431"/>
      <c r="F99" s="431"/>
      <c r="G99" s="431"/>
      <c r="H99" s="431"/>
      <c r="I99" s="431"/>
      <c r="K99" s="209" t="s">
        <v>20</v>
      </c>
      <c r="L99" s="487" t="s">
        <v>128</v>
      </c>
      <c r="M99" s="488"/>
      <c r="N99" s="209" t="s">
        <v>129</v>
      </c>
      <c r="O99" s="209" t="s">
        <v>130</v>
      </c>
      <c r="P99" s="209" t="s">
        <v>131</v>
      </c>
      <c r="Q99" s="209" t="s">
        <v>132</v>
      </c>
      <c r="R99" s="209" t="s">
        <v>133</v>
      </c>
      <c r="S99" s="209" t="s">
        <v>134</v>
      </c>
    </row>
    <row r="100" spans="1:19" ht="15.75" customHeight="1" x14ac:dyDescent="0.25">
      <c r="A100" s="426" t="s">
        <v>186</v>
      </c>
      <c r="B100" s="427"/>
      <c r="C100" s="427"/>
      <c r="D100" s="427"/>
      <c r="E100" s="427"/>
      <c r="F100" s="427"/>
      <c r="G100" s="427"/>
      <c r="H100" s="427"/>
      <c r="I100" s="428"/>
      <c r="K100" s="153" t="s">
        <v>135</v>
      </c>
      <c r="L100" s="445" t="s">
        <v>136</v>
      </c>
      <c r="M100" s="414"/>
      <c r="N100" s="155">
        <v>292083</v>
      </c>
      <c r="O100" s="419" t="s">
        <v>137</v>
      </c>
      <c r="P100" s="155">
        <v>1169308</v>
      </c>
      <c r="Q100" s="210">
        <v>25</v>
      </c>
      <c r="R100" s="211"/>
      <c r="S100" s="163" t="s">
        <v>138</v>
      </c>
    </row>
    <row r="101" spans="1:19" ht="31.5" x14ac:dyDescent="0.25">
      <c r="A101" s="150" t="s">
        <v>20</v>
      </c>
      <c r="B101" s="150" t="s">
        <v>128</v>
      </c>
      <c r="C101" s="150" t="s">
        <v>152</v>
      </c>
      <c r="D101" s="150" t="s">
        <v>129</v>
      </c>
      <c r="E101" s="150" t="s">
        <v>130</v>
      </c>
      <c r="F101" s="150" t="s">
        <v>131</v>
      </c>
      <c r="G101" s="150" t="s">
        <v>132</v>
      </c>
      <c r="H101" s="150" t="s">
        <v>133</v>
      </c>
      <c r="I101" s="150" t="s">
        <v>134</v>
      </c>
      <c r="K101" s="171">
        <v>2018</v>
      </c>
      <c r="L101" s="444"/>
      <c r="M101" s="416"/>
      <c r="N101" s="155">
        <v>931869</v>
      </c>
      <c r="O101" s="420"/>
      <c r="P101" s="155">
        <v>1169308</v>
      </c>
      <c r="Q101" s="211">
        <v>79.7</v>
      </c>
      <c r="R101" s="211"/>
      <c r="S101" s="163" t="s">
        <v>138</v>
      </c>
    </row>
    <row r="102" spans="1:19" ht="18" x14ac:dyDescent="0.25">
      <c r="A102" s="153" t="s">
        <v>135</v>
      </c>
      <c r="B102" s="419" t="s">
        <v>136</v>
      </c>
      <c r="C102" s="419" t="s">
        <v>154</v>
      </c>
      <c r="D102" s="154">
        <v>66860</v>
      </c>
      <c r="E102" s="419" t="s">
        <v>158</v>
      </c>
      <c r="F102" s="154">
        <v>348194</v>
      </c>
      <c r="G102" s="153">
        <v>19.2</v>
      </c>
      <c r="H102" s="153"/>
      <c r="I102" s="172" t="s">
        <v>138</v>
      </c>
      <c r="K102" s="160">
        <v>2017</v>
      </c>
      <c r="L102" s="444"/>
      <c r="M102" s="416"/>
      <c r="N102" s="155">
        <v>1015638</v>
      </c>
      <c r="O102" s="420"/>
      <c r="P102" s="155">
        <v>1169308</v>
      </c>
      <c r="Q102" s="161">
        <v>86.9</v>
      </c>
      <c r="R102" s="164"/>
      <c r="S102" s="163" t="s">
        <v>138</v>
      </c>
    </row>
    <row r="103" spans="1:19" ht="15.75" x14ac:dyDescent="0.25">
      <c r="A103" s="153">
        <v>2018</v>
      </c>
      <c r="B103" s="420"/>
      <c r="C103" s="420"/>
      <c r="D103" s="154">
        <v>129355</v>
      </c>
      <c r="E103" s="420"/>
      <c r="F103" s="154">
        <v>348194</v>
      </c>
      <c r="G103" s="153">
        <v>37.200000000000003</v>
      </c>
      <c r="H103" s="153"/>
      <c r="I103" s="172" t="s">
        <v>138</v>
      </c>
      <c r="K103" s="163" t="s">
        <v>178</v>
      </c>
      <c r="L103" s="444"/>
      <c r="M103" s="416"/>
      <c r="N103" s="155">
        <v>1053214</v>
      </c>
      <c r="O103" s="420"/>
      <c r="P103" s="155">
        <v>1169308</v>
      </c>
      <c r="Q103" s="161">
        <v>90.1</v>
      </c>
      <c r="R103" s="164"/>
      <c r="S103" s="163" t="s">
        <v>138</v>
      </c>
    </row>
    <row r="104" spans="1:19" ht="15.75" x14ac:dyDescent="0.25">
      <c r="A104" s="160">
        <v>2017</v>
      </c>
      <c r="B104" s="420"/>
      <c r="C104" s="420"/>
      <c r="D104" s="155">
        <v>114117</v>
      </c>
      <c r="E104" s="420"/>
      <c r="F104" s="155">
        <v>331902</v>
      </c>
      <c r="G104" s="161">
        <v>34.4</v>
      </c>
      <c r="H104" s="164"/>
      <c r="I104" s="172" t="s">
        <v>138</v>
      </c>
      <c r="K104" s="160">
        <v>2015</v>
      </c>
      <c r="L104" s="444"/>
      <c r="M104" s="416"/>
      <c r="N104" s="155">
        <v>558583</v>
      </c>
      <c r="O104" s="420"/>
      <c r="P104" s="155">
        <v>1172832</v>
      </c>
      <c r="Q104" s="161">
        <v>47.6</v>
      </c>
      <c r="R104" s="164"/>
      <c r="S104" s="163" t="s">
        <v>138</v>
      </c>
    </row>
    <row r="105" spans="1:19" ht="15.75" x14ac:dyDescent="0.25">
      <c r="A105" s="160">
        <v>2016</v>
      </c>
      <c r="B105" s="420"/>
      <c r="C105" s="420"/>
      <c r="D105" s="155">
        <v>151456</v>
      </c>
      <c r="E105" s="420"/>
      <c r="F105" s="155">
        <v>312351</v>
      </c>
      <c r="G105" s="161">
        <v>48.5</v>
      </c>
      <c r="H105" s="164"/>
      <c r="I105" s="172" t="s">
        <v>138</v>
      </c>
      <c r="K105" s="160">
        <v>2014</v>
      </c>
      <c r="L105" s="444"/>
      <c r="M105" s="416"/>
      <c r="N105" s="155">
        <v>830700</v>
      </c>
      <c r="O105" s="420"/>
      <c r="P105" s="155">
        <v>728577</v>
      </c>
      <c r="Q105" s="161">
        <v>114</v>
      </c>
      <c r="R105" s="164"/>
      <c r="S105" s="163" t="s">
        <v>138</v>
      </c>
    </row>
    <row r="106" spans="1:19" ht="15.75" x14ac:dyDescent="0.25">
      <c r="A106" s="160">
        <v>2015</v>
      </c>
      <c r="B106" s="420"/>
      <c r="C106" s="420"/>
      <c r="D106" s="155">
        <v>58348</v>
      </c>
      <c r="E106" s="420"/>
      <c r="F106" s="155">
        <v>310023</v>
      </c>
      <c r="G106" s="161">
        <v>18.8</v>
      </c>
      <c r="H106" s="164"/>
      <c r="I106" s="172" t="s">
        <v>138</v>
      </c>
      <c r="K106" s="160">
        <v>2013</v>
      </c>
      <c r="L106" s="444"/>
      <c r="M106" s="416"/>
      <c r="N106" s="155">
        <v>803450</v>
      </c>
      <c r="O106" s="420"/>
      <c r="P106" s="155">
        <v>728577</v>
      </c>
      <c r="Q106" s="161">
        <v>110.3</v>
      </c>
      <c r="R106" s="164"/>
      <c r="S106" s="163" t="s">
        <v>138</v>
      </c>
    </row>
    <row r="107" spans="1:19" ht="15.75" x14ac:dyDescent="0.25">
      <c r="A107" s="160">
        <v>2014</v>
      </c>
      <c r="B107" s="420"/>
      <c r="C107" s="420"/>
      <c r="D107" s="155">
        <v>169447</v>
      </c>
      <c r="E107" s="420"/>
      <c r="F107" s="155">
        <v>340060</v>
      </c>
      <c r="G107" s="161">
        <v>49.8</v>
      </c>
      <c r="H107" s="164"/>
      <c r="I107" s="163" t="s">
        <v>143</v>
      </c>
      <c r="K107" s="212">
        <v>2012</v>
      </c>
      <c r="L107" s="492"/>
      <c r="M107" s="493"/>
      <c r="N107" s="195">
        <v>428982</v>
      </c>
      <c r="O107" s="443"/>
      <c r="P107" s="195">
        <v>882388</v>
      </c>
      <c r="Q107" s="196">
        <v>48.6</v>
      </c>
      <c r="R107" s="197"/>
      <c r="S107" s="201" t="s">
        <v>143</v>
      </c>
    </row>
    <row r="108" spans="1:19" ht="15.75" x14ac:dyDescent="0.25">
      <c r="A108" s="160">
        <v>2013</v>
      </c>
      <c r="B108" s="420"/>
      <c r="C108" s="420"/>
      <c r="D108" s="155">
        <v>78472</v>
      </c>
      <c r="E108" s="420"/>
      <c r="F108" s="155">
        <v>340060</v>
      </c>
      <c r="G108" s="161">
        <v>23.1</v>
      </c>
      <c r="H108" s="164"/>
      <c r="I108" s="163" t="s">
        <v>143</v>
      </c>
      <c r="K108" s="494" t="s">
        <v>187</v>
      </c>
      <c r="L108" s="494"/>
      <c r="M108" s="494"/>
      <c r="N108" s="494"/>
      <c r="O108" s="494"/>
      <c r="P108" s="494"/>
      <c r="Q108" s="494"/>
      <c r="R108" s="494"/>
      <c r="S108" s="494"/>
    </row>
    <row r="109" spans="1:19" ht="15.75" x14ac:dyDescent="0.25">
      <c r="A109" s="160">
        <v>2012</v>
      </c>
      <c r="B109" s="420"/>
      <c r="C109" s="420"/>
      <c r="D109" s="155">
        <v>177097</v>
      </c>
      <c r="E109" s="420"/>
      <c r="F109" s="155">
        <v>340060</v>
      </c>
      <c r="G109" s="161">
        <v>52.1</v>
      </c>
      <c r="H109" s="164"/>
      <c r="I109" s="163" t="s">
        <v>143</v>
      </c>
      <c r="K109" s="494"/>
      <c r="L109" s="494"/>
      <c r="M109" s="494"/>
      <c r="N109" s="494"/>
      <c r="O109" s="494"/>
      <c r="P109" s="494"/>
      <c r="Q109" s="494"/>
      <c r="R109" s="494"/>
      <c r="S109" s="494"/>
    </row>
    <row r="110" spans="1:19" ht="15.75" x14ac:dyDescent="0.25">
      <c r="A110" s="160">
        <v>2011</v>
      </c>
      <c r="B110" s="420"/>
      <c r="C110" s="420"/>
      <c r="D110" s="155">
        <v>169854</v>
      </c>
      <c r="E110" s="420"/>
      <c r="F110" s="155">
        <v>340060</v>
      </c>
      <c r="G110" s="161">
        <v>49.9</v>
      </c>
      <c r="H110" s="164"/>
      <c r="I110" s="163" t="s">
        <v>143</v>
      </c>
      <c r="K110" s="430"/>
      <c r="L110" s="430"/>
      <c r="M110" s="430"/>
      <c r="N110" s="430"/>
      <c r="O110" s="430"/>
      <c r="P110" s="430"/>
      <c r="Q110" s="430"/>
      <c r="R110" s="430"/>
      <c r="S110" s="430"/>
    </row>
    <row r="111" spans="1:19" ht="15.75" x14ac:dyDescent="0.25">
      <c r="A111" s="160">
        <v>2010</v>
      </c>
      <c r="B111" s="421"/>
      <c r="C111" s="421"/>
      <c r="D111" s="155">
        <v>171841</v>
      </c>
      <c r="E111" s="421"/>
      <c r="F111" s="155">
        <v>340060</v>
      </c>
      <c r="G111" s="161">
        <v>50.5</v>
      </c>
      <c r="H111" s="164"/>
      <c r="I111" s="163" t="s">
        <v>143</v>
      </c>
      <c r="K111" s="482" t="s">
        <v>188</v>
      </c>
      <c r="L111" s="482"/>
      <c r="M111" s="482"/>
      <c r="N111" s="482"/>
      <c r="O111" s="482"/>
      <c r="P111" s="482"/>
      <c r="Q111" s="482"/>
      <c r="R111" s="482"/>
      <c r="S111" s="482"/>
    </row>
    <row r="112" spans="1:19" ht="31.5" x14ac:dyDescent="0.25">
      <c r="A112" s="431"/>
      <c r="B112" s="431"/>
      <c r="C112" s="431"/>
      <c r="D112" s="431"/>
      <c r="E112" s="431"/>
      <c r="F112" s="431"/>
      <c r="G112" s="431"/>
      <c r="H112" s="431"/>
      <c r="I112" s="431"/>
      <c r="K112" s="150" t="s">
        <v>20</v>
      </c>
      <c r="L112" s="150" t="s">
        <v>128</v>
      </c>
      <c r="M112" s="150" t="s">
        <v>152</v>
      </c>
      <c r="N112" s="150" t="s">
        <v>129</v>
      </c>
      <c r="O112" s="150" t="s">
        <v>130</v>
      </c>
      <c r="P112" s="150" t="s">
        <v>131</v>
      </c>
      <c r="Q112" s="150" t="s">
        <v>132</v>
      </c>
      <c r="R112" s="150" t="s">
        <v>133</v>
      </c>
      <c r="S112" s="150" t="s">
        <v>134</v>
      </c>
    </row>
    <row r="113" spans="1:19" ht="15.75" customHeight="1" x14ac:dyDescent="0.25">
      <c r="A113" s="426" t="s">
        <v>189</v>
      </c>
      <c r="B113" s="427"/>
      <c r="C113" s="427"/>
      <c r="D113" s="427"/>
      <c r="E113" s="427"/>
      <c r="F113" s="427"/>
      <c r="G113" s="427"/>
      <c r="H113" s="427"/>
      <c r="I113" s="428"/>
      <c r="K113" s="153" t="s">
        <v>135</v>
      </c>
      <c r="L113" s="414" t="s">
        <v>136</v>
      </c>
      <c r="M113" s="419" t="s">
        <v>190</v>
      </c>
      <c r="N113" s="155">
        <v>723</v>
      </c>
      <c r="O113" s="419" t="s">
        <v>191</v>
      </c>
      <c r="P113" s="155">
        <v>4983</v>
      </c>
      <c r="Q113" s="153"/>
      <c r="R113" s="153"/>
      <c r="S113" s="172" t="s">
        <v>138</v>
      </c>
    </row>
    <row r="114" spans="1:19" ht="31.5" x14ac:dyDescent="0.25">
      <c r="A114" s="150" t="s">
        <v>20</v>
      </c>
      <c r="B114" s="411" t="s">
        <v>128</v>
      </c>
      <c r="C114" s="412"/>
      <c r="D114" s="150" t="s">
        <v>129</v>
      </c>
      <c r="E114" s="150" t="s">
        <v>130</v>
      </c>
      <c r="F114" s="150" t="s">
        <v>131</v>
      </c>
      <c r="G114" s="150" t="s">
        <v>132</v>
      </c>
      <c r="H114" s="150" t="s">
        <v>133</v>
      </c>
      <c r="I114" s="150" t="s">
        <v>134</v>
      </c>
      <c r="K114" s="171">
        <v>2018</v>
      </c>
      <c r="L114" s="416"/>
      <c r="M114" s="420"/>
      <c r="N114" s="155">
        <v>2766</v>
      </c>
      <c r="O114" s="420"/>
      <c r="P114" s="155">
        <v>4983</v>
      </c>
      <c r="Q114" s="153">
        <v>55.5</v>
      </c>
      <c r="R114" s="153"/>
      <c r="S114" s="163" t="s">
        <v>138</v>
      </c>
    </row>
    <row r="115" spans="1:19" ht="18" x14ac:dyDescent="0.25">
      <c r="A115" s="153" t="s">
        <v>135</v>
      </c>
      <c r="B115" s="413" t="s">
        <v>136</v>
      </c>
      <c r="C115" s="414"/>
      <c r="D115" s="154">
        <v>15362</v>
      </c>
      <c r="E115" s="419" t="s">
        <v>191</v>
      </c>
      <c r="F115" s="154">
        <v>2316</v>
      </c>
      <c r="G115" s="153">
        <v>663.3</v>
      </c>
      <c r="H115" s="193">
        <v>43633</v>
      </c>
      <c r="I115" s="172" t="s">
        <v>138</v>
      </c>
      <c r="K115" s="160">
        <v>2017</v>
      </c>
      <c r="L115" s="416"/>
      <c r="M115" s="420"/>
      <c r="N115" s="155">
        <v>1834</v>
      </c>
      <c r="O115" s="420"/>
      <c r="P115" s="155">
        <v>4819</v>
      </c>
      <c r="Q115" s="161">
        <v>38.1</v>
      </c>
      <c r="R115" s="164"/>
      <c r="S115" s="163" t="s">
        <v>138</v>
      </c>
    </row>
    <row r="116" spans="1:19" ht="15.75" x14ac:dyDescent="0.25">
      <c r="A116" s="153">
        <v>2018</v>
      </c>
      <c r="B116" s="415"/>
      <c r="C116" s="416"/>
      <c r="D116" s="154">
        <v>3112</v>
      </c>
      <c r="E116" s="420"/>
      <c r="F116" s="154">
        <v>2187</v>
      </c>
      <c r="G116" s="153">
        <v>142.30000000000001</v>
      </c>
      <c r="H116" s="193">
        <v>43340</v>
      </c>
      <c r="I116" s="172" t="s">
        <v>138</v>
      </c>
      <c r="K116" s="160">
        <v>2016</v>
      </c>
      <c r="L116" s="416"/>
      <c r="M116" s="420"/>
      <c r="N116" s="155">
        <v>9746</v>
      </c>
      <c r="O116" s="420"/>
      <c r="P116" s="155">
        <v>4483</v>
      </c>
      <c r="Q116" s="161">
        <v>217.4</v>
      </c>
      <c r="R116" s="164"/>
      <c r="S116" s="163" t="s">
        <v>138</v>
      </c>
    </row>
    <row r="117" spans="1:19" ht="15.75" x14ac:dyDescent="0.25">
      <c r="A117" s="160">
        <v>2017</v>
      </c>
      <c r="B117" s="415"/>
      <c r="C117" s="416"/>
      <c r="D117" s="160">
        <v>1746</v>
      </c>
      <c r="E117" s="420"/>
      <c r="F117" s="155">
        <v>3019</v>
      </c>
      <c r="G117" s="161">
        <v>57.8</v>
      </c>
      <c r="H117" s="164"/>
      <c r="I117" s="163" t="s">
        <v>143</v>
      </c>
      <c r="K117" s="160">
        <v>2015</v>
      </c>
      <c r="L117" s="416"/>
      <c r="M117" s="420"/>
      <c r="N117" s="155">
        <v>1621</v>
      </c>
      <c r="O117" s="420"/>
      <c r="P117" s="155">
        <v>4152</v>
      </c>
      <c r="Q117" s="161">
        <v>39</v>
      </c>
      <c r="R117" s="187">
        <v>42248</v>
      </c>
      <c r="S117" s="163" t="s">
        <v>138</v>
      </c>
    </row>
    <row r="118" spans="1:19" ht="15.75" x14ac:dyDescent="0.25">
      <c r="A118" s="160">
        <v>2016</v>
      </c>
      <c r="B118" s="415"/>
      <c r="C118" s="416"/>
      <c r="D118" s="155">
        <v>13010</v>
      </c>
      <c r="E118" s="420"/>
      <c r="F118" s="155">
        <v>3019</v>
      </c>
      <c r="G118" s="161">
        <v>430.9</v>
      </c>
      <c r="H118" s="187">
        <v>42609</v>
      </c>
      <c r="I118" s="163" t="s">
        <v>143</v>
      </c>
      <c r="K118" s="160">
        <v>2014</v>
      </c>
      <c r="L118" s="416"/>
      <c r="M118" s="420"/>
      <c r="N118" s="155">
        <v>1214</v>
      </c>
      <c r="O118" s="420"/>
      <c r="P118" s="160">
        <v>523</v>
      </c>
      <c r="Q118" s="161">
        <v>232.1</v>
      </c>
      <c r="R118" s="187">
        <v>41797</v>
      </c>
      <c r="S118" s="163" t="s">
        <v>143</v>
      </c>
    </row>
    <row r="119" spans="1:19" ht="15.75" x14ac:dyDescent="0.25">
      <c r="A119" s="160">
        <v>2015</v>
      </c>
      <c r="B119" s="415"/>
      <c r="C119" s="416"/>
      <c r="D119" s="155">
        <v>3595</v>
      </c>
      <c r="E119" s="420"/>
      <c r="F119" s="155">
        <v>3019</v>
      </c>
      <c r="G119" s="161">
        <v>119.1</v>
      </c>
      <c r="H119" s="187">
        <v>42227</v>
      </c>
      <c r="I119" s="163" t="s">
        <v>143</v>
      </c>
      <c r="K119" s="160">
        <v>2013</v>
      </c>
      <c r="L119" s="416"/>
      <c r="M119" s="420"/>
      <c r="N119" s="155">
        <v>2048</v>
      </c>
      <c r="O119" s="420"/>
      <c r="P119" s="160">
        <v>523</v>
      </c>
      <c r="Q119" s="161">
        <v>391.6</v>
      </c>
      <c r="R119" s="187">
        <v>41425</v>
      </c>
      <c r="S119" s="163" t="s">
        <v>143</v>
      </c>
    </row>
    <row r="120" spans="1:19" ht="15.75" x14ac:dyDescent="0.25">
      <c r="A120" s="160">
        <v>2014</v>
      </c>
      <c r="B120" s="415"/>
      <c r="C120" s="416"/>
      <c r="D120" s="155">
        <v>1357</v>
      </c>
      <c r="E120" s="420"/>
      <c r="F120" s="155">
        <v>3019</v>
      </c>
      <c r="G120" s="161">
        <v>44.9</v>
      </c>
      <c r="H120" s="187">
        <v>41797</v>
      </c>
      <c r="I120" s="163" t="s">
        <v>143</v>
      </c>
      <c r="K120" s="160">
        <v>2012</v>
      </c>
      <c r="L120" s="416"/>
      <c r="M120" s="420"/>
      <c r="N120" s="155">
        <v>2065</v>
      </c>
      <c r="O120" s="420"/>
      <c r="P120" s="160">
        <v>523</v>
      </c>
      <c r="Q120" s="161">
        <v>394.8</v>
      </c>
      <c r="R120" s="164"/>
      <c r="S120" s="163" t="s">
        <v>143</v>
      </c>
    </row>
    <row r="121" spans="1:19" ht="15.75" x14ac:dyDescent="0.25">
      <c r="A121" s="160">
        <v>2013</v>
      </c>
      <c r="B121" s="415"/>
      <c r="C121" s="416"/>
      <c r="D121" s="155">
        <v>4143</v>
      </c>
      <c r="E121" s="420"/>
      <c r="F121" s="155">
        <v>3019</v>
      </c>
      <c r="G121" s="161">
        <v>137.19999999999999</v>
      </c>
      <c r="H121" s="187">
        <v>41428</v>
      </c>
      <c r="I121" s="163" t="s">
        <v>143</v>
      </c>
      <c r="K121" s="160">
        <v>2011</v>
      </c>
      <c r="L121" s="416"/>
      <c r="M121" s="420"/>
      <c r="N121" s="160">
        <v>151</v>
      </c>
      <c r="O121" s="420"/>
      <c r="P121" s="160">
        <v>523</v>
      </c>
      <c r="Q121" s="161">
        <v>28.9</v>
      </c>
      <c r="R121" s="164"/>
      <c r="S121" s="163" t="s">
        <v>143</v>
      </c>
    </row>
    <row r="122" spans="1:19" ht="15.75" x14ac:dyDescent="0.25">
      <c r="A122" s="160">
        <v>2012</v>
      </c>
      <c r="B122" s="415"/>
      <c r="C122" s="416"/>
      <c r="D122" s="155">
        <v>3627</v>
      </c>
      <c r="E122" s="420"/>
      <c r="F122" s="155">
        <v>3019</v>
      </c>
      <c r="G122" s="161">
        <v>120.1</v>
      </c>
      <c r="H122" s="164"/>
      <c r="I122" s="163" t="s">
        <v>143</v>
      </c>
      <c r="K122" s="160">
        <v>2010</v>
      </c>
      <c r="L122" s="418"/>
      <c r="M122" s="421"/>
      <c r="N122" s="155">
        <v>2065</v>
      </c>
      <c r="O122" s="421"/>
      <c r="P122" s="160">
        <v>523</v>
      </c>
      <c r="Q122" s="161">
        <v>394.8</v>
      </c>
      <c r="R122" s="164"/>
      <c r="S122" s="163" t="s">
        <v>143</v>
      </c>
    </row>
    <row r="123" spans="1:19" ht="15.75" x14ac:dyDescent="0.25">
      <c r="A123" s="160">
        <v>2011</v>
      </c>
      <c r="B123" s="415"/>
      <c r="C123" s="416"/>
      <c r="D123" s="155">
        <v>9863</v>
      </c>
      <c r="E123" s="420"/>
      <c r="F123" s="155">
        <v>1578</v>
      </c>
      <c r="G123" s="161">
        <v>625</v>
      </c>
      <c r="H123" s="187">
        <v>40822</v>
      </c>
      <c r="I123" s="163" t="s">
        <v>143</v>
      </c>
      <c r="K123" s="431"/>
      <c r="L123" s="431"/>
      <c r="M123" s="431"/>
      <c r="N123" s="431"/>
      <c r="O123" s="431"/>
      <c r="P123" s="431"/>
      <c r="Q123" s="431"/>
      <c r="R123" s="431"/>
      <c r="S123" s="431"/>
    </row>
    <row r="124" spans="1:19" ht="15.75" x14ac:dyDescent="0.25">
      <c r="A124" s="160">
        <v>2010</v>
      </c>
      <c r="B124" s="417"/>
      <c r="C124" s="418"/>
      <c r="D124" s="155">
        <v>4383</v>
      </c>
      <c r="E124" s="421"/>
      <c r="F124" s="155">
        <v>1578</v>
      </c>
      <c r="G124" s="161">
        <v>277.8</v>
      </c>
      <c r="H124" s="164"/>
      <c r="I124" s="163" t="s">
        <v>143</v>
      </c>
      <c r="K124" s="482" t="s">
        <v>192</v>
      </c>
      <c r="L124" s="482"/>
      <c r="M124" s="482"/>
      <c r="N124" s="482"/>
      <c r="O124" s="482"/>
      <c r="P124" s="482"/>
      <c r="Q124" s="482"/>
      <c r="R124" s="482"/>
      <c r="S124" s="482"/>
    </row>
    <row r="125" spans="1:19" ht="31.5" x14ac:dyDescent="0.25">
      <c r="A125" s="431"/>
      <c r="B125" s="431"/>
      <c r="C125" s="431"/>
      <c r="D125" s="431"/>
      <c r="E125" s="431"/>
      <c r="F125" s="431"/>
      <c r="G125" s="431"/>
      <c r="H125" s="431"/>
      <c r="I125" s="431"/>
      <c r="K125" s="150" t="s">
        <v>20</v>
      </c>
      <c r="L125" s="411" t="s">
        <v>128</v>
      </c>
      <c r="M125" s="412"/>
      <c r="N125" s="150" t="s">
        <v>129</v>
      </c>
      <c r="O125" s="150" t="s">
        <v>130</v>
      </c>
      <c r="P125" s="150" t="s">
        <v>131</v>
      </c>
      <c r="Q125" s="150" t="s">
        <v>132</v>
      </c>
      <c r="R125" s="150" t="s">
        <v>133</v>
      </c>
      <c r="S125" s="150" t="s">
        <v>134</v>
      </c>
    </row>
    <row r="126" spans="1:19" ht="15.75" customHeight="1" x14ac:dyDescent="0.25">
      <c r="A126" s="426" t="s">
        <v>7</v>
      </c>
      <c r="B126" s="427"/>
      <c r="C126" s="427"/>
      <c r="D126" s="427"/>
      <c r="E126" s="427"/>
      <c r="F126" s="427"/>
      <c r="G126" s="427"/>
      <c r="H126" s="427"/>
      <c r="I126" s="428"/>
      <c r="K126" s="153" t="s">
        <v>139</v>
      </c>
      <c r="L126" s="413" t="s">
        <v>140</v>
      </c>
      <c r="M126" s="414"/>
      <c r="N126" s="155">
        <v>690618</v>
      </c>
      <c r="O126" s="419" t="s">
        <v>137</v>
      </c>
      <c r="P126" s="155">
        <v>2727000</v>
      </c>
      <c r="Q126" s="153">
        <v>25.3</v>
      </c>
      <c r="R126" s="153"/>
      <c r="S126" s="158" t="s">
        <v>138</v>
      </c>
    </row>
    <row r="127" spans="1:19" ht="31.5" x14ac:dyDescent="0.25">
      <c r="A127" s="150" t="s">
        <v>20</v>
      </c>
      <c r="B127" s="411" t="s">
        <v>128</v>
      </c>
      <c r="C127" s="412"/>
      <c r="D127" s="150" t="s">
        <v>129</v>
      </c>
      <c r="E127" s="150" t="s">
        <v>130</v>
      </c>
      <c r="F127" s="150" t="s">
        <v>131</v>
      </c>
      <c r="G127" s="150" t="s">
        <v>132</v>
      </c>
      <c r="H127" s="150" t="s">
        <v>133</v>
      </c>
      <c r="I127" s="150" t="s">
        <v>134</v>
      </c>
      <c r="K127" s="153" t="s">
        <v>141</v>
      </c>
      <c r="L127" s="415"/>
      <c r="M127" s="416"/>
      <c r="N127" s="155">
        <v>1229242</v>
      </c>
      <c r="O127" s="420"/>
      <c r="P127" s="155">
        <v>2727000</v>
      </c>
      <c r="Q127" s="153">
        <v>45.1</v>
      </c>
      <c r="R127" s="153"/>
      <c r="S127" s="158" t="s">
        <v>138</v>
      </c>
    </row>
    <row r="128" spans="1:19" ht="18" x14ac:dyDescent="0.25">
      <c r="A128" s="153" t="s">
        <v>135</v>
      </c>
      <c r="B128" s="413" t="s">
        <v>136</v>
      </c>
      <c r="C128" s="414"/>
      <c r="D128" s="154">
        <v>182154</v>
      </c>
      <c r="E128" s="419" t="s">
        <v>137</v>
      </c>
      <c r="F128" s="155">
        <v>404675</v>
      </c>
      <c r="G128" s="173">
        <v>45</v>
      </c>
      <c r="H128" s="153"/>
      <c r="I128" s="163" t="s">
        <v>138</v>
      </c>
      <c r="K128" s="163" t="s">
        <v>142</v>
      </c>
      <c r="L128" s="415"/>
      <c r="M128" s="416"/>
      <c r="N128" s="155">
        <v>726865</v>
      </c>
      <c r="O128" s="420"/>
      <c r="P128" s="155">
        <v>2727000</v>
      </c>
      <c r="Q128" s="161">
        <v>26.7</v>
      </c>
      <c r="R128" s="164"/>
      <c r="S128" s="163" t="s">
        <v>138</v>
      </c>
    </row>
    <row r="129" spans="1:19" ht="15.75" x14ac:dyDescent="0.25">
      <c r="A129" s="153">
        <v>2018</v>
      </c>
      <c r="B129" s="415"/>
      <c r="C129" s="416"/>
      <c r="D129" s="154">
        <v>329581</v>
      </c>
      <c r="E129" s="420"/>
      <c r="F129" s="155">
        <v>404675</v>
      </c>
      <c r="G129" s="153">
        <v>81.400000000000006</v>
      </c>
      <c r="H129" s="153"/>
      <c r="I129" s="163" t="s">
        <v>138</v>
      </c>
      <c r="K129" s="163" t="s">
        <v>144</v>
      </c>
      <c r="L129" s="415"/>
      <c r="M129" s="416"/>
      <c r="N129" s="155">
        <v>972161</v>
      </c>
      <c r="O129" s="420"/>
      <c r="P129" s="155">
        <v>2727000</v>
      </c>
      <c r="Q129" s="161">
        <v>35.6</v>
      </c>
      <c r="R129" s="164"/>
      <c r="S129" s="163" t="s">
        <v>138</v>
      </c>
    </row>
    <row r="130" spans="1:19" ht="15.75" x14ac:dyDescent="0.25">
      <c r="A130" s="160">
        <v>2017</v>
      </c>
      <c r="B130" s="415"/>
      <c r="C130" s="416"/>
      <c r="D130" s="155">
        <v>448996</v>
      </c>
      <c r="E130" s="420"/>
      <c r="F130" s="155">
        <v>404675</v>
      </c>
      <c r="G130" s="161">
        <v>111</v>
      </c>
      <c r="H130" s="164"/>
      <c r="I130" s="163" t="s">
        <v>138</v>
      </c>
      <c r="K130" s="163" t="s">
        <v>145</v>
      </c>
      <c r="L130" s="415"/>
      <c r="M130" s="416"/>
      <c r="N130" s="155">
        <v>814094</v>
      </c>
      <c r="O130" s="420"/>
      <c r="P130" s="155">
        <v>2727000</v>
      </c>
      <c r="Q130" s="161">
        <v>29.9</v>
      </c>
      <c r="R130" s="164"/>
      <c r="S130" s="163" t="s">
        <v>138</v>
      </c>
    </row>
    <row r="131" spans="1:19" ht="15.75" x14ac:dyDescent="0.25">
      <c r="A131" s="160">
        <v>2016</v>
      </c>
      <c r="B131" s="415"/>
      <c r="C131" s="416"/>
      <c r="D131" s="155">
        <v>393302</v>
      </c>
      <c r="E131" s="420"/>
      <c r="F131" s="155">
        <v>404675</v>
      </c>
      <c r="G131" s="161">
        <v>97.2</v>
      </c>
      <c r="H131" s="164"/>
      <c r="I131" s="163" t="s">
        <v>138</v>
      </c>
      <c r="K131" s="163" t="s">
        <v>146</v>
      </c>
      <c r="L131" s="415"/>
      <c r="M131" s="416"/>
      <c r="N131" s="155">
        <v>1019629</v>
      </c>
      <c r="O131" s="420"/>
      <c r="P131" s="155">
        <v>2727000</v>
      </c>
      <c r="Q131" s="161">
        <v>37.4</v>
      </c>
      <c r="R131" s="164"/>
      <c r="S131" s="163" t="s">
        <v>143</v>
      </c>
    </row>
    <row r="132" spans="1:19" ht="15.75" x14ac:dyDescent="0.25">
      <c r="A132" s="160">
        <v>2015</v>
      </c>
      <c r="B132" s="415"/>
      <c r="C132" s="416"/>
      <c r="D132" s="155">
        <v>354237</v>
      </c>
      <c r="E132" s="420"/>
      <c r="F132" s="155">
        <v>404675</v>
      </c>
      <c r="G132" s="161">
        <v>87.5</v>
      </c>
      <c r="H132" s="164"/>
      <c r="I132" s="163" t="s">
        <v>138</v>
      </c>
      <c r="K132" s="163" t="s">
        <v>147</v>
      </c>
      <c r="L132" s="415"/>
      <c r="M132" s="416"/>
      <c r="N132" s="155">
        <v>1864168</v>
      </c>
      <c r="O132" s="420"/>
      <c r="P132" s="155">
        <v>2560000</v>
      </c>
      <c r="Q132" s="161">
        <v>72.8</v>
      </c>
      <c r="R132" s="164"/>
      <c r="S132" s="163" t="s">
        <v>143</v>
      </c>
    </row>
    <row r="133" spans="1:19" ht="15.75" x14ac:dyDescent="0.25">
      <c r="A133" s="160">
        <v>2014</v>
      </c>
      <c r="B133" s="415"/>
      <c r="C133" s="416"/>
      <c r="D133" s="155">
        <v>431516</v>
      </c>
      <c r="E133" s="420"/>
      <c r="F133" s="155">
        <v>353638</v>
      </c>
      <c r="G133" s="161">
        <v>122</v>
      </c>
      <c r="H133" s="164"/>
      <c r="I133" s="163" t="s">
        <v>138</v>
      </c>
      <c r="K133" s="163" t="s">
        <v>148</v>
      </c>
      <c r="L133" s="417"/>
      <c r="M133" s="418"/>
      <c r="N133" s="155">
        <v>1377762</v>
      </c>
      <c r="O133" s="421"/>
      <c r="P133" s="155">
        <v>2560000</v>
      </c>
      <c r="Q133" s="161">
        <v>53.8</v>
      </c>
      <c r="R133" s="164"/>
      <c r="S133" s="163" t="s">
        <v>143</v>
      </c>
    </row>
    <row r="134" spans="1:19" ht="15.75" x14ac:dyDescent="0.25">
      <c r="A134" s="160">
        <v>2013</v>
      </c>
      <c r="B134" s="415"/>
      <c r="C134" s="416"/>
      <c r="D134" s="155">
        <v>373983</v>
      </c>
      <c r="E134" s="420"/>
      <c r="F134" s="155">
        <v>353638</v>
      </c>
      <c r="G134" s="161">
        <v>105.8</v>
      </c>
      <c r="H134" s="164"/>
      <c r="I134" s="201" t="s">
        <v>138</v>
      </c>
      <c r="K134" s="213"/>
      <c r="L134" s="213"/>
      <c r="M134" s="213"/>
      <c r="N134" s="213"/>
      <c r="O134" s="213"/>
      <c r="P134" s="213"/>
      <c r="Q134" s="213"/>
      <c r="R134" s="213"/>
      <c r="S134" s="213"/>
    </row>
    <row r="135" spans="1:19" ht="15.75" customHeight="1" x14ac:dyDescent="0.25">
      <c r="A135" s="160">
        <v>2012</v>
      </c>
      <c r="B135" s="417"/>
      <c r="C135" s="418"/>
      <c r="D135" s="155">
        <v>383466</v>
      </c>
      <c r="E135" s="421"/>
      <c r="F135" s="155">
        <v>367303</v>
      </c>
      <c r="G135" s="161">
        <v>104.4</v>
      </c>
      <c r="H135" s="162"/>
      <c r="I135" s="178" t="s">
        <v>143</v>
      </c>
      <c r="K135" s="482" t="s">
        <v>193</v>
      </c>
      <c r="L135" s="482"/>
      <c r="M135" s="482"/>
      <c r="N135" s="482"/>
      <c r="O135" s="482"/>
      <c r="P135" s="482"/>
      <c r="Q135" s="482"/>
      <c r="R135" s="482"/>
      <c r="S135" s="482"/>
    </row>
    <row r="136" spans="1:19" ht="31.5" x14ac:dyDescent="0.25">
      <c r="A136" s="206"/>
      <c r="B136" s="204"/>
      <c r="C136" s="204"/>
      <c r="D136" s="214"/>
      <c r="E136" s="204"/>
      <c r="F136" s="214"/>
      <c r="G136" s="215"/>
      <c r="H136" s="213"/>
      <c r="I136" s="204"/>
      <c r="K136" s="150" t="s">
        <v>20</v>
      </c>
      <c r="L136" s="411" t="s">
        <v>128</v>
      </c>
      <c r="M136" s="412"/>
      <c r="N136" s="150" t="s">
        <v>129</v>
      </c>
      <c r="O136" s="150" t="s">
        <v>130</v>
      </c>
      <c r="P136" s="150" t="s">
        <v>131</v>
      </c>
      <c r="Q136" s="150" t="s">
        <v>132</v>
      </c>
      <c r="R136" s="150" t="s">
        <v>133</v>
      </c>
      <c r="S136" s="150" t="s">
        <v>134</v>
      </c>
    </row>
    <row r="137" spans="1:19" ht="15.75" customHeight="1" x14ac:dyDescent="0.25">
      <c r="A137" s="426" t="s">
        <v>194</v>
      </c>
      <c r="B137" s="427"/>
      <c r="C137" s="427"/>
      <c r="D137" s="427"/>
      <c r="E137" s="427"/>
      <c r="F137" s="427"/>
      <c r="G137" s="427"/>
      <c r="H137" s="427"/>
      <c r="I137" s="495"/>
      <c r="K137" s="153" t="s">
        <v>135</v>
      </c>
      <c r="L137" s="413" t="s">
        <v>136</v>
      </c>
      <c r="M137" s="414"/>
      <c r="N137" s="154">
        <v>203382</v>
      </c>
      <c r="O137" s="419" t="s">
        <v>137</v>
      </c>
      <c r="P137" s="155">
        <v>406080</v>
      </c>
      <c r="Q137" s="153">
        <v>50.1</v>
      </c>
      <c r="R137" s="153"/>
      <c r="S137" s="163" t="s">
        <v>138</v>
      </c>
    </row>
    <row r="138" spans="1:19" ht="31.5" x14ac:dyDescent="0.25">
      <c r="A138" s="150" t="s">
        <v>20</v>
      </c>
      <c r="B138" s="411" t="s">
        <v>128</v>
      </c>
      <c r="C138" s="412"/>
      <c r="D138" s="150" t="s">
        <v>129</v>
      </c>
      <c r="E138" s="150" t="s">
        <v>130</v>
      </c>
      <c r="F138" s="150" t="s">
        <v>131</v>
      </c>
      <c r="G138" s="150" t="s">
        <v>132</v>
      </c>
      <c r="H138" s="150" t="s">
        <v>133</v>
      </c>
      <c r="I138" s="150" t="s">
        <v>134</v>
      </c>
      <c r="K138" s="171">
        <v>2018</v>
      </c>
      <c r="L138" s="415"/>
      <c r="M138" s="416"/>
      <c r="N138" s="154">
        <v>314335</v>
      </c>
      <c r="O138" s="420"/>
      <c r="P138" s="155">
        <v>406080</v>
      </c>
      <c r="Q138" s="153">
        <v>77.400000000000006</v>
      </c>
      <c r="R138" s="153"/>
      <c r="S138" s="163" t="s">
        <v>138</v>
      </c>
    </row>
    <row r="139" spans="1:19" ht="18" x14ac:dyDescent="0.25">
      <c r="A139" s="153" t="s">
        <v>139</v>
      </c>
      <c r="B139" s="413" t="s">
        <v>140</v>
      </c>
      <c r="C139" s="414"/>
      <c r="D139" s="155">
        <v>541571</v>
      </c>
      <c r="E139" s="419" t="s">
        <v>137</v>
      </c>
      <c r="F139" s="155">
        <v>1167837</v>
      </c>
      <c r="G139" s="153">
        <v>46.4</v>
      </c>
      <c r="H139" s="153"/>
      <c r="I139" s="163" t="s">
        <v>143</v>
      </c>
      <c r="K139" s="160">
        <v>2017</v>
      </c>
      <c r="L139" s="415"/>
      <c r="M139" s="416"/>
      <c r="N139" s="155">
        <v>319244</v>
      </c>
      <c r="O139" s="420"/>
      <c r="P139" s="155">
        <v>406080</v>
      </c>
      <c r="Q139" s="161">
        <v>78.599999999999994</v>
      </c>
      <c r="R139" s="164"/>
      <c r="S139" s="163" t="s">
        <v>138</v>
      </c>
    </row>
    <row r="140" spans="1:19" ht="15.75" x14ac:dyDescent="0.25">
      <c r="A140" s="153" t="s">
        <v>141</v>
      </c>
      <c r="B140" s="415"/>
      <c r="C140" s="416"/>
      <c r="D140" s="155">
        <v>732081</v>
      </c>
      <c r="E140" s="420"/>
      <c r="F140" s="155">
        <v>1167837</v>
      </c>
      <c r="G140" s="153">
        <v>62.7</v>
      </c>
      <c r="H140" s="153"/>
      <c r="I140" s="163" t="s">
        <v>143</v>
      </c>
      <c r="K140" s="160">
        <v>2016</v>
      </c>
      <c r="L140" s="415"/>
      <c r="M140" s="416"/>
      <c r="N140" s="155">
        <v>366063</v>
      </c>
      <c r="O140" s="420"/>
      <c r="P140" s="155">
        <v>406080</v>
      </c>
      <c r="Q140" s="161">
        <v>90.1</v>
      </c>
      <c r="R140" s="164"/>
      <c r="S140" s="163" t="s">
        <v>138</v>
      </c>
    </row>
    <row r="141" spans="1:19" ht="15.75" x14ac:dyDescent="0.25">
      <c r="A141" s="163" t="s">
        <v>142</v>
      </c>
      <c r="B141" s="415"/>
      <c r="C141" s="416"/>
      <c r="D141" s="155">
        <v>1216881</v>
      </c>
      <c r="E141" s="420"/>
      <c r="F141" s="155">
        <v>1167837</v>
      </c>
      <c r="G141" s="161">
        <v>104.2</v>
      </c>
      <c r="H141" s="187">
        <v>43039</v>
      </c>
      <c r="I141" s="163" t="s">
        <v>143</v>
      </c>
      <c r="K141" s="160">
        <v>2015</v>
      </c>
      <c r="L141" s="415"/>
      <c r="M141" s="416"/>
      <c r="N141" s="155">
        <v>331570</v>
      </c>
      <c r="O141" s="420"/>
      <c r="P141" s="155">
        <v>412480</v>
      </c>
      <c r="Q141" s="161">
        <v>80.400000000000006</v>
      </c>
      <c r="R141" s="164"/>
      <c r="S141" s="163" t="s">
        <v>138</v>
      </c>
    </row>
    <row r="142" spans="1:19" ht="15.75" x14ac:dyDescent="0.25">
      <c r="A142" s="163" t="s">
        <v>144</v>
      </c>
      <c r="B142" s="415"/>
      <c r="C142" s="416"/>
      <c r="D142" s="155">
        <v>1226054</v>
      </c>
      <c r="E142" s="420"/>
      <c r="F142" s="155">
        <v>1167837</v>
      </c>
      <c r="G142" s="161">
        <v>105</v>
      </c>
      <c r="H142" s="187">
        <v>42704</v>
      </c>
      <c r="I142" s="163" t="s">
        <v>143</v>
      </c>
      <c r="K142" s="160">
        <v>2014</v>
      </c>
      <c r="L142" s="415"/>
      <c r="M142" s="416"/>
      <c r="N142" s="155">
        <v>406070</v>
      </c>
      <c r="O142" s="420"/>
      <c r="P142" s="155">
        <v>419840</v>
      </c>
      <c r="Q142" s="161">
        <v>96.7</v>
      </c>
      <c r="R142" s="164"/>
      <c r="S142" s="163" t="s">
        <v>138</v>
      </c>
    </row>
    <row r="143" spans="1:19" ht="15.75" x14ac:dyDescent="0.25">
      <c r="A143" s="163" t="s">
        <v>145</v>
      </c>
      <c r="B143" s="417"/>
      <c r="C143" s="418"/>
      <c r="D143" s="155">
        <v>1207355</v>
      </c>
      <c r="E143" s="420"/>
      <c r="F143" s="155">
        <v>1167837</v>
      </c>
      <c r="G143" s="161">
        <v>103.4</v>
      </c>
      <c r="H143" s="164"/>
      <c r="I143" s="163" t="s">
        <v>143</v>
      </c>
      <c r="K143" s="160">
        <v>2013</v>
      </c>
      <c r="L143" s="415"/>
      <c r="M143" s="416"/>
      <c r="N143" s="155">
        <v>221959</v>
      </c>
      <c r="O143" s="421"/>
      <c r="P143" s="155">
        <v>439040</v>
      </c>
      <c r="Q143" s="161">
        <v>50.6</v>
      </c>
      <c r="R143" s="164"/>
      <c r="S143" s="163" t="s">
        <v>138</v>
      </c>
    </row>
    <row r="144" spans="1:19" ht="15.75" x14ac:dyDescent="0.25">
      <c r="A144" s="163" t="s">
        <v>146</v>
      </c>
      <c r="B144" s="413" t="s">
        <v>195</v>
      </c>
      <c r="C144" s="414"/>
      <c r="D144" s="155">
        <v>865799</v>
      </c>
      <c r="E144" s="420"/>
      <c r="F144" s="155">
        <v>1167837</v>
      </c>
      <c r="G144" s="161">
        <v>74.099999999999994</v>
      </c>
      <c r="H144" s="164"/>
      <c r="I144" s="163" t="s">
        <v>143</v>
      </c>
      <c r="K144" s="160">
        <v>2012</v>
      </c>
      <c r="L144" s="415"/>
      <c r="M144" s="416"/>
      <c r="N144" s="155">
        <v>194499</v>
      </c>
      <c r="O144" s="419" t="s">
        <v>158</v>
      </c>
      <c r="P144" s="155">
        <v>307315</v>
      </c>
      <c r="Q144" s="161">
        <v>63.3</v>
      </c>
      <c r="R144" s="164"/>
      <c r="S144" s="163" t="s">
        <v>143</v>
      </c>
    </row>
    <row r="145" spans="1:19" ht="15.75" x14ac:dyDescent="0.25">
      <c r="A145" s="163" t="s">
        <v>147</v>
      </c>
      <c r="B145" s="415"/>
      <c r="C145" s="416"/>
      <c r="D145" s="155">
        <v>811879</v>
      </c>
      <c r="E145" s="420"/>
      <c r="F145" s="155">
        <v>1167837</v>
      </c>
      <c r="G145" s="161">
        <v>69.5</v>
      </c>
      <c r="H145" s="164"/>
      <c r="I145" s="163" t="s">
        <v>143</v>
      </c>
      <c r="K145" s="160">
        <v>2011</v>
      </c>
      <c r="L145" s="415"/>
      <c r="M145" s="416"/>
      <c r="N145" s="155">
        <v>197652</v>
      </c>
      <c r="O145" s="420"/>
      <c r="P145" s="155">
        <v>307315</v>
      </c>
      <c r="Q145" s="161">
        <v>64.3</v>
      </c>
      <c r="R145" s="164"/>
      <c r="S145" s="163" t="s">
        <v>143</v>
      </c>
    </row>
    <row r="146" spans="1:19" ht="15.75" x14ac:dyDescent="0.25">
      <c r="A146" s="163" t="s">
        <v>148</v>
      </c>
      <c r="B146" s="417"/>
      <c r="C146" s="418"/>
      <c r="D146" s="155">
        <v>1410340</v>
      </c>
      <c r="E146" s="421"/>
      <c r="F146" s="155">
        <v>1167837</v>
      </c>
      <c r="G146" s="161">
        <v>120.8</v>
      </c>
      <c r="H146" s="164"/>
      <c r="I146" s="163" t="s">
        <v>143</v>
      </c>
      <c r="K146" s="212">
        <v>2010</v>
      </c>
      <c r="L146" s="496"/>
      <c r="M146" s="493"/>
      <c r="N146" s="195">
        <v>258294</v>
      </c>
      <c r="O146" s="420"/>
      <c r="P146" s="195">
        <v>307315</v>
      </c>
      <c r="Q146" s="196">
        <v>84</v>
      </c>
      <c r="R146" s="197"/>
      <c r="S146" s="201" t="s">
        <v>143</v>
      </c>
    </row>
    <row r="147" spans="1:19" ht="15.75" x14ac:dyDescent="0.25">
      <c r="A147" s="467" t="s">
        <v>196</v>
      </c>
      <c r="B147" s="468"/>
      <c r="C147" s="468"/>
      <c r="D147" s="468"/>
      <c r="E147" s="468"/>
      <c r="F147" s="468"/>
      <c r="G147" s="468"/>
      <c r="H147" s="468"/>
      <c r="I147" s="469"/>
      <c r="K147" s="216"/>
      <c r="L147" s="217"/>
      <c r="M147" s="217"/>
      <c r="N147" s="218"/>
      <c r="O147" s="217"/>
      <c r="P147" s="218"/>
      <c r="Q147" s="219"/>
      <c r="R147" s="220"/>
      <c r="S147" s="217"/>
    </row>
    <row r="148" spans="1:19" ht="15.75" customHeight="1" x14ac:dyDescent="0.25">
      <c r="A148" s="431"/>
      <c r="B148" s="431"/>
      <c r="C148" s="431"/>
      <c r="D148" s="431"/>
      <c r="E148" s="431"/>
      <c r="F148" s="431"/>
      <c r="G148" s="431"/>
      <c r="H148" s="431"/>
      <c r="I148" s="431"/>
      <c r="K148" s="482" t="s">
        <v>43</v>
      </c>
      <c r="L148" s="482"/>
      <c r="M148" s="482"/>
      <c r="N148" s="482"/>
      <c r="O148" s="482"/>
      <c r="P148" s="482"/>
      <c r="Q148" s="482"/>
      <c r="R148" s="482"/>
      <c r="S148" s="482"/>
    </row>
    <row r="149" spans="1:19" ht="15.75" customHeight="1" x14ac:dyDescent="0.25">
      <c r="A149" s="437" t="s">
        <v>197</v>
      </c>
      <c r="B149" s="438"/>
      <c r="C149" s="438"/>
      <c r="D149" s="438"/>
      <c r="E149" s="438"/>
      <c r="F149" s="438"/>
      <c r="G149" s="438"/>
      <c r="H149" s="438"/>
      <c r="I149" s="439"/>
      <c r="K149" s="150" t="s">
        <v>20</v>
      </c>
      <c r="L149" s="411" t="s">
        <v>128</v>
      </c>
      <c r="M149" s="412"/>
      <c r="N149" s="150" t="s">
        <v>129</v>
      </c>
      <c r="O149" s="150" t="s">
        <v>130</v>
      </c>
      <c r="P149" s="150" t="s">
        <v>131</v>
      </c>
      <c r="Q149" s="150" t="s">
        <v>132</v>
      </c>
      <c r="R149" s="151" t="s">
        <v>133</v>
      </c>
      <c r="S149" s="152" t="s">
        <v>134</v>
      </c>
    </row>
    <row r="150" spans="1:19" ht="15.75" customHeight="1" x14ac:dyDescent="0.25">
      <c r="A150" s="440" t="s">
        <v>198</v>
      </c>
      <c r="B150" s="441"/>
      <c r="C150" s="441"/>
      <c r="D150" s="441"/>
      <c r="E150" s="441"/>
      <c r="F150" s="441"/>
      <c r="G150" s="441"/>
      <c r="H150" s="441"/>
      <c r="I150" s="442"/>
      <c r="K150" s="153" t="s">
        <v>135</v>
      </c>
      <c r="L150" s="445" t="s">
        <v>136</v>
      </c>
      <c r="M150" s="414"/>
      <c r="N150" s="155">
        <v>278167</v>
      </c>
      <c r="O150" s="419" t="s">
        <v>137</v>
      </c>
      <c r="P150" s="155">
        <v>1724418</v>
      </c>
      <c r="Q150" s="153">
        <v>16.100000000000001</v>
      </c>
      <c r="R150" s="157"/>
      <c r="S150" s="158" t="s">
        <v>138</v>
      </c>
    </row>
    <row r="151" spans="1:19" ht="31.5" x14ac:dyDescent="0.25">
      <c r="A151" s="150" t="s">
        <v>20</v>
      </c>
      <c r="B151" s="411" t="s">
        <v>128</v>
      </c>
      <c r="C151" s="412"/>
      <c r="D151" s="166" t="s">
        <v>129</v>
      </c>
      <c r="E151" s="150" t="s">
        <v>130</v>
      </c>
      <c r="F151" s="150" t="s">
        <v>131</v>
      </c>
      <c r="G151" s="150" t="s">
        <v>132</v>
      </c>
      <c r="H151" s="150" t="s">
        <v>133</v>
      </c>
      <c r="I151" s="150" t="s">
        <v>134</v>
      </c>
      <c r="K151" s="171">
        <v>2018</v>
      </c>
      <c r="L151" s="444"/>
      <c r="M151" s="416"/>
      <c r="N151" s="155">
        <v>466670</v>
      </c>
      <c r="O151" s="420"/>
      <c r="P151" s="155">
        <v>1724418</v>
      </c>
      <c r="Q151" s="153">
        <v>27.1</v>
      </c>
      <c r="R151" s="157"/>
      <c r="S151" s="158" t="s">
        <v>138</v>
      </c>
    </row>
    <row r="152" spans="1:19" ht="18" x14ac:dyDescent="0.25">
      <c r="A152" s="153" t="s">
        <v>135</v>
      </c>
      <c r="B152" s="413" t="s">
        <v>136</v>
      </c>
      <c r="C152" s="445"/>
      <c r="D152" s="179">
        <v>195916</v>
      </c>
      <c r="E152" s="414" t="s">
        <v>137</v>
      </c>
      <c r="F152" s="155">
        <v>618122</v>
      </c>
      <c r="G152" s="153">
        <v>31.7</v>
      </c>
      <c r="H152" s="153"/>
      <c r="I152" s="163" t="s">
        <v>138</v>
      </c>
      <c r="K152" s="160">
        <v>2017</v>
      </c>
      <c r="L152" s="444"/>
      <c r="M152" s="416"/>
      <c r="N152" s="155">
        <v>972362</v>
      </c>
      <c r="O152" s="420"/>
      <c r="P152" s="155">
        <v>1724418</v>
      </c>
      <c r="Q152" s="161">
        <v>56.4</v>
      </c>
      <c r="R152" s="162"/>
      <c r="S152" s="158" t="s">
        <v>138</v>
      </c>
    </row>
    <row r="153" spans="1:19" ht="15.75" x14ac:dyDescent="0.25">
      <c r="A153" s="153">
        <v>2018</v>
      </c>
      <c r="B153" s="415"/>
      <c r="C153" s="444"/>
      <c r="D153" s="179">
        <v>443350</v>
      </c>
      <c r="E153" s="416"/>
      <c r="F153" s="155">
        <v>618122</v>
      </c>
      <c r="G153" s="153">
        <v>71.7</v>
      </c>
      <c r="H153" s="153"/>
      <c r="I153" s="163" t="s">
        <v>138</v>
      </c>
      <c r="K153" s="160">
        <v>2016</v>
      </c>
      <c r="L153" s="444"/>
      <c r="M153" s="416"/>
      <c r="N153" s="155">
        <v>1570951</v>
      </c>
      <c r="O153" s="420"/>
      <c r="P153" s="155">
        <v>1724418</v>
      </c>
      <c r="Q153" s="161">
        <v>91.1</v>
      </c>
      <c r="R153" s="162"/>
      <c r="S153" s="158" t="s">
        <v>138</v>
      </c>
    </row>
    <row r="154" spans="1:19" ht="15.75" x14ac:dyDescent="0.25">
      <c r="A154" s="160">
        <v>2017</v>
      </c>
      <c r="B154" s="415"/>
      <c r="C154" s="416"/>
      <c r="D154" s="205">
        <v>396421</v>
      </c>
      <c r="E154" s="420"/>
      <c r="F154" s="155">
        <v>618122</v>
      </c>
      <c r="G154" s="161">
        <v>64.099999999999994</v>
      </c>
      <c r="H154" s="164"/>
      <c r="I154" s="163" t="s">
        <v>138</v>
      </c>
      <c r="K154" s="160">
        <v>2015</v>
      </c>
      <c r="L154" s="444"/>
      <c r="M154" s="416"/>
      <c r="N154" s="155">
        <v>1023882</v>
      </c>
      <c r="O154" s="420"/>
      <c r="P154" s="155">
        <v>1724418</v>
      </c>
      <c r="Q154" s="161">
        <v>59.4</v>
      </c>
      <c r="R154" s="162"/>
      <c r="S154" s="158" t="s">
        <v>138</v>
      </c>
    </row>
    <row r="155" spans="1:19" ht="15.75" x14ac:dyDescent="0.25">
      <c r="A155" s="160">
        <v>2016</v>
      </c>
      <c r="B155" s="415"/>
      <c r="C155" s="416"/>
      <c r="D155" s="155">
        <v>420847</v>
      </c>
      <c r="E155" s="420"/>
      <c r="F155" s="155">
        <v>618122</v>
      </c>
      <c r="G155" s="161">
        <v>68.099999999999994</v>
      </c>
      <c r="H155" s="164"/>
      <c r="I155" s="163" t="s">
        <v>138</v>
      </c>
      <c r="K155" s="160">
        <v>2014</v>
      </c>
      <c r="L155" s="444"/>
      <c r="M155" s="416"/>
      <c r="N155" s="155">
        <v>656871</v>
      </c>
      <c r="O155" s="420"/>
      <c r="P155" s="155">
        <v>1724418</v>
      </c>
      <c r="Q155" s="161">
        <v>38.1</v>
      </c>
      <c r="R155" s="162"/>
      <c r="S155" s="158" t="s">
        <v>138</v>
      </c>
    </row>
    <row r="156" spans="1:19" ht="15.75" x14ac:dyDescent="0.25">
      <c r="A156" s="160">
        <v>2015</v>
      </c>
      <c r="B156" s="415"/>
      <c r="C156" s="416"/>
      <c r="D156" s="155">
        <v>282552</v>
      </c>
      <c r="E156" s="420"/>
      <c r="F156" s="155">
        <v>618122</v>
      </c>
      <c r="G156" s="161">
        <v>45.7</v>
      </c>
      <c r="H156" s="164"/>
      <c r="I156" s="163" t="s">
        <v>138</v>
      </c>
      <c r="K156" s="160">
        <v>2013</v>
      </c>
      <c r="L156" s="444"/>
      <c r="M156" s="416"/>
      <c r="N156" s="155">
        <v>378612</v>
      </c>
      <c r="O156" s="420"/>
      <c r="P156" s="155">
        <v>1427638</v>
      </c>
      <c r="Q156" s="161">
        <v>26.5</v>
      </c>
      <c r="R156" s="162"/>
      <c r="S156" s="158" t="s">
        <v>143</v>
      </c>
    </row>
    <row r="157" spans="1:19" ht="15.75" x14ac:dyDescent="0.25">
      <c r="A157" s="160">
        <v>2014</v>
      </c>
      <c r="B157" s="415"/>
      <c r="C157" s="416"/>
      <c r="D157" s="155">
        <v>354543</v>
      </c>
      <c r="E157" s="420"/>
      <c r="F157" s="155">
        <v>588113</v>
      </c>
      <c r="G157" s="161">
        <v>60.3</v>
      </c>
      <c r="H157" s="164"/>
      <c r="I157" s="163" t="s">
        <v>138</v>
      </c>
      <c r="K157" s="160">
        <v>2012</v>
      </c>
      <c r="L157" s="446"/>
      <c r="M157" s="418"/>
      <c r="N157" s="155">
        <v>1552475</v>
      </c>
      <c r="O157" s="421"/>
      <c r="P157" s="155">
        <v>1427638</v>
      </c>
      <c r="Q157" s="161">
        <v>108.7</v>
      </c>
      <c r="R157" s="162"/>
      <c r="S157" s="165" t="s">
        <v>143</v>
      </c>
    </row>
    <row r="158" spans="1:19" ht="15.75" x14ac:dyDescent="0.25">
      <c r="A158" s="160">
        <v>2013</v>
      </c>
      <c r="B158" s="415"/>
      <c r="C158" s="416"/>
      <c r="D158" s="155">
        <v>359382</v>
      </c>
      <c r="E158" s="420"/>
      <c r="F158" s="155">
        <v>588113</v>
      </c>
      <c r="G158" s="161">
        <v>61.1</v>
      </c>
      <c r="H158" s="164"/>
      <c r="I158" s="163" t="s">
        <v>138</v>
      </c>
      <c r="K158" s="431"/>
      <c r="L158" s="431"/>
      <c r="M158" s="431"/>
      <c r="N158" s="431"/>
      <c r="O158" s="431"/>
      <c r="P158" s="431"/>
      <c r="Q158" s="431"/>
      <c r="R158" s="431"/>
      <c r="S158" s="430"/>
    </row>
    <row r="159" spans="1:19" ht="15.75" customHeight="1" x14ac:dyDescent="0.25">
      <c r="A159" s="160">
        <v>2012</v>
      </c>
      <c r="B159" s="417"/>
      <c r="C159" s="418"/>
      <c r="D159" s="155">
        <v>408318</v>
      </c>
      <c r="E159" s="421"/>
      <c r="F159" s="155">
        <v>562151</v>
      </c>
      <c r="G159" s="161">
        <v>72.599999999999994</v>
      </c>
      <c r="H159" s="164"/>
      <c r="I159" s="163" t="s">
        <v>143</v>
      </c>
      <c r="K159" s="482" t="s">
        <v>199</v>
      </c>
      <c r="L159" s="482"/>
      <c r="M159" s="482"/>
      <c r="N159" s="482"/>
      <c r="O159" s="482"/>
      <c r="P159" s="482"/>
      <c r="Q159" s="482"/>
      <c r="R159" s="482"/>
      <c r="S159" s="482"/>
    </row>
    <row r="160" spans="1:19" ht="15.75" customHeight="1" x14ac:dyDescent="0.25">
      <c r="A160" s="431"/>
      <c r="B160" s="431"/>
      <c r="C160" s="431"/>
      <c r="D160" s="431"/>
      <c r="E160" s="431"/>
      <c r="F160" s="431"/>
      <c r="G160" s="431"/>
      <c r="H160" s="431"/>
      <c r="I160" s="431"/>
      <c r="K160" s="150" t="s">
        <v>20</v>
      </c>
      <c r="L160" s="150" t="s">
        <v>128</v>
      </c>
      <c r="M160" s="150" t="s">
        <v>152</v>
      </c>
      <c r="N160" s="150" t="s">
        <v>129</v>
      </c>
      <c r="O160" s="150" t="s">
        <v>130</v>
      </c>
      <c r="P160" s="150" t="s">
        <v>131</v>
      </c>
      <c r="Q160" s="150" t="s">
        <v>132</v>
      </c>
      <c r="R160" s="151" t="s">
        <v>133</v>
      </c>
      <c r="S160" s="152" t="s">
        <v>134</v>
      </c>
    </row>
    <row r="161" spans="1:19" ht="15.75" customHeight="1" x14ac:dyDescent="0.25">
      <c r="A161" s="426" t="s">
        <v>200</v>
      </c>
      <c r="B161" s="427"/>
      <c r="C161" s="427"/>
      <c r="D161" s="427"/>
      <c r="E161" s="427"/>
      <c r="F161" s="427"/>
      <c r="G161" s="427"/>
      <c r="H161" s="427"/>
      <c r="I161" s="428"/>
      <c r="K161" s="153" t="s">
        <v>135</v>
      </c>
      <c r="L161" s="414" t="s">
        <v>136</v>
      </c>
      <c r="M161" s="419" t="s">
        <v>201</v>
      </c>
      <c r="N161" s="155">
        <v>0</v>
      </c>
      <c r="O161" s="419" t="s">
        <v>137</v>
      </c>
      <c r="P161" s="154">
        <v>20315</v>
      </c>
      <c r="Q161" s="161">
        <v>0</v>
      </c>
      <c r="R161" s="157"/>
      <c r="S161" s="158" t="s">
        <v>138</v>
      </c>
    </row>
    <row r="162" spans="1:19" ht="31.5" x14ac:dyDescent="0.25">
      <c r="A162" s="150" t="s">
        <v>20</v>
      </c>
      <c r="B162" s="411" t="s">
        <v>128</v>
      </c>
      <c r="C162" s="412"/>
      <c r="D162" s="150" t="s">
        <v>129</v>
      </c>
      <c r="E162" s="150" t="s">
        <v>130</v>
      </c>
      <c r="F162" s="150" t="s">
        <v>131</v>
      </c>
      <c r="G162" s="150" t="s">
        <v>132</v>
      </c>
      <c r="H162" s="150" t="s">
        <v>133</v>
      </c>
      <c r="I162" s="150" t="s">
        <v>134</v>
      </c>
      <c r="K162" s="171">
        <v>2018</v>
      </c>
      <c r="L162" s="416"/>
      <c r="M162" s="420"/>
      <c r="N162" s="155">
        <v>0</v>
      </c>
      <c r="O162" s="420"/>
      <c r="P162" s="154">
        <v>20315</v>
      </c>
      <c r="Q162" s="161">
        <v>0</v>
      </c>
      <c r="R162" s="157"/>
      <c r="S162" s="158" t="s">
        <v>138</v>
      </c>
    </row>
    <row r="163" spans="1:19" ht="18" x14ac:dyDescent="0.25">
      <c r="A163" s="153" t="s">
        <v>135</v>
      </c>
      <c r="B163" s="413" t="s">
        <v>136</v>
      </c>
      <c r="C163" s="414"/>
      <c r="D163" s="153">
        <v>114</v>
      </c>
      <c r="E163" s="419" t="s">
        <v>202</v>
      </c>
      <c r="F163" s="153">
        <v>988</v>
      </c>
      <c r="G163" s="153">
        <v>11.5</v>
      </c>
      <c r="H163" s="153"/>
      <c r="I163" s="163" t="s">
        <v>138</v>
      </c>
      <c r="K163" s="160">
        <v>2017</v>
      </c>
      <c r="L163" s="416"/>
      <c r="M163" s="420"/>
      <c r="N163" s="160">
        <v>0</v>
      </c>
      <c r="O163" s="420"/>
      <c r="P163" s="155">
        <v>20710</v>
      </c>
      <c r="Q163" s="161">
        <v>0</v>
      </c>
      <c r="R163" s="162"/>
      <c r="S163" s="158" t="s">
        <v>138</v>
      </c>
    </row>
    <row r="164" spans="1:19" ht="15.75" x14ac:dyDescent="0.25">
      <c r="A164" s="153">
        <v>2018</v>
      </c>
      <c r="B164" s="415"/>
      <c r="C164" s="416"/>
      <c r="D164" s="153">
        <v>75</v>
      </c>
      <c r="E164" s="420"/>
      <c r="F164" s="153">
        <v>988</v>
      </c>
      <c r="G164" s="153">
        <v>7.6</v>
      </c>
      <c r="H164" s="153"/>
      <c r="I164" s="163" t="s">
        <v>138</v>
      </c>
      <c r="K164" s="160">
        <v>2016</v>
      </c>
      <c r="L164" s="416"/>
      <c r="M164" s="420"/>
      <c r="N164" s="160">
        <v>0</v>
      </c>
      <c r="O164" s="420"/>
      <c r="P164" s="155">
        <v>21185</v>
      </c>
      <c r="Q164" s="161">
        <v>0</v>
      </c>
      <c r="R164" s="162"/>
      <c r="S164" s="158" t="s">
        <v>138</v>
      </c>
    </row>
    <row r="165" spans="1:19" ht="15.75" x14ac:dyDescent="0.25">
      <c r="A165" s="160">
        <v>2017</v>
      </c>
      <c r="B165" s="417"/>
      <c r="C165" s="418"/>
      <c r="D165" s="160">
        <v>580</v>
      </c>
      <c r="E165" s="421"/>
      <c r="F165" s="160">
        <v>988</v>
      </c>
      <c r="G165" s="161">
        <v>58.7</v>
      </c>
      <c r="H165" s="164"/>
      <c r="I165" s="163" t="s">
        <v>138</v>
      </c>
      <c r="K165" s="160">
        <v>2015</v>
      </c>
      <c r="L165" s="416"/>
      <c r="M165" s="420"/>
      <c r="N165" s="160">
        <v>0</v>
      </c>
      <c r="O165" s="420"/>
      <c r="P165" s="155">
        <v>21650</v>
      </c>
      <c r="Q165" s="161">
        <v>0</v>
      </c>
      <c r="R165" s="162"/>
      <c r="S165" s="158" t="s">
        <v>138</v>
      </c>
    </row>
    <row r="166" spans="1:19" ht="15.75" x14ac:dyDescent="0.25">
      <c r="A166" s="467" t="s">
        <v>203</v>
      </c>
      <c r="B166" s="468"/>
      <c r="C166" s="468"/>
      <c r="D166" s="468"/>
      <c r="E166" s="468"/>
      <c r="F166" s="468"/>
      <c r="G166" s="468"/>
      <c r="H166" s="468"/>
      <c r="I166" s="469"/>
      <c r="K166" s="160">
        <v>2014</v>
      </c>
      <c r="L166" s="416"/>
      <c r="M166" s="420"/>
      <c r="N166" s="160">
        <v>0</v>
      </c>
      <c r="O166" s="420"/>
      <c r="P166" s="155">
        <v>11750</v>
      </c>
      <c r="Q166" s="161">
        <v>0</v>
      </c>
      <c r="R166" s="162"/>
      <c r="S166" s="158" t="s">
        <v>143</v>
      </c>
    </row>
    <row r="167" spans="1:19" ht="15.75" x14ac:dyDescent="0.25">
      <c r="A167" s="431"/>
      <c r="B167" s="431"/>
      <c r="C167" s="431"/>
      <c r="D167" s="431"/>
      <c r="E167" s="431"/>
      <c r="F167" s="431"/>
      <c r="G167" s="431"/>
      <c r="H167" s="431"/>
      <c r="I167" s="431"/>
      <c r="K167" s="160">
        <v>2013</v>
      </c>
      <c r="L167" s="416"/>
      <c r="M167" s="420"/>
      <c r="N167" s="160">
        <v>0</v>
      </c>
      <c r="O167" s="420"/>
      <c r="P167" s="155">
        <v>11750</v>
      </c>
      <c r="Q167" s="161">
        <v>0</v>
      </c>
      <c r="R167" s="162"/>
      <c r="S167" s="158" t="s">
        <v>143</v>
      </c>
    </row>
    <row r="168" spans="1:19" ht="15.75" customHeight="1" x14ac:dyDescent="0.25">
      <c r="A168" s="426" t="s">
        <v>204</v>
      </c>
      <c r="B168" s="427"/>
      <c r="C168" s="427"/>
      <c r="D168" s="427"/>
      <c r="E168" s="427"/>
      <c r="F168" s="427"/>
      <c r="G168" s="427"/>
      <c r="H168" s="427"/>
      <c r="I168" s="428"/>
      <c r="K168" s="160">
        <v>2012</v>
      </c>
      <c r="L168" s="418"/>
      <c r="M168" s="421"/>
      <c r="N168" s="160">
        <v>964</v>
      </c>
      <c r="O168" s="421"/>
      <c r="P168" s="155">
        <v>11750</v>
      </c>
      <c r="Q168" s="161">
        <v>8.1999999999999993</v>
      </c>
      <c r="R168" s="162"/>
      <c r="S168" s="165" t="s">
        <v>143</v>
      </c>
    </row>
    <row r="169" spans="1:19" ht="31.5" x14ac:dyDescent="0.25">
      <c r="A169" s="166" t="s">
        <v>20</v>
      </c>
      <c r="B169" s="435" t="s">
        <v>128</v>
      </c>
      <c r="C169" s="436"/>
      <c r="D169" s="166" t="s">
        <v>129</v>
      </c>
      <c r="E169" s="166" t="s">
        <v>130</v>
      </c>
      <c r="F169" s="166" t="s">
        <v>131</v>
      </c>
      <c r="G169" s="166" t="s">
        <v>132</v>
      </c>
      <c r="H169" s="166" t="s">
        <v>133</v>
      </c>
      <c r="I169" s="166" t="s">
        <v>134</v>
      </c>
      <c r="K169" s="477"/>
      <c r="L169" s="477"/>
      <c r="M169" s="477"/>
      <c r="N169" s="477"/>
      <c r="O169" s="477"/>
      <c r="P169" s="477"/>
      <c r="Q169" s="477"/>
      <c r="R169" s="477"/>
      <c r="S169" s="497"/>
    </row>
    <row r="170" spans="1:19" ht="18" x14ac:dyDescent="0.25">
      <c r="A170" s="153" t="s">
        <v>135</v>
      </c>
      <c r="B170" s="498" t="s">
        <v>136</v>
      </c>
      <c r="C170" s="498"/>
      <c r="D170" s="179"/>
      <c r="E170" s="498" t="s">
        <v>202</v>
      </c>
      <c r="F170" s="179">
        <v>18617</v>
      </c>
      <c r="G170" s="171"/>
      <c r="H170" s="171"/>
      <c r="I170" s="221" t="s">
        <v>138</v>
      </c>
      <c r="K170" s="487" t="s">
        <v>205</v>
      </c>
      <c r="L170" s="499"/>
      <c r="M170" s="499"/>
      <c r="N170" s="499"/>
      <c r="O170" s="499"/>
      <c r="P170" s="499"/>
      <c r="Q170" s="499"/>
      <c r="R170" s="499"/>
      <c r="S170" s="484"/>
    </row>
    <row r="171" spans="1:19" ht="31.5" x14ac:dyDescent="0.25">
      <c r="A171" s="153">
        <v>2018</v>
      </c>
      <c r="B171" s="444"/>
      <c r="C171" s="444"/>
      <c r="D171" s="179">
        <v>7339</v>
      </c>
      <c r="E171" s="444"/>
      <c r="F171" s="179">
        <v>18617</v>
      </c>
      <c r="G171" s="171">
        <v>39.4</v>
      </c>
      <c r="H171" s="171"/>
      <c r="I171" s="221" t="s">
        <v>138</v>
      </c>
      <c r="K171" s="209" t="s">
        <v>20</v>
      </c>
      <c r="L171" s="487" t="s">
        <v>128</v>
      </c>
      <c r="M171" s="488"/>
      <c r="N171" s="209" t="s">
        <v>129</v>
      </c>
      <c r="O171" s="209" t="s">
        <v>130</v>
      </c>
      <c r="P171" s="209" t="s">
        <v>131</v>
      </c>
      <c r="Q171" s="209" t="s">
        <v>132</v>
      </c>
      <c r="R171" s="222" t="s">
        <v>133</v>
      </c>
      <c r="S171" s="152" t="s">
        <v>134</v>
      </c>
    </row>
    <row r="172" spans="1:19" ht="18" x14ac:dyDescent="0.25">
      <c r="A172" s="223">
        <v>2017</v>
      </c>
      <c r="B172" s="492"/>
      <c r="C172" s="492"/>
      <c r="D172" s="224">
        <v>31104</v>
      </c>
      <c r="E172" s="492"/>
      <c r="F172" s="224">
        <v>15689</v>
      </c>
      <c r="G172" s="225">
        <v>198.3</v>
      </c>
      <c r="H172" s="226">
        <v>42971</v>
      </c>
      <c r="I172" s="221" t="s">
        <v>138</v>
      </c>
      <c r="K172" s="153" t="s">
        <v>139</v>
      </c>
      <c r="L172" s="413" t="s">
        <v>206</v>
      </c>
      <c r="M172" s="414"/>
      <c r="N172" s="155"/>
      <c r="O172" s="419" t="s">
        <v>137</v>
      </c>
      <c r="P172" s="155">
        <v>1440990</v>
      </c>
      <c r="Q172" s="161"/>
      <c r="R172" s="227"/>
      <c r="S172" s="158" t="s">
        <v>143</v>
      </c>
    </row>
    <row r="173" spans="1:19" ht="15.75" x14ac:dyDescent="0.25">
      <c r="A173" s="447" t="s">
        <v>203</v>
      </c>
      <c r="B173" s="448"/>
      <c r="C173" s="448"/>
      <c r="D173" s="448"/>
      <c r="E173" s="448"/>
      <c r="F173" s="448"/>
      <c r="G173" s="448"/>
      <c r="H173" s="448"/>
      <c r="I173" s="449"/>
      <c r="K173" s="153" t="s">
        <v>141</v>
      </c>
      <c r="L173" s="415"/>
      <c r="M173" s="416"/>
      <c r="N173" s="155">
        <v>624680</v>
      </c>
      <c r="O173" s="420"/>
      <c r="P173" s="155">
        <v>1440990</v>
      </c>
      <c r="Q173" s="211">
        <v>43.4</v>
      </c>
      <c r="R173" s="227"/>
      <c r="S173" s="158" t="s">
        <v>143</v>
      </c>
    </row>
    <row r="174" spans="1:19" ht="15.75" customHeight="1" x14ac:dyDescent="0.25">
      <c r="A174" s="450"/>
      <c r="B174" s="451"/>
      <c r="C174" s="451"/>
      <c r="D174" s="451"/>
      <c r="E174" s="451"/>
      <c r="F174" s="451"/>
      <c r="G174" s="451"/>
      <c r="H174" s="451"/>
      <c r="I174" s="452"/>
      <c r="K174" s="163" t="s">
        <v>142</v>
      </c>
      <c r="L174" s="415"/>
      <c r="M174" s="416"/>
      <c r="N174" s="155">
        <v>507867</v>
      </c>
      <c r="O174" s="420"/>
      <c r="P174" s="155">
        <v>1440990</v>
      </c>
      <c r="Q174" s="161">
        <v>35.200000000000003</v>
      </c>
      <c r="R174" s="162"/>
      <c r="S174" s="158" t="s">
        <v>143</v>
      </c>
    </row>
    <row r="175" spans="1:19" ht="15.75" x14ac:dyDescent="0.25">
      <c r="A175" s="430"/>
      <c r="B175" s="430"/>
      <c r="C175" s="430"/>
      <c r="D175" s="430"/>
      <c r="E175" s="430"/>
      <c r="F175" s="430"/>
      <c r="G175" s="430"/>
      <c r="H175" s="430"/>
      <c r="I175" s="430"/>
      <c r="K175" s="163" t="s">
        <v>144</v>
      </c>
      <c r="L175" s="417"/>
      <c r="M175" s="418"/>
      <c r="N175" s="155">
        <v>681806</v>
      </c>
      <c r="O175" s="420"/>
      <c r="P175" s="155">
        <v>1440990</v>
      </c>
      <c r="Q175" s="161">
        <v>47.3</v>
      </c>
      <c r="R175" s="162"/>
      <c r="S175" s="158" t="s">
        <v>143</v>
      </c>
    </row>
    <row r="176" spans="1:19" ht="15.75" x14ac:dyDescent="0.25">
      <c r="A176" s="426" t="s">
        <v>207</v>
      </c>
      <c r="B176" s="427"/>
      <c r="C176" s="427"/>
      <c r="D176" s="427"/>
      <c r="E176" s="427"/>
      <c r="F176" s="427"/>
      <c r="G176" s="427"/>
      <c r="H176" s="427"/>
      <c r="I176" s="428"/>
      <c r="K176" s="163" t="s">
        <v>178</v>
      </c>
      <c r="L176" s="413" t="s">
        <v>136</v>
      </c>
      <c r="M176" s="414"/>
      <c r="N176" s="155">
        <v>534688</v>
      </c>
      <c r="O176" s="420"/>
      <c r="P176" s="155">
        <v>1440990</v>
      </c>
      <c r="Q176" s="161">
        <v>37.1</v>
      </c>
      <c r="R176" s="162"/>
      <c r="S176" s="158" t="s">
        <v>143</v>
      </c>
    </row>
    <row r="177" spans="1:19" ht="31.5" x14ac:dyDescent="0.25">
      <c r="A177" s="150" t="s">
        <v>20</v>
      </c>
      <c r="B177" s="411" t="s">
        <v>128</v>
      </c>
      <c r="C177" s="412"/>
      <c r="D177" s="150" t="s">
        <v>129</v>
      </c>
      <c r="E177" s="150" t="s">
        <v>130</v>
      </c>
      <c r="F177" s="150" t="s">
        <v>131</v>
      </c>
      <c r="G177" s="150" t="s">
        <v>132</v>
      </c>
      <c r="H177" s="150" t="s">
        <v>133</v>
      </c>
      <c r="I177" s="150" t="s">
        <v>134</v>
      </c>
      <c r="K177" s="160">
        <v>2015</v>
      </c>
      <c r="L177" s="415"/>
      <c r="M177" s="416"/>
      <c r="N177" s="155">
        <v>791157</v>
      </c>
      <c r="O177" s="420"/>
      <c r="P177" s="155">
        <v>1440990</v>
      </c>
      <c r="Q177" s="161">
        <v>54.9</v>
      </c>
      <c r="R177" s="162"/>
      <c r="S177" s="158" t="s">
        <v>143</v>
      </c>
    </row>
    <row r="178" spans="1:19" ht="15.75" x14ac:dyDescent="0.25">
      <c r="A178" s="160">
        <v>2016</v>
      </c>
      <c r="B178" s="413" t="s">
        <v>136</v>
      </c>
      <c r="C178" s="414"/>
      <c r="D178" s="155">
        <v>119388</v>
      </c>
      <c r="E178" s="419" t="s">
        <v>137</v>
      </c>
      <c r="F178" s="155">
        <v>85355</v>
      </c>
      <c r="G178" s="161">
        <v>139.9</v>
      </c>
      <c r="H178" s="187">
        <v>42704</v>
      </c>
      <c r="I178" s="163" t="s">
        <v>138</v>
      </c>
      <c r="K178" s="160">
        <v>2014</v>
      </c>
      <c r="L178" s="415"/>
      <c r="M178" s="416"/>
      <c r="N178" s="155">
        <v>933279</v>
      </c>
      <c r="O178" s="420"/>
      <c r="P178" s="155">
        <v>1440990</v>
      </c>
      <c r="Q178" s="161">
        <v>64.8</v>
      </c>
      <c r="R178" s="162"/>
      <c r="S178" s="158" t="s">
        <v>143</v>
      </c>
    </row>
    <row r="179" spans="1:19" ht="15.75" x14ac:dyDescent="0.25">
      <c r="A179" s="160">
        <v>2015</v>
      </c>
      <c r="B179" s="415"/>
      <c r="C179" s="416"/>
      <c r="D179" s="155">
        <v>291765</v>
      </c>
      <c r="E179" s="420"/>
      <c r="F179" s="155">
        <v>85355</v>
      </c>
      <c r="G179" s="161">
        <v>341.8</v>
      </c>
      <c r="H179" s="187">
        <v>42240</v>
      </c>
      <c r="I179" s="163" t="s">
        <v>138</v>
      </c>
      <c r="K179" s="160">
        <v>2013</v>
      </c>
      <c r="L179" s="415"/>
      <c r="M179" s="416"/>
      <c r="N179" s="155">
        <v>666029</v>
      </c>
      <c r="O179" s="420"/>
      <c r="P179" s="155">
        <v>1440990</v>
      </c>
      <c r="Q179" s="161">
        <v>46.2</v>
      </c>
      <c r="R179" s="162"/>
      <c r="S179" s="158" t="s">
        <v>143</v>
      </c>
    </row>
    <row r="180" spans="1:19" ht="15.75" x14ac:dyDescent="0.25">
      <c r="A180" s="160">
        <v>2014</v>
      </c>
      <c r="B180" s="415"/>
      <c r="C180" s="416"/>
      <c r="D180" s="155">
        <v>111803</v>
      </c>
      <c r="E180" s="420"/>
      <c r="F180" s="155">
        <v>85355</v>
      </c>
      <c r="G180" s="161">
        <v>131</v>
      </c>
      <c r="H180" s="164"/>
      <c r="I180" s="163" t="s">
        <v>138</v>
      </c>
      <c r="K180" s="212">
        <v>2012</v>
      </c>
      <c r="L180" s="415"/>
      <c r="M180" s="416"/>
      <c r="N180" s="195">
        <v>449037</v>
      </c>
      <c r="O180" s="443"/>
      <c r="P180" s="195">
        <v>1031286</v>
      </c>
      <c r="Q180" s="196">
        <v>43.5</v>
      </c>
      <c r="R180" s="228"/>
      <c r="S180" s="165" t="s">
        <v>143</v>
      </c>
    </row>
    <row r="181" spans="1:19" ht="15.75" x14ac:dyDescent="0.25">
      <c r="A181" s="160">
        <v>2013</v>
      </c>
      <c r="B181" s="415"/>
      <c r="C181" s="416"/>
      <c r="D181" s="155">
        <v>65085</v>
      </c>
      <c r="E181" s="420"/>
      <c r="F181" s="155">
        <v>85355</v>
      </c>
      <c r="G181" s="161">
        <v>76.3</v>
      </c>
      <c r="H181" s="164"/>
      <c r="I181" s="163" t="s">
        <v>138</v>
      </c>
      <c r="K181" s="494" t="s">
        <v>208</v>
      </c>
      <c r="L181" s="494"/>
      <c r="M181" s="494"/>
      <c r="N181" s="494"/>
      <c r="O181" s="494"/>
      <c r="P181" s="494"/>
      <c r="Q181" s="494"/>
      <c r="R181" s="494"/>
      <c r="S181" s="494"/>
    </row>
    <row r="182" spans="1:19" ht="15.75" x14ac:dyDescent="0.25">
      <c r="A182" s="212">
        <v>2012</v>
      </c>
      <c r="B182" s="415"/>
      <c r="C182" s="416"/>
      <c r="D182" s="195">
        <v>103610</v>
      </c>
      <c r="E182" s="420"/>
      <c r="F182" s="195">
        <v>98866</v>
      </c>
      <c r="G182" s="196">
        <v>104.8</v>
      </c>
      <c r="H182" s="197"/>
      <c r="I182" s="201" t="s">
        <v>143</v>
      </c>
      <c r="K182" s="494"/>
      <c r="L182" s="494"/>
      <c r="M182" s="494"/>
      <c r="N182" s="494"/>
      <c r="O182" s="494"/>
      <c r="P182" s="494"/>
      <c r="Q182" s="494"/>
      <c r="R182" s="494"/>
      <c r="S182" s="494"/>
    </row>
    <row r="183" spans="1:19" x14ac:dyDescent="0.25">
      <c r="A183" s="494" t="s">
        <v>203</v>
      </c>
      <c r="B183" s="494"/>
      <c r="C183" s="494"/>
      <c r="D183" s="494"/>
      <c r="E183" s="494"/>
      <c r="F183" s="494"/>
      <c r="G183" s="494"/>
      <c r="H183" s="494"/>
      <c r="I183" s="494"/>
    </row>
    <row r="184" spans="1:19" x14ac:dyDescent="0.25">
      <c r="A184" s="494"/>
      <c r="B184" s="494"/>
      <c r="C184" s="494"/>
      <c r="D184" s="494"/>
      <c r="E184" s="494"/>
      <c r="F184" s="494"/>
      <c r="G184" s="494"/>
      <c r="H184" s="494"/>
      <c r="I184" s="494"/>
    </row>
    <row r="185" spans="1:19" ht="15.75" customHeight="1" x14ac:dyDescent="0.25">
      <c r="A185" s="430"/>
      <c r="B185" s="430"/>
      <c r="C185" s="430"/>
      <c r="D185" s="430"/>
      <c r="E185" s="430"/>
      <c r="F185" s="430"/>
      <c r="G185" s="430"/>
      <c r="H185" s="430"/>
      <c r="I185" s="430"/>
    </row>
    <row r="186" spans="1:19" ht="15.75" x14ac:dyDescent="0.25">
      <c r="A186" s="437" t="s">
        <v>209</v>
      </c>
      <c r="B186" s="438"/>
      <c r="C186" s="438"/>
      <c r="D186" s="438"/>
      <c r="E186" s="438"/>
      <c r="F186" s="438"/>
      <c r="G186" s="438"/>
      <c r="H186" s="438"/>
      <c r="I186" s="439"/>
    </row>
    <row r="187" spans="1:19" ht="15.75" x14ac:dyDescent="0.25">
      <c r="A187" s="440" t="s">
        <v>210</v>
      </c>
      <c r="B187" s="441"/>
      <c r="C187" s="441"/>
      <c r="D187" s="441"/>
      <c r="E187" s="441"/>
      <c r="F187" s="441"/>
      <c r="G187" s="441"/>
      <c r="H187" s="441"/>
      <c r="I187" s="442"/>
    </row>
    <row r="188" spans="1:19" ht="31.5" x14ac:dyDescent="0.25">
      <c r="A188" s="150" t="s">
        <v>20</v>
      </c>
      <c r="B188" s="411" t="s">
        <v>128</v>
      </c>
      <c r="C188" s="412"/>
      <c r="D188" s="150" t="s">
        <v>129</v>
      </c>
      <c r="E188" s="150" t="s">
        <v>130</v>
      </c>
      <c r="F188" s="150" t="s">
        <v>131</v>
      </c>
      <c r="G188" s="150" t="s">
        <v>132</v>
      </c>
      <c r="H188" s="150" t="s">
        <v>133</v>
      </c>
      <c r="I188" s="150" t="s">
        <v>134</v>
      </c>
    </row>
    <row r="189" spans="1:19" ht="18" x14ac:dyDescent="0.25">
      <c r="A189" s="153" t="s">
        <v>135</v>
      </c>
      <c r="B189" s="413" t="s">
        <v>136</v>
      </c>
      <c r="C189" s="414"/>
      <c r="D189" s="154">
        <v>333267</v>
      </c>
      <c r="E189" s="419" t="s">
        <v>137</v>
      </c>
      <c r="F189" s="155">
        <v>267799</v>
      </c>
      <c r="G189" s="153">
        <v>124.4</v>
      </c>
      <c r="H189" s="193">
        <v>43733</v>
      </c>
      <c r="I189" s="163" t="s">
        <v>138</v>
      </c>
    </row>
    <row r="190" spans="1:19" ht="15.75" x14ac:dyDescent="0.25">
      <c r="A190" s="153">
        <v>2018</v>
      </c>
      <c r="B190" s="415"/>
      <c r="C190" s="416"/>
      <c r="D190" s="154">
        <v>297425</v>
      </c>
      <c r="E190" s="420"/>
      <c r="F190" s="155">
        <v>267799</v>
      </c>
      <c r="G190" s="153">
        <v>111.1</v>
      </c>
      <c r="H190" s="193">
        <v>43452</v>
      </c>
      <c r="I190" s="163" t="s">
        <v>138</v>
      </c>
    </row>
    <row r="191" spans="1:19" ht="15.75" x14ac:dyDescent="0.25">
      <c r="A191" s="160">
        <v>2017</v>
      </c>
      <c r="B191" s="415"/>
      <c r="C191" s="416"/>
      <c r="D191" s="155">
        <v>249367</v>
      </c>
      <c r="E191" s="420"/>
      <c r="F191" s="155">
        <v>267799</v>
      </c>
      <c r="G191" s="161">
        <v>93.1</v>
      </c>
      <c r="H191" s="164"/>
      <c r="I191" s="163" t="s">
        <v>138</v>
      </c>
    </row>
    <row r="192" spans="1:19" ht="47.25" x14ac:dyDescent="0.25">
      <c r="A192" s="160">
        <v>2016</v>
      </c>
      <c r="B192" s="415"/>
      <c r="C192" s="416"/>
      <c r="D192" s="155">
        <v>247571</v>
      </c>
      <c r="E192" s="420"/>
      <c r="F192" s="155">
        <v>267799</v>
      </c>
      <c r="G192" s="161">
        <v>92.4</v>
      </c>
      <c r="H192" s="163" t="s">
        <v>211</v>
      </c>
      <c r="I192" s="163" t="s">
        <v>138</v>
      </c>
    </row>
    <row r="193" spans="1:10" ht="15.75" x14ac:dyDescent="0.25">
      <c r="A193" s="160">
        <v>2015</v>
      </c>
      <c r="B193" s="415"/>
      <c r="C193" s="416"/>
      <c r="D193" s="155">
        <v>125212</v>
      </c>
      <c r="E193" s="420"/>
      <c r="F193" s="155">
        <v>267799</v>
      </c>
      <c r="G193" s="161">
        <v>46.8</v>
      </c>
      <c r="H193" s="164"/>
      <c r="I193" s="163" t="s">
        <v>138</v>
      </c>
      <c r="J193" s="63"/>
    </row>
    <row r="194" spans="1:10" ht="15.75" x14ac:dyDescent="0.25">
      <c r="A194" s="160">
        <v>2014</v>
      </c>
      <c r="B194" s="415"/>
      <c r="C194" s="416"/>
      <c r="D194" s="155">
        <v>226004</v>
      </c>
      <c r="E194" s="420"/>
      <c r="F194" s="155">
        <v>267799</v>
      </c>
      <c r="G194" s="161">
        <v>84.4</v>
      </c>
      <c r="H194" s="164"/>
      <c r="I194" s="163" t="s">
        <v>138</v>
      </c>
    </row>
    <row r="195" spans="1:10" ht="15.75" x14ac:dyDescent="0.25">
      <c r="A195" s="160">
        <v>2013</v>
      </c>
      <c r="B195" s="415"/>
      <c r="C195" s="416"/>
      <c r="D195" s="155">
        <v>160988</v>
      </c>
      <c r="E195" s="420"/>
      <c r="F195" s="155">
        <v>267799</v>
      </c>
      <c r="G195" s="161">
        <v>60.1</v>
      </c>
      <c r="H195" s="164"/>
      <c r="I195" s="163" t="s">
        <v>138</v>
      </c>
    </row>
    <row r="196" spans="1:10" ht="15.75" x14ac:dyDescent="0.25">
      <c r="A196" s="160">
        <v>2012</v>
      </c>
      <c r="B196" s="417"/>
      <c r="C196" s="418"/>
      <c r="D196" s="155">
        <v>241372</v>
      </c>
      <c r="E196" s="421"/>
      <c r="F196" s="155">
        <v>261490</v>
      </c>
      <c r="G196" s="161">
        <v>92.3</v>
      </c>
      <c r="H196" s="164"/>
      <c r="I196" s="163" t="s">
        <v>143</v>
      </c>
    </row>
    <row r="197" spans="1:10" ht="15.75" x14ac:dyDescent="0.25">
      <c r="A197" s="206"/>
      <c r="B197" s="204"/>
      <c r="C197" s="204"/>
      <c r="D197" s="214"/>
      <c r="E197" s="204"/>
      <c r="F197" s="214"/>
      <c r="G197" s="215"/>
      <c r="H197" s="213"/>
      <c r="I197" s="207"/>
    </row>
    <row r="257" ht="15.75" customHeight="1" x14ac:dyDescent="0.25"/>
    <row r="258" ht="15.75" customHeight="1" x14ac:dyDescent="0.25"/>
    <row r="318" ht="15.75" customHeight="1" x14ac:dyDescent="0.25"/>
  </sheetData>
  <mergeCells count="197">
    <mergeCell ref="A186:I186"/>
    <mergeCell ref="A187:I187"/>
    <mergeCell ref="B188:C188"/>
    <mergeCell ref="B189:C196"/>
    <mergeCell ref="E189:E196"/>
    <mergeCell ref="B177:C177"/>
    <mergeCell ref="B178:C182"/>
    <mergeCell ref="E178:E182"/>
    <mergeCell ref="K181:S182"/>
    <mergeCell ref="A183:I184"/>
    <mergeCell ref="A185:I185"/>
    <mergeCell ref="B170:C172"/>
    <mergeCell ref="E170:E172"/>
    <mergeCell ref="K170:S170"/>
    <mergeCell ref="L171:M171"/>
    <mergeCell ref="L172:M175"/>
    <mergeCell ref="O172:O180"/>
    <mergeCell ref="A173:I174"/>
    <mergeCell ref="A175:I175"/>
    <mergeCell ref="A176:I176"/>
    <mergeCell ref="L176:M180"/>
    <mergeCell ref="E163:E165"/>
    <mergeCell ref="A166:I166"/>
    <mergeCell ref="A167:I167"/>
    <mergeCell ref="A168:I168"/>
    <mergeCell ref="B169:C169"/>
    <mergeCell ref="K169:S169"/>
    <mergeCell ref="E152:E159"/>
    <mergeCell ref="K158:S158"/>
    <mergeCell ref="K159:S159"/>
    <mergeCell ref="A160:I160"/>
    <mergeCell ref="A161:I161"/>
    <mergeCell ref="L161:L168"/>
    <mergeCell ref="M161:M168"/>
    <mergeCell ref="O161:O168"/>
    <mergeCell ref="B162:C162"/>
    <mergeCell ref="B163:C165"/>
    <mergeCell ref="A147:I147"/>
    <mergeCell ref="A148:I148"/>
    <mergeCell ref="K148:S148"/>
    <mergeCell ref="A149:I149"/>
    <mergeCell ref="L149:M149"/>
    <mergeCell ref="A150:I150"/>
    <mergeCell ref="L150:M157"/>
    <mergeCell ref="O150:O157"/>
    <mergeCell ref="B151:C151"/>
    <mergeCell ref="B152:C159"/>
    <mergeCell ref="L136:M136"/>
    <mergeCell ref="A137:I137"/>
    <mergeCell ref="L137:M146"/>
    <mergeCell ref="O137:O143"/>
    <mergeCell ref="B138:C138"/>
    <mergeCell ref="B139:C143"/>
    <mergeCell ref="E139:E146"/>
    <mergeCell ref="B144:C146"/>
    <mergeCell ref="O144:O146"/>
    <mergeCell ref="A125:I125"/>
    <mergeCell ref="L125:M125"/>
    <mergeCell ref="A126:I126"/>
    <mergeCell ref="L126:M133"/>
    <mergeCell ref="O126:O133"/>
    <mergeCell ref="B127:C127"/>
    <mergeCell ref="B128:C135"/>
    <mergeCell ref="E128:E135"/>
    <mergeCell ref="K135:S135"/>
    <mergeCell ref="A112:I112"/>
    <mergeCell ref="A113:I113"/>
    <mergeCell ref="L113:L122"/>
    <mergeCell ref="M113:M122"/>
    <mergeCell ref="O113:O122"/>
    <mergeCell ref="B114:C114"/>
    <mergeCell ref="B115:C124"/>
    <mergeCell ref="E115:E124"/>
    <mergeCell ref="K123:S123"/>
    <mergeCell ref="K124:S124"/>
    <mergeCell ref="A100:I100"/>
    <mergeCell ref="L100:M107"/>
    <mergeCell ref="O100:O107"/>
    <mergeCell ref="B102:B111"/>
    <mergeCell ref="C102:C111"/>
    <mergeCell ref="E102:E111"/>
    <mergeCell ref="K108:S109"/>
    <mergeCell ref="K110:S110"/>
    <mergeCell ref="K111:S111"/>
    <mergeCell ref="B91:C98"/>
    <mergeCell ref="E91:E98"/>
    <mergeCell ref="K96:S96"/>
    <mergeCell ref="K97:S97"/>
    <mergeCell ref="K98:S98"/>
    <mergeCell ref="A99:I99"/>
    <mergeCell ref="L99:M99"/>
    <mergeCell ref="A85:I85"/>
    <mergeCell ref="K85:S85"/>
    <mergeCell ref="A86:I87"/>
    <mergeCell ref="K86:S86"/>
    <mergeCell ref="A88:I88"/>
    <mergeCell ref="L88:L95"/>
    <mergeCell ref="M88:M95"/>
    <mergeCell ref="O88:O95"/>
    <mergeCell ref="A89:I89"/>
    <mergeCell ref="B90:C90"/>
    <mergeCell ref="A73:I73"/>
    <mergeCell ref="A74:I75"/>
    <mergeCell ref="K74:S74"/>
    <mergeCell ref="B76:C76"/>
    <mergeCell ref="L76:L83"/>
    <mergeCell ref="M76:M83"/>
    <mergeCell ref="O76:O83"/>
    <mergeCell ref="B77:C84"/>
    <mergeCell ref="E77:E84"/>
    <mergeCell ref="K84:S84"/>
    <mergeCell ref="A71:I71"/>
    <mergeCell ref="L71:P71"/>
    <mergeCell ref="Q71:S71"/>
    <mergeCell ref="A72:I72"/>
    <mergeCell ref="L72:P72"/>
    <mergeCell ref="Q72:S72"/>
    <mergeCell ref="L67:P67"/>
    <mergeCell ref="Q67:S67"/>
    <mergeCell ref="L68:M68"/>
    <mergeCell ref="N68:N70"/>
    <mergeCell ref="O68:O70"/>
    <mergeCell ref="Q68:S68"/>
    <mergeCell ref="L69:M69"/>
    <mergeCell ref="Q69:S69"/>
    <mergeCell ref="L70:M70"/>
    <mergeCell ref="Q70:S70"/>
    <mergeCell ref="K62:S62"/>
    <mergeCell ref="A63:I63"/>
    <mergeCell ref="K63:S63"/>
    <mergeCell ref="L64:M64"/>
    <mergeCell ref="B65:B70"/>
    <mergeCell ref="C65:C70"/>
    <mergeCell ref="E65:E70"/>
    <mergeCell ref="L65:M65"/>
    <mergeCell ref="L66:P66"/>
    <mergeCell ref="Q66:S66"/>
    <mergeCell ref="K51:S51"/>
    <mergeCell ref="K52:S52"/>
    <mergeCell ref="L53:M53"/>
    <mergeCell ref="L54:M61"/>
    <mergeCell ref="O54:O61"/>
    <mergeCell ref="B56:C60"/>
    <mergeCell ref="E58:E60"/>
    <mergeCell ref="A61:I61"/>
    <mergeCell ref="A46:I47"/>
    <mergeCell ref="A48:I48"/>
    <mergeCell ref="A49:I49"/>
    <mergeCell ref="B50:C50"/>
    <mergeCell ref="B51:C55"/>
    <mergeCell ref="E51:E57"/>
    <mergeCell ref="A41:I41"/>
    <mergeCell ref="K41:S41"/>
    <mergeCell ref="A42:I42"/>
    <mergeCell ref="L42:M42"/>
    <mergeCell ref="B43:C43"/>
    <mergeCell ref="L43:M50"/>
    <mergeCell ref="O43:O50"/>
    <mergeCell ref="B44:C45"/>
    <mergeCell ref="E44:E45"/>
    <mergeCell ref="A29:I29"/>
    <mergeCell ref="K29:S29"/>
    <mergeCell ref="K30:S30"/>
    <mergeCell ref="B31:B38"/>
    <mergeCell ref="C31:C38"/>
    <mergeCell ref="E31:E38"/>
    <mergeCell ref="L31:M31"/>
    <mergeCell ref="L32:M39"/>
    <mergeCell ref="O32:O39"/>
    <mergeCell ref="A39:I40"/>
    <mergeCell ref="K40:S40"/>
    <mergeCell ref="B20:C27"/>
    <mergeCell ref="E20:E27"/>
    <mergeCell ref="L20:M27"/>
    <mergeCell ref="O20:O21"/>
    <mergeCell ref="O22:O27"/>
    <mergeCell ref="A28:I28"/>
    <mergeCell ref="K28:S28"/>
    <mergeCell ref="A17:I17"/>
    <mergeCell ref="K17:S17"/>
    <mergeCell ref="A18:I18"/>
    <mergeCell ref="K18:S18"/>
    <mergeCell ref="B19:C19"/>
    <mergeCell ref="L19:M19"/>
    <mergeCell ref="B8:C8"/>
    <mergeCell ref="L8:M8"/>
    <mergeCell ref="B9:C16"/>
    <mergeCell ref="E9:E16"/>
    <mergeCell ref="L9:M16"/>
    <mergeCell ref="O9:O16"/>
    <mergeCell ref="A1:S1"/>
    <mergeCell ref="A2:S2"/>
    <mergeCell ref="A3:S3"/>
    <mergeCell ref="A4:S4"/>
    <mergeCell ref="A5:S5"/>
    <mergeCell ref="A7:I7"/>
    <mergeCell ref="K7:S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56BA-EAAE-44A4-BDDB-9A24AFD58AD3}">
  <dimension ref="A1:M463"/>
  <sheetViews>
    <sheetView topLeftCell="A191" workbookViewId="0">
      <selection activeCell="D223" sqref="D223"/>
    </sheetView>
  </sheetViews>
  <sheetFormatPr defaultColWidth="9.140625" defaultRowHeight="15" x14ac:dyDescent="0.25"/>
  <cols>
    <col min="1" max="1" width="10.5703125" style="148" customWidth="1"/>
    <col min="2" max="2" width="13.7109375" style="148" customWidth="1"/>
    <col min="3" max="3" width="17" style="148" customWidth="1"/>
    <col min="4" max="4" width="10.5703125" style="148" customWidth="1"/>
    <col min="5" max="5" width="9.140625" style="148"/>
    <col min="6" max="6" width="17.28515625" style="148" customWidth="1"/>
    <col min="7" max="7" width="13.140625" style="148" customWidth="1"/>
    <col min="8" max="8" width="21.5703125" style="148" customWidth="1"/>
    <col min="9" max="9" width="20.7109375" style="148" customWidth="1"/>
    <col min="10" max="10" width="11.85546875" style="17" customWidth="1"/>
    <col min="11" max="11" width="20.7109375" style="17" customWidth="1"/>
    <col min="12" max="12" width="16" style="17" customWidth="1"/>
    <col min="13" max="16384" width="9.140625" style="17"/>
  </cols>
  <sheetData>
    <row r="1" spans="1:10" ht="15" customHeight="1" x14ac:dyDescent="0.25">
      <c r="A1" s="500" t="s">
        <v>212</v>
      </c>
      <c r="B1" s="500"/>
      <c r="C1" s="500"/>
      <c r="D1" s="500"/>
      <c r="E1" s="500"/>
      <c r="F1" s="500"/>
      <c r="G1" s="500"/>
      <c r="H1" s="500"/>
      <c r="I1" s="500"/>
      <c r="J1" s="229"/>
    </row>
    <row r="2" spans="1:10" ht="15" customHeight="1" x14ac:dyDescent="0.25">
      <c r="A2" s="501" t="s">
        <v>213</v>
      </c>
      <c r="B2" s="501"/>
      <c r="C2" s="501"/>
      <c r="D2" s="501"/>
      <c r="E2" s="501"/>
      <c r="F2" s="501"/>
      <c r="G2" s="501"/>
      <c r="H2" s="501"/>
      <c r="I2" s="501"/>
      <c r="J2" s="229"/>
    </row>
    <row r="3" spans="1:10" ht="15" customHeight="1" x14ac:dyDescent="0.25">
      <c r="A3" s="501" t="s">
        <v>214</v>
      </c>
      <c r="B3" s="501"/>
      <c r="C3" s="501"/>
      <c r="D3" s="501"/>
      <c r="E3" s="501"/>
      <c r="F3" s="501"/>
      <c r="G3" s="501"/>
      <c r="H3" s="501"/>
      <c r="I3" s="501"/>
      <c r="J3" s="229"/>
    </row>
    <row r="4" spans="1:10" ht="15" customHeight="1" x14ac:dyDescent="0.25">
      <c r="A4" s="501"/>
      <c r="B4" s="501"/>
      <c r="C4" s="501"/>
      <c r="D4" s="501"/>
      <c r="E4" s="501"/>
      <c r="F4" s="501"/>
      <c r="G4" s="501"/>
      <c r="H4" s="501"/>
      <c r="I4" s="501"/>
      <c r="J4" s="229"/>
    </row>
    <row r="5" spans="1:10" ht="15" customHeight="1" x14ac:dyDescent="0.25">
      <c r="A5" s="501" t="s">
        <v>125</v>
      </c>
      <c r="B5" s="501"/>
      <c r="C5" s="501"/>
      <c r="D5" s="501"/>
      <c r="E5" s="501"/>
      <c r="F5" s="501"/>
      <c r="G5" s="501"/>
      <c r="H5" s="501"/>
      <c r="I5" s="501"/>
      <c r="J5" s="229"/>
    </row>
    <row r="6" spans="1:10" ht="15" customHeight="1" x14ac:dyDescent="0.25">
      <c r="A6" s="230" t="s">
        <v>2</v>
      </c>
      <c r="B6" s="230"/>
      <c r="C6" s="230"/>
      <c r="D6" s="230"/>
      <c r="E6" s="230"/>
      <c r="F6" s="230"/>
      <c r="G6" s="230"/>
      <c r="H6" s="230"/>
      <c r="I6" s="230"/>
      <c r="J6" s="229"/>
    </row>
    <row r="7" spans="1:10" ht="16.5" customHeight="1" x14ac:dyDescent="0.25">
      <c r="A7" s="502" t="s">
        <v>2</v>
      </c>
      <c r="B7" s="503"/>
      <c r="C7" s="503"/>
      <c r="D7" s="503"/>
      <c r="E7" s="503"/>
      <c r="F7" s="503"/>
      <c r="G7" s="503"/>
      <c r="H7" s="503"/>
      <c r="I7" s="503"/>
      <c r="J7" s="229"/>
    </row>
    <row r="8" spans="1:10" ht="15" customHeight="1" x14ac:dyDescent="0.25">
      <c r="A8" s="231" t="s">
        <v>20</v>
      </c>
      <c r="B8" s="504" t="s">
        <v>128</v>
      </c>
      <c r="C8" s="505"/>
      <c r="D8" s="231" t="s">
        <v>129</v>
      </c>
      <c r="E8" s="231" t="s">
        <v>130</v>
      </c>
      <c r="F8" s="231" t="s">
        <v>131</v>
      </c>
      <c r="G8" s="231" t="s">
        <v>169</v>
      </c>
      <c r="H8" s="231" t="s">
        <v>133</v>
      </c>
      <c r="I8" s="231" t="s">
        <v>134</v>
      </c>
      <c r="J8" s="229"/>
    </row>
    <row r="9" spans="1:10" ht="15" customHeight="1" x14ac:dyDescent="0.25">
      <c r="A9" s="232">
        <v>2019</v>
      </c>
      <c r="B9" s="506" t="s">
        <v>136</v>
      </c>
      <c r="C9" s="509"/>
      <c r="D9" s="233">
        <v>19815</v>
      </c>
      <c r="E9" s="512" t="s">
        <v>137</v>
      </c>
      <c r="F9" s="233">
        <v>150552</v>
      </c>
      <c r="G9" s="234">
        <f>(D9/F9)*100</f>
        <v>13.161565439183804</v>
      </c>
      <c r="H9" s="232"/>
      <c r="I9" s="235"/>
      <c r="J9" s="229"/>
    </row>
    <row r="10" spans="1:10" ht="15" customHeight="1" x14ac:dyDescent="0.25">
      <c r="A10" s="232">
        <v>2018</v>
      </c>
      <c r="B10" s="507"/>
      <c r="C10" s="510"/>
      <c r="D10" s="233">
        <v>13367</v>
      </c>
      <c r="E10" s="513"/>
      <c r="F10" s="233">
        <v>150552</v>
      </c>
      <c r="G10" s="234">
        <f>(D10/F10)*100</f>
        <v>8.8786598650300217</v>
      </c>
      <c r="H10" s="232"/>
      <c r="I10" s="235"/>
      <c r="J10" s="229"/>
    </row>
    <row r="11" spans="1:10" x14ac:dyDescent="0.25">
      <c r="A11" s="236">
        <v>2017</v>
      </c>
      <c r="B11" s="507"/>
      <c r="C11" s="510"/>
      <c r="D11" s="233">
        <v>26923</v>
      </c>
      <c r="E11" s="513"/>
      <c r="F11" s="233">
        <v>150552</v>
      </c>
      <c r="G11" s="237">
        <v>17.899999999999999</v>
      </c>
      <c r="H11" s="238"/>
      <c r="I11" s="515" t="s">
        <v>215</v>
      </c>
      <c r="J11" s="229"/>
    </row>
    <row r="12" spans="1:10" x14ac:dyDescent="0.25">
      <c r="A12" s="236">
        <v>2016</v>
      </c>
      <c r="B12" s="507"/>
      <c r="C12" s="510"/>
      <c r="D12" s="233">
        <v>20423</v>
      </c>
      <c r="E12" s="513"/>
      <c r="F12" s="233">
        <v>150552</v>
      </c>
      <c r="G12" s="237">
        <v>13.6</v>
      </c>
      <c r="H12" s="239"/>
      <c r="I12" s="516"/>
      <c r="J12" s="229"/>
    </row>
    <row r="13" spans="1:10" ht="15" customHeight="1" x14ac:dyDescent="0.25">
      <c r="A13" s="236">
        <v>2015</v>
      </c>
      <c r="B13" s="507"/>
      <c r="C13" s="510"/>
      <c r="D13" s="233">
        <v>20675</v>
      </c>
      <c r="E13" s="513"/>
      <c r="F13" s="233">
        <v>150552</v>
      </c>
      <c r="G13" s="237">
        <v>13.7</v>
      </c>
      <c r="H13" s="239"/>
      <c r="I13" s="516"/>
      <c r="J13" s="229"/>
    </row>
    <row r="14" spans="1:10" ht="15" customHeight="1" x14ac:dyDescent="0.25">
      <c r="A14" s="236">
        <v>2014</v>
      </c>
      <c r="B14" s="507"/>
      <c r="C14" s="510"/>
      <c r="D14" s="233">
        <v>26638</v>
      </c>
      <c r="E14" s="513"/>
      <c r="F14" s="233">
        <v>35108</v>
      </c>
      <c r="G14" s="237">
        <v>75.900000000000006</v>
      </c>
      <c r="H14" s="239"/>
      <c r="I14" s="516"/>
      <c r="J14" s="229"/>
    </row>
    <row r="15" spans="1:10" ht="15" customHeight="1" x14ac:dyDescent="0.25">
      <c r="A15" s="236">
        <v>2013</v>
      </c>
      <c r="B15" s="507"/>
      <c r="C15" s="510"/>
      <c r="D15" s="240">
        <v>23489</v>
      </c>
      <c r="E15" s="513"/>
      <c r="F15" s="233">
        <v>35108</v>
      </c>
      <c r="G15" s="237">
        <v>66.900000000000006</v>
      </c>
      <c r="H15" s="239"/>
      <c r="I15" s="516"/>
      <c r="J15" s="229"/>
    </row>
    <row r="16" spans="1:10" ht="15" customHeight="1" x14ac:dyDescent="0.25">
      <c r="A16" s="236">
        <v>2012</v>
      </c>
      <c r="B16" s="508"/>
      <c r="C16" s="511"/>
      <c r="D16" s="241">
        <v>27416</v>
      </c>
      <c r="E16" s="514"/>
      <c r="F16" s="233">
        <v>36476</v>
      </c>
      <c r="G16" s="237">
        <v>75.2</v>
      </c>
      <c r="H16" s="239"/>
      <c r="I16" s="517"/>
      <c r="J16" s="229"/>
    </row>
    <row r="17" spans="1:11" ht="15" customHeight="1" x14ac:dyDescent="0.25">
      <c r="A17" s="242"/>
      <c r="B17" s="243"/>
      <c r="C17" s="243"/>
      <c r="D17" s="243"/>
      <c r="E17" s="244"/>
      <c r="F17" s="245"/>
      <c r="G17" s="246"/>
      <c r="H17" s="247"/>
      <c r="I17" s="247"/>
      <c r="J17" s="229"/>
    </row>
    <row r="18" spans="1:11" x14ac:dyDescent="0.25">
      <c r="A18" s="502" t="s">
        <v>39</v>
      </c>
      <c r="B18" s="503"/>
      <c r="C18" s="503"/>
      <c r="D18" s="503"/>
      <c r="E18" s="503"/>
      <c r="F18" s="503"/>
      <c r="G18" s="503"/>
      <c r="H18" s="503"/>
      <c r="I18" s="503"/>
      <c r="J18" s="229"/>
    </row>
    <row r="19" spans="1:11" ht="15" customHeight="1" x14ac:dyDescent="0.25">
      <c r="A19" s="231" t="s">
        <v>20</v>
      </c>
      <c r="B19" s="504" t="s">
        <v>128</v>
      </c>
      <c r="C19" s="505"/>
      <c r="D19" s="231" t="s">
        <v>129</v>
      </c>
      <c r="E19" s="231" t="s">
        <v>130</v>
      </c>
      <c r="F19" s="231" t="s">
        <v>131</v>
      </c>
      <c r="G19" s="231" t="s">
        <v>169</v>
      </c>
      <c r="H19" s="231" t="s">
        <v>133</v>
      </c>
      <c r="I19" s="231" t="s">
        <v>134</v>
      </c>
      <c r="J19" s="229"/>
    </row>
    <row r="20" spans="1:11" ht="15" customHeight="1" x14ac:dyDescent="0.25">
      <c r="A20" s="232">
        <v>2019</v>
      </c>
      <c r="B20" s="506" t="s">
        <v>136</v>
      </c>
      <c r="C20" s="509"/>
      <c r="D20" s="233">
        <v>2768</v>
      </c>
      <c r="E20" s="512" t="s">
        <v>137</v>
      </c>
      <c r="F20" s="233">
        <v>13228</v>
      </c>
      <c r="G20" s="234">
        <f>(D20/F20)*100</f>
        <v>20.925309948593892</v>
      </c>
      <c r="H20" s="232"/>
      <c r="I20" s="235"/>
      <c r="J20" s="229"/>
    </row>
    <row r="21" spans="1:11" ht="15" customHeight="1" x14ac:dyDescent="0.25">
      <c r="A21" s="232">
        <v>2018</v>
      </c>
      <c r="B21" s="507"/>
      <c r="C21" s="510"/>
      <c r="D21" s="233">
        <v>2306</v>
      </c>
      <c r="E21" s="513"/>
      <c r="F21" s="233">
        <v>13228</v>
      </c>
      <c r="G21" s="234">
        <f>(D21/F21)*100</f>
        <v>17.432718475960087</v>
      </c>
      <c r="H21" s="232"/>
      <c r="I21" s="235"/>
      <c r="J21" s="229"/>
    </row>
    <row r="22" spans="1:11" x14ac:dyDescent="0.25">
      <c r="A22" s="236">
        <v>2017</v>
      </c>
      <c r="B22" s="507"/>
      <c r="C22" s="510"/>
      <c r="D22" s="233">
        <v>795</v>
      </c>
      <c r="E22" s="513"/>
      <c r="F22" s="233">
        <v>13228</v>
      </c>
      <c r="G22" s="237">
        <v>6</v>
      </c>
      <c r="H22" s="238"/>
      <c r="I22" s="515" t="s">
        <v>215</v>
      </c>
      <c r="J22" s="229"/>
    </row>
    <row r="23" spans="1:11" x14ac:dyDescent="0.25">
      <c r="A23" s="236">
        <v>2016</v>
      </c>
      <c r="B23" s="507"/>
      <c r="C23" s="510"/>
      <c r="D23" s="233">
        <v>1882</v>
      </c>
      <c r="E23" s="513"/>
      <c r="F23" s="233">
        <v>13228</v>
      </c>
      <c r="G23" s="237">
        <v>14.2</v>
      </c>
      <c r="H23" s="239"/>
      <c r="I23" s="516"/>
      <c r="J23" s="229"/>
    </row>
    <row r="24" spans="1:11" ht="15" customHeight="1" x14ac:dyDescent="0.25">
      <c r="A24" s="236">
        <v>2015</v>
      </c>
      <c r="B24" s="507"/>
      <c r="C24" s="510"/>
      <c r="D24" s="233">
        <v>2887</v>
      </c>
      <c r="E24" s="513"/>
      <c r="F24" s="233">
        <v>13228</v>
      </c>
      <c r="G24" s="237">
        <v>21.8</v>
      </c>
      <c r="H24" s="239"/>
      <c r="I24" s="516"/>
      <c r="J24" s="248" t="s">
        <v>216</v>
      </c>
      <c r="K24" s="248"/>
    </row>
    <row r="25" spans="1:11" ht="16.5" customHeight="1" x14ac:dyDescent="0.25">
      <c r="A25" s="236">
        <v>2014</v>
      </c>
      <c r="B25" s="507"/>
      <c r="C25" s="510"/>
      <c r="D25" s="233">
        <v>4803</v>
      </c>
      <c r="E25" s="513"/>
      <c r="F25" s="233">
        <v>5265</v>
      </c>
      <c r="G25" s="237">
        <v>91.2</v>
      </c>
      <c r="H25" s="239"/>
      <c r="I25" s="516"/>
      <c r="J25" s="249"/>
      <c r="K25" s="40"/>
    </row>
    <row r="26" spans="1:11" ht="15" customHeight="1" x14ac:dyDescent="0.25">
      <c r="A26" s="236">
        <v>2013</v>
      </c>
      <c r="B26" s="507"/>
      <c r="C26" s="510"/>
      <c r="D26" s="233">
        <v>5690</v>
      </c>
      <c r="E26" s="513"/>
      <c r="F26" s="233">
        <v>5265</v>
      </c>
      <c r="G26" s="237">
        <v>108.1</v>
      </c>
      <c r="H26" s="239"/>
      <c r="I26" s="516"/>
      <c r="J26" s="249"/>
      <c r="K26" s="40"/>
    </row>
    <row r="27" spans="1:11" x14ac:dyDescent="0.25">
      <c r="A27" s="236">
        <v>2012</v>
      </c>
      <c r="B27" s="508"/>
      <c r="C27" s="511"/>
      <c r="D27" s="241">
        <v>4072</v>
      </c>
      <c r="E27" s="514"/>
      <c r="F27" s="233">
        <v>6686</v>
      </c>
      <c r="G27" s="237">
        <v>60.9</v>
      </c>
      <c r="H27" s="239"/>
      <c r="I27" s="517"/>
      <c r="J27" s="229"/>
    </row>
    <row r="28" spans="1:11" ht="15" customHeight="1" x14ac:dyDescent="0.25">
      <c r="A28" s="250"/>
      <c r="B28" s="250"/>
      <c r="C28" s="250"/>
      <c r="D28" s="250"/>
      <c r="E28" s="250"/>
      <c r="F28" s="250"/>
      <c r="G28" s="250"/>
      <c r="H28" s="250"/>
      <c r="I28" s="250"/>
      <c r="J28" s="229"/>
    </row>
    <row r="29" spans="1:11" ht="15" customHeight="1" x14ac:dyDescent="0.25">
      <c r="A29" s="502" t="s">
        <v>114</v>
      </c>
      <c r="B29" s="503"/>
      <c r="C29" s="503"/>
      <c r="D29" s="503"/>
      <c r="E29" s="503"/>
      <c r="F29" s="503"/>
      <c r="G29" s="503"/>
      <c r="H29" s="503"/>
      <c r="I29" s="503"/>
    </row>
    <row r="30" spans="1:11" ht="30" x14ac:dyDescent="0.25">
      <c r="A30" s="231" t="s">
        <v>20</v>
      </c>
      <c r="B30" s="231" t="s">
        <v>128</v>
      </c>
      <c r="C30" s="231" t="s">
        <v>217</v>
      </c>
      <c r="D30" s="231" t="s">
        <v>129</v>
      </c>
      <c r="E30" s="231" t="s">
        <v>130</v>
      </c>
      <c r="F30" s="231" t="s">
        <v>131</v>
      </c>
      <c r="G30" s="231" t="s">
        <v>169</v>
      </c>
      <c r="H30" s="231" t="s">
        <v>133</v>
      </c>
      <c r="I30" s="231" t="s">
        <v>134</v>
      </c>
    </row>
    <row r="31" spans="1:11" x14ac:dyDescent="0.25">
      <c r="A31" s="232">
        <v>2019</v>
      </c>
      <c r="B31" s="506" t="s">
        <v>136</v>
      </c>
      <c r="C31" s="509" t="s">
        <v>154</v>
      </c>
      <c r="D31" s="233">
        <v>50718</v>
      </c>
      <c r="E31" s="512" t="s">
        <v>137</v>
      </c>
      <c r="F31" s="233">
        <v>96844</v>
      </c>
      <c r="G31" s="234">
        <f>(D31/F31)*100</f>
        <v>52.370823179546491</v>
      </c>
      <c r="H31" s="232"/>
      <c r="I31" s="235"/>
    </row>
    <row r="32" spans="1:11" x14ac:dyDescent="0.25">
      <c r="A32" s="232">
        <v>2018</v>
      </c>
      <c r="B32" s="507"/>
      <c r="C32" s="510"/>
      <c r="D32" s="233">
        <v>56704</v>
      </c>
      <c r="E32" s="513"/>
      <c r="F32" s="233">
        <v>96844</v>
      </c>
      <c r="G32" s="234">
        <f>(D32/F32)*100</f>
        <v>58.55189789764983</v>
      </c>
      <c r="H32" s="232"/>
      <c r="I32" s="235"/>
    </row>
    <row r="33" spans="1:10" ht="15" customHeight="1" x14ac:dyDescent="0.25">
      <c r="A33" s="236">
        <v>2017</v>
      </c>
      <c r="B33" s="507"/>
      <c r="C33" s="510"/>
      <c r="D33" s="233">
        <v>86351</v>
      </c>
      <c r="E33" s="513"/>
      <c r="F33" s="233">
        <v>96844</v>
      </c>
      <c r="G33" s="237">
        <v>89.2</v>
      </c>
      <c r="H33" s="239"/>
      <c r="I33" s="515" t="s">
        <v>215</v>
      </c>
    </row>
    <row r="34" spans="1:10" ht="16.5" customHeight="1" x14ac:dyDescent="0.25">
      <c r="A34" s="236">
        <v>2016</v>
      </c>
      <c r="B34" s="507"/>
      <c r="C34" s="510"/>
      <c r="D34" s="233">
        <v>71166</v>
      </c>
      <c r="E34" s="513"/>
      <c r="F34" s="233">
        <v>96844</v>
      </c>
      <c r="G34" s="237">
        <v>73.5</v>
      </c>
      <c r="H34" s="239"/>
      <c r="I34" s="516"/>
    </row>
    <row r="35" spans="1:10" ht="15" customHeight="1" x14ac:dyDescent="0.25">
      <c r="A35" s="236">
        <v>2015</v>
      </c>
      <c r="B35" s="507"/>
      <c r="C35" s="510"/>
      <c r="D35" s="233">
        <v>88957</v>
      </c>
      <c r="E35" s="513"/>
      <c r="F35" s="233">
        <v>96844</v>
      </c>
      <c r="G35" s="237">
        <v>91.9</v>
      </c>
      <c r="H35" s="239"/>
      <c r="I35" s="516"/>
    </row>
    <row r="36" spans="1:10" ht="15" customHeight="1" x14ac:dyDescent="0.25">
      <c r="A36" s="236">
        <v>2014</v>
      </c>
      <c r="B36" s="507"/>
      <c r="C36" s="510"/>
      <c r="D36" s="233">
        <v>92038</v>
      </c>
      <c r="E36" s="513"/>
      <c r="F36" s="233">
        <v>96844</v>
      </c>
      <c r="G36" s="237">
        <v>95</v>
      </c>
      <c r="H36" s="239"/>
      <c r="I36" s="516"/>
    </row>
    <row r="37" spans="1:10" x14ac:dyDescent="0.25">
      <c r="A37" s="236">
        <v>2013</v>
      </c>
      <c r="B37" s="507"/>
      <c r="C37" s="510"/>
      <c r="D37" s="240">
        <v>60576</v>
      </c>
      <c r="E37" s="513"/>
      <c r="F37" s="233">
        <v>94571</v>
      </c>
      <c r="G37" s="237">
        <v>64.099999999999994</v>
      </c>
      <c r="H37" s="239"/>
      <c r="I37" s="516"/>
    </row>
    <row r="38" spans="1:10" ht="30" x14ac:dyDescent="0.25">
      <c r="A38" s="236">
        <v>2012</v>
      </c>
      <c r="B38" s="508"/>
      <c r="C38" s="511"/>
      <c r="D38" s="240">
        <v>50813</v>
      </c>
      <c r="E38" s="514"/>
      <c r="F38" s="233">
        <v>90575</v>
      </c>
      <c r="G38" s="237">
        <v>56.1</v>
      </c>
      <c r="H38" s="251" t="s">
        <v>218</v>
      </c>
      <c r="I38" s="517"/>
    </row>
    <row r="39" spans="1:10" ht="15" customHeight="1" x14ac:dyDescent="0.25">
      <c r="A39" s="250"/>
      <c r="B39" s="250"/>
      <c r="C39" s="250"/>
      <c r="D39" s="250"/>
      <c r="E39" s="250"/>
      <c r="F39" s="250"/>
      <c r="G39" s="250"/>
      <c r="H39" s="250"/>
      <c r="I39" s="250"/>
      <c r="J39" s="229"/>
    </row>
    <row r="40" spans="1:10" ht="15" customHeight="1" x14ac:dyDescent="0.25">
      <c r="A40" s="502" t="s">
        <v>160</v>
      </c>
      <c r="B40" s="503"/>
      <c r="C40" s="503"/>
      <c r="D40" s="503"/>
      <c r="E40" s="503"/>
      <c r="F40" s="503"/>
      <c r="G40" s="503"/>
      <c r="H40" s="503"/>
      <c r="I40" s="503"/>
      <c r="J40" s="229"/>
    </row>
    <row r="41" spans="1:10" ht="30" x14ac:dyDescent="0.25">
      <c r="A41" s="231" t="s">
        <v>20</v>
      </c>
      <c r="B41" s="504" t="s">
        <v>128</v>
      </c>
      <c r="C41" s="505"/>
      <c r="D41" s="231" t="s">
        <v>129</v>
      </c>
      <c r="E41" s="231" t="s">
        <v>130</v>
      </c>
      <c r="F41" s="231" t="s">
        <v>131</v>
      </c>
      <c r="G41" s="231" t="s">
        <v>169</v>
      </c>
      <c r="H41" s="231" t="s">
        <v>133</v>
      </c>
      <c r="I41" s="231" t="s">
        <v>134</v>
      </c>
      <c r="J41" s="229"/>
    </row>
    <row r="42" spans="1:10" x14ac:dyDescent="0.25">
      <c r="A42" s="232">
        <v>2019</v>
      </c>
      <c r="B42" s="506" t="s">
        <v>136</v>
      </c>
      <c r="C42" s="509"/>
      <c r="D42" s="233">
        <v>183230</v>
      </c>
      <c r="E42" s="515" t="s">
        <v>137</v>
      </c>
      <c r="F42" s="233">
        <v>326800</v>
      </c>
      <c r="G42" s="234">
        <f>(D42/F42)*100</f>
        <v>56.067931456548351</v>
      </c>
      <c r="H42" s="232"/>
      <c r="I42" s="235"/>
      <c r="J42" s="229"/>
    </row>
    <row r="43" spans="1:10" x14ac:dyDescent="0.25">
      <c r="A43" s="232">
        <v>2018</v>
      </c>
      <c r="B43" s="507"/>
      <c r="C43" s="510"/>
      <c r="D43" s="233">
        <v>282627</v>
      </c>
      <c r="E43" s="516"/>
      <c r="F43" s="233">
        <v>755274</v>
      </c>
      <c r="G43" s="234">
        <f>(D43/F43)*100</f>
        <v>37.420459329991502</v>
      </c>
      <c r="H43" s="232"/>
      <c r="I43" s="235"/>
      <c r="J43" s="229"/>
    </row>
    <row r="44" spans="1:10" ht="15" customHeight="1" x14ac:dyDescent="0.25">
      <c r="A44" s="236">
        <v>2017</v>
      </c>
      <c r="B44" s="507"/>
      <c r="C44" s="510"/>
      <c r="D44" s="233">
        <v>332085</v>
      </c>
      <c r="E44" s="516"/>
      <c r="F44" s="233">
        <v>755274</v>
      </c>
      <c r="G44" s="237">
        <v>44</v>
      </c>
      <c r="H44" s="238"/>
      <c r="I44" s="515" t="s">
        <v>215</v>
      </c>
      <c r="J44" s="229"/>
    </row>
    <row r="45" spans="1:10" ht="15" customHeight="1" x14ac:dyDescent="0.25">
      <c r="A45" s="236">
        <v>2016</v>
      </c>
      <c r="B45" s="507"/>
      <c r="C45" s="510"/>
      <c r="D45" s="233">
        <v>255298</v>
      </c>
      <c r="E45" s="516"/>
      <c r="F45" s="233">
        <v>780020</v>
      </c>
      <c r="G45" s="237">
        <v>32.700000000000003</v>
      </c>
      <c r="H45" s="239"/>
      <c r="I45" s="516"/>
      <c r="J45" s="229"/>
    </row>
    <row r="46" spans="1:10" x14ac:dyDescent="0.25">
      <c r="A46" s="236">
        <v>2015</v>
      </c>
      <c r="B46" s="508"/>
      <c r="C46" s="511"/>
      <c r="D46" s="233">
        <v>318725</v>
      </c>
      <c r="E46" s="516"/>
      <c r="F46" s="233">
        <v>780020</v>
      </c>
      <c r="G46" s="237">
        <v>40.9</v>
      </c>
      <c r="H46" s="239"/>
      <c r="I46" s="516"/>
      <c r="J46" s="229"/>
    </row>
    <row r="47" spans="1:10" ht="15" customHeight="1" x14ac:dyDescent="0.25">
      <c r="A47" s="236">
        <v>2014</v>
      </c>
      <c r="B47" s="518" t="s">
        <v>219</v>
      </c>
      <c r="C47" s="519"/>
      <c r="D47" s="233">
        <v>221411</v>
      </c>
      <c r="E47" s="516"/>
      <c r="F47" s="233">
        <v>780020</v>
      </c>
      <c r="G47" s="237">
        <v>28.4</v>
      </c>
      <c r="H47" s="239"/>
      <c r="I47" s="516"/>
      <c r="J47" s="229"/>
    </row>
    <row r="48" spans="1:10" ht="15" customHeight="1" x14ac:dyDescent="0.25">
      <c r="A48" s="251" t="s">
        <v>147</v>
      </c>
      <c r="B48" s="518" t="s">
        <v>220</v>
      </c>
      <c r="C48" s="519"/>
      <c r="D48" s="233">
        <v>729461</v>
      </c>
      <c r="E48" s="517"/>
      <c r="F48" s="233">
        <v>780020</v>
      </c>
      <c r="G48" s="237">
        <v>93.5</v>
      </c>
      <c r="H48" s="252">
        <v>41190</v>
      </c>
      <c r="I48" s="516"/>
      <c r="J48" s="229"/>
    </row>
    <row r="49" spans="1:11" ht="15" customHeight="1" x14ac:dyDescent="0.25">
      <c r="A49" s="251" t="s">
        <v>148</v>
      </c>
      <c r="B49" s="518" t="s">
        <v>221</v>
      </c>
      <c r="C49" s="519"/>
      <c r="D49" s="240">
        <v>321375</v>
      </c>
      <c r="E49" s="515" t="s">
        <v>158</v>
      </c>
      <c r="F49" s="233">
        <v>309000</v>
      </c>
      <c r="G49" s="237">
        <v>104</v>
      </c>
      <c r="H49" s="252"/>
      <c r="I49" s="516"/>
      <c r="J49" s="229"/>
    </row>
    <row r="50" spans="1:11" ht="15" customHeight="1" x14ac:dyDescent="0.25">
      <c r="A50" s="251" t="s">
        <v>164</v>
      </c>
      <c r="B50" s="506" t="s">
        <v>220</v>
      </c>
      <c r="C50" s="509"/>
      <c r="D50" s="233">
        <v>349458</v>
      </c>
      <c r="E50" s="516"/>
      <c r="F50" s="233">
        <v>309000</v>
      </c>
      <c r="G50" s="237">
        <v>113.1</v>
      </c>
      <c r="H50" s="252">
        <v>40739</v>
      </c>
      <c r="I50" s="516"/>
      <c r="J50" s="229"/>
    </row>
    <row r="51" spans="1:11" ht="15" customHeight="1" x14ac:dyDescent="0.25">
      <c r="A51" s="251" t="s">
        <v>165</v>
      </c>
      <c r="B51" s="507"/>
      <c r="C51" s="510"/>
      <c r="D51" s="241">
        <v>408178</v>
      </c>
      <c r="E51" s="516"/>
      <c r="F51" s="233">
        <v>309000</v>
      </c>
      <c r="G51" s="237">
        <v>132.1</v>
      </c>
      <c r="H51" s="252">
        <v>40458</v>
      </c>
      <c r="I51" s="516"/>
      <c r="J51" s="229"/>
    </row>
    <row r="52" spans="1:11" ht="16.5" customHeight="1" x14ac:dyDescent="0.25">
      <c r="A52" s="251" t="s">
        <v>222</v>
      </c>
      <c r="B52" s="507"/>
      <c r="C52" s="510"/>
      <c r="D52" s="241">
        <v>336204</v>
      </c>
      <c r="E52" s="516"/>
      <c r="F52" s="233">
        <v>309000</v>
      </c>
      <c r="G52" s="237">
        <v>108.8</v>
      </c>
      <c r="H52" s="252">
        <v>40167</v>
      </c>
      <c r="I52" s="516"/>
      <c r="J52" s="229"/>
    </row>
    <row r="53" spans="1:11" ht="15" customHeight="1" x14ac:dyDescent="0.25">
      <c r="A53" s="251" t="s">
        <v>223</v>
      </c>
      <c r="B53" s="507"/>
      <c r="C53" s="510"/>
      <c r="D53" s="241">
        <v>394819</v>
      </c>
      <c r="E53" s="516"/>
      <c r="F53" s="233">
        <v>309000</v>
      </c>
      <c r="G53" s="237">
        <v>127.8</v>
      </c>
      <c r="H53" s="252">
        <v>39948</v>
      </c>
      <c r="I53" s="516"/>
      <c r="J53" s="229"/>
    </row>
    <row r="54" spans="1:11" ht="15" customHeight="1" x14ac:dyDescent="0.25">
      <c r="A54" s="251" t="s">
        <v>224</v>
      </c>
      <c r="B54" s="508"/>
      <c r="C54" s="511"/>
      <c r="D54" s="241">
        <v>302040</v>
      </c>
      <c r="E54" s="517"/>
      <c r="F54" s="233">
        <v>423000</v>
      </c>
      <c r="G54" s="237">
        <v>71.400000000000006</v>
      </c>
      <c r="H54" s="239"/>
      <c r="I54" s="517"/>
      <c r="J54" s="229"/>
    </row>
    <row r="55" spans="1:11" x14ac:dyDescent="0.25">
      <c r="A55" s="250"/>
      <c r="B55" s="250"/>
      <c r="C55" s="250"/>
      <c r="D55" s="250"/>
      <c r="E55" s="250"/>
      <c r="F55" s="250"/>
      <c r="G55" s="250"/>
      <c r="H55" s="250"/>
      <c r="I55" s="250"/>
      <c r="J55" s="249"/>
      <c r="K55" s="40"/>
    </row>
    <row r="56" spans="1:11" ht="15" customHeight="1" x14ac:dyDescent="0.25">
      <c r="A56" s="502" t="s">
        <v>225</v>
      </c>
      <c r="B56" s="503"/>
      <c r="C56" s="503"/>
      <c r="D56" s="503"/>
      <c r="E56" s="503"/>
      <c r="F56" s="503"/>
      <c r="G56" s="503"/>
      <c r="H56" s="503"/>
      <c r="I56" s="503"/>
      <c r="J56" s="229"/>
    </row>
    <row r="57" spans="1:11" ht="30" customHeight="1" x14ac:dyDescent="0.25">
      <c r="A57" s="231" t="s">
        <v>20</v>
      </c>
      <c r="B57" s="504" t="s">
        <v>128</v>
      </c>
      <c r="C57" s="505"/>
      <c r="D57" s="231" t="s">
        <v>129</v>
      </c>
      <c r="E57" s="231" t="s">
        <v>130</v>
      </c>
      <c r="F57" s="231" t="s">
        <v>131</v>
      </c>
      <c r="G57" s="231" t="s">
        <v>169</v>
      </c>
      <c r="H57" s="231" t="s">
        <v>133</v>
      </c>
      <c r="I57" s="231" t="s">
        <v>134</v>
      </c>
      <c r="J57" s="229"/>
    </row>
    <row r="58" spans="1:11" x14ac:dyDescent="0.25">
      <c r="A58" s="232">
        <v>2019</v>
      </c>
      <c r="B58" s="506" t="s">
        <v>136</v>
      </c>
      <c r="C58" s="509"/>
      <c r="D58" s="233">
        <v>95335</v>
      </c>
      <c r="E58" s="512" t="s">
        <v>137</v>
      </c>
      <c r="F58" s="233">
        <v>87521</v>
      </c>
      <c r="G58" s="234">
        <f>(D58/F58)*100</f>
        <v>108.92814295997533</v>
      </c>
      <c r="H58" s="253">
        <v>43676</v>
      </c>
      <c r="I58" s="235"/>
      <c r="J58" s="229"/>
    </row>
    <row r="59" spans="1:11" x14ac:dyDescent="0.25">
      <c r="A59" s="232">
        <v>2018</v>
      </c>
      <c r="B59" s="507"/>
      <c r="C59" s="510"/>
      <c r="D59" s="233">
        <v>93128</v>
      </c>
      <c r="E59" s="513"/>
      <c r="F59" s="233">
        <v>87521</v>
      </c>
      <c r="G59" s="234">
        <f>(D59/F59)*100</f>
        <v>106.40646244901224</v>
      </c>
      <c r="H59" s="253">
        <v>43334</v>
      </c>
      <c r="I59" s="235"/>
      <c r="J59" s="229"/>
    </row>
    <row r="60" spans="1:11" ht="30" x14ac:dyDescent="0.25">
      <c r="A60" s="236">
        <v>2017</v>
      </c>
      <c r="B60" s="507"/>
      <c r="C60" s="510"/>
      <c r="D60" s="233">
        <v>85536</v>
      </c>
      <c r="E60" s="513"/>
      <c r="F60" s="233">
        <v>87521</v>
      </c>
      <c r="G60" s="237">
        <v>97.7</v>
      </c>
      <c r="H60" s="251" t="s">
        <v>226</v>
      </c>
      <c r="I60" s="515" t="s">
        <v>215</v>
      </c>
      <c r="J60" s="229"/>
    </row>
    <row r="61" spans="1:11" ht="30" x14ac:dyDescent="0.25">
      <c r="A61" s="236">
        <v>2016</v>
      </c>
      <c r="B61" s="507"/>
      <c r="C61" s="510"/>
      <c r="D61" s="240">
        <v>97798</v>
      </c>
      <c r="E61" s="513"/>
      <c r="F61" s="233">
        <v>87521</v>
      </c>
      <c r="G61" s="237">
        <v>111.7</v>
      </c>
      <c r="H61" s="251" t="s">
        <v>227</v>
      </c>
      <c r="I61" s="516"/>
      <c r="J61" s="229"/>
    </row>
    <row r="62" spans="1:11" ht="16.5" customHeight="1" x14ac:dyDescent="0.25">
      <c r="A62" s="236">
        <v>2015</v>
      </c>
      <c r="B62" s="507"/>
      <c r="C62" s="510"/>
      <c r="D62" s="240">
        <v>78900</v>
      </c>
      <c r="E62" s="513"/>
      <c r="F62" s="240">
        <v>17841</v>
      </c>
      <c r="G62" s="251">
        <v>442.2</v>
      </c>
      <c r="H62" s="254">
        <v>42101</v>
      </c>
      <c r="I62" s="516"/>
      <c r="J62" s="229"/>
    </row>
    <row r="63" spans="1:11" ht="15" customHeight="1" x14ac:dyDescent="0.25">
      <c r="A63" s="236">
        <v>2014</v>
      </c>
      <c r="B63" s="508"/>
      <c r="C63" s="511"/>
      <c r="D63" s="240">
        <v>156371</v>
      </c>
      <c r="E63" s="514"/>
      <c r="F63" s="240">
        <v>112207</v>
      </c>
      <c r="G63" s="251">
        <v>139.4</v>
      </c>
      <c r="H63" s="254">
        <v>41813</v>
      </c>
      <c r="I63" s="517"/>
      <c r="J63" s="229"/>
    </row>
    <row r="64" spans="1:11" ht="15" customHeight="1" x14ac:dyDescent="0.25">
      <c r="A64" s="522" t="s">
        <v>175</v>
      </c>
      <c r="B64" s="522"/>
      <c r="C64" s="522"/>
      <c r="D64" s="522"/>
      <c r="E64" s="522"/>
      <c r="F64" s="522"/>
      <c r="G64" s="522"/>
      <c r="H64" s="522"/>
      <c r="I64" s="522"/>
      <c r="J64" s="229"/>
    </row>
    <row r="65" spans="1:10" x14ac:dyDescent="0.25">
      <c r="A65" s="250"/>
      <c r="B65" s="250"/>
      <c r="C65" s="250"/>
      <c r="D65" s="250"/>
      <c r="E65" s="250"/>
      <c r="F65" s="250"/>
      <c r="G65" s="250"/>
      <c r="H65" s="250"/>
      <c r="I65" s="250"/>
      <c r="J65" s="229"/>
    </row>
    <row r="66" spans="1:10" ht="15" customHeight="1" x14ac:dyDescent="0.25">
      <c r="A66" s="520" t="s">
        <v>32</v>
      </c>
      <c r="B66" s="521"/>
      <c r="C66" s="521"/>
      <c r="D66" s="521"/>
      <c r="E66" s="521"/>
      <c r="F66" s="521"/>
      <c r="G66" s="521"/>
      <c r="H66" s="521"/>
      <c r="I66" s="521"/>
      <c r="J66" s="229"/>
    </row>
    <row r="67" spans="1:10" ht="15" customHeight="1" x14ac:dyDescent="0.25">
      <c r="A67" s="502" t="s">
        <v>228</v>
      </c>
      <c r="B67" s="503"/>
      <c r="C67" s="503"/>
      <c r="D67" s="503"/>
      <c r="E67" s="503"/>
      <c r="F67" s="503"/>
      <c r="G67" s="503"/>
      <c r="H67" s="503"/>
      <c r="I67" s="503"/>
      <c r="J67" s="229"/>
    </row>
    <row r="68" spans="1:10" ht="30" customHeight="1" x14ac:dyDescent="0.25">
      <c r="A68" s="231" t="s">
        <v>20</v>
      </c>
      <c r="B68" s="504" t="s">
        <v>128</v>
      </c>
      <c r="C68" s="505"/>
      <c r="D68" s="231" t="s">
        <v>129</v>
      </c>
      <c r="E68" s="231" t="s">
        <v>130</v>
      </c>
      <c r="F68" s="231" t="s">
        <v>131</v>
      </c>
      <c r="G68" s="231" t="s">
        <v>169</v>
      </c>
      <c r="H68" s="231" t="s">
        <v>133</v>
      </c>
      <c r="I68" s="231" t="s">
        <v>134</v>
      </c>
      <c r="J68" s="229"/>
    </row>
    <row r="69" spans="1:10" x14ac:dyDescent="0.25">
      <c r="A69" s="232">
        <v>2019</v>
      </c>
      <c r="B69" s="506" t="s">
        <v>136</v>
      </c>
      <c r="C69" s="509"/>
      <c r="D69" s="233">
        <v>56916</v>
      </c>
      <c r="E69" s="515" t="s">
        <v>137</v>
      </c>
      <c r="F69" s="233">
        <v>131268</v>
      </c>
      <c r="G69" s="234">
        <f>(D69/F69)*100</f>
        <v>43.358625102843042</v>
      </c>
      <c r="H69" s="232"/>
      <c r="I69" s="235"/>
      <c r="J69" s="229"/>
    </row>
    <row r="70" spans="1:10" x14ac:dyDescent="0.25">
      <c r="A70" s="232">
        <v>2018</v>
      </c>
      <c r="B70" s="507"/>
      <c r="C70" s="510"/>
      <c r="D70" s="233">
        <v>50199</v>
      </c>
      <c r="E70" s="516"/>
      <c r="F70" s="233">
        <v>131268</v>
      </c>
      <c r="G70" s="234">
        <f>(D70/F70)*100</f>
        <v>38.241612578846329</v>
      </c>
      <c r="H70" s="232"/>
      <c r="I70" s="235"/>
      <c r="J70" s="229"/>
    </row>
    <row r="71" spans="1:10" ht="15" customHeight="1" x14ac:dyDescent="0.25">
      <c r="A71" s="236">
        <v>2017</v>
      </c>
      <c r="B71" s="507"/>
      <c r="C71" s="510"/>
      <c r="D71" s="233">
        <v>46549</v>
      </c>
      <c r="E71" s="516"/>
      <c r="F71" s="233">
        <v>131268</v>
      </c>
      <c r="G71" s="237">
        <v>35.5</v>
      </c>
      <c r="H71" s="239"/>
      <c r="I71" s="515" t="s">
        <v>229</v>
      </c>
      <c r="J71" s="229"/>
    </row>
    <row r="72" spans="1:10" ht="15" customHeight="1" x14ac:dyDescent="0.25">
      <c r="A72" s="251" t="s">
        <v>178</v>
      </c>
      <c r="B72" s="507"/>
      <c r="C72" s="510"/>
      <c r="D72" s="233">
        <v>43746</v>
      </c>
      <c r="E72" s="516"/>
      <c r="F72" s="233">
        <v>131268</v>
      </c>
      <c r="G72" s="237">
        <v>33.299999999999997</v>
      </c>
      <c r="H72" s="239"/>
      <c r="I72" s="516"/>
      <c r="J72" s="229"/>
    </row>
    <row r="73" spans="1:10" ht="15" customHeight="1" x14ac:dyDescent="0.25">
      <c r="A73" s="236">
        <v>2015</v>
      </c>
      <c r="B73" s="507"/>
      <c r="C73" s="510"/>
      <c r="D73" s="233">
        <v>72992</v>
      </c>
      <c r="E73" s="516"/>
      <c r="F73" s="233">
        <v>131634</v>
      </c>
      <c r="G73" s="237">
        <v>55.5</v>
      </c>
      <c r="H73" s="239"/>
      <c r="I73" s="516"/>
      <c r="J73" s="229"/>
    </row>
    <row r="74" spans="1:10" ht="15" customHeight="1" x14ac:dyDescent="0.25">
      <c r="A74" s="251" t="s">
        <v>179</v>
      </c>
      <c r="B74" s="507"/>
      <c r="C74" s="510"/>
      <c r="D74" s="233">
        <v>48615</v>
      </c>
      <c r="E74" s="516"/>
      <c r="F74" s="233">
        <v>60371</v>
      </c>
      <c r="G74" s="237">
        <v>80.5</v>
      </c>
      <c r="H74" s="252">
        <v>41830</v>
      </c>
      <c r="I74" s="516"/>
      <c r="J74" s="229"/>
    </row>
    <row r="75" spans="1:10" ht="15" customHeight="1" x14ac:dyDescent="0.25">
      <c r="A75" s="236">
        <v>2013</v>
      </c>
      <c r="B75" s="507"/>
      <c r="C75" s="510"/>
      <c r="D75" s="233">
        <v>310178</v>
      </c>
      <c r="E75" s="516"/>
      <c r="F75" s="233">
        <v>376469</v>
      </c>
      <c r="G75" s="237">
        <v>82.4</v>
      </c>
      <c r="H75" s="239"/>
      <c r="I75" s="516"/>
      <c r="J75" s="229"/>
    </row>
    <row r="76" spans="1:10" ht="16.5" customHeight="1" x14ac:dyDescent="0.25">
      <c r="A76" s="236">
        <v>2012</v>
      </c>
      <c r="B76" s="508"/>
      <c r="C76" s="511"/>
      <c r="D76" s="233">
        <v>378664</v>
      </c>
      <c r="E76" s="517"/>
      <c r="F76" s="233">
        <v>343869</v>
      </c>
      <c r="G76" s="237">
        <v>110.1</v>
      </c>
      <c r="H76" s="252">
        <v>41160</v>
      </c>
      <c r="I76" s="517"/>
      <c r="J76" s="229"/>
    </row>
    <row r="77" spans="1:10" ht="15" customHeight="1" x14ac:dyDescent="0.25">
      <c r="A77" s="522" t="s">
        <v>180</v>
      </c>
      <c r="B77" s="522"/>
      <c r="C77" s="522"/>
      <c r="D77" s="522"/>
      <c r="E77" s="522"/>
      <c r="F77" s="522"/>
      <c r="G77" s="522"/>
      <c r="H77" s="522"/>
      <c r="I77" s="522"/>
      <c r="J77" s="229"/>
    </row>
    <row r="78" spans="1:10" ht="15" customHeight="1" x14ac:dyDescent="0.25">
      <c r="A78" s="522" t="s">
        <v>182</v>
      </c>
      <c r="B78" s="522"/>
      <c r="C78" s="522"/>
      <c r="D78" s="522"/>
      <c r="E78" s="522"/>
      <c r="F78" s="522"/>
      <c r="G78" s="522"/>
      <c r="H78" s="522"/>
      <c r="I78" s="522"/>
      <c r="J78" s="229"/>
    </row>
    <row r="79" spans="1:10" ht="15" customHeight="1" x14ac:dyDescent="0.25">
      <c r="A79" s="243"/>
      <c r="B79" s="243"/>
      <c r="C79" s="243"/>
      <c r="D79" s="243"/>
      <c r="E79" s="243"/>
      <c r="F79" s="247"/>
      <c r="G79" s="247"/>
      <c r="H79" s="247"/>
      <c r="I79" s="247"/>
      <c r="J79" s="229"/>
    </row>
    <row r="80" spans="1:10" ht="15" customHeight="1" x14ac:dyDescent="0.25">
      <c r="A80" s="524" t="s">
        <v>230</v>
      </c>
      <c r="B80" s="524"/>
      <c r="C80" s="524"/>
      <c r="D80" s="524"/>
      <c r="E80" s="524"/>
      <c r="F80" s="524"/>
      <c r="G80" s="524"/>
      <c r="H80" s="524"/>
      <c r="I80" s="524"/>
      <c r="J80" s="229"/>
    </row>
    <row r="81" spans="1:11" ht="30" customHeight="1" x14ac:dyDescent="0.25">
      <c r="A81" s="231" t="s">
        <v>20</v>
      </c>
      <c r="B81" s="504" t="s">
        <v>128</v>
      </c>
      <c r="C81" s="505"/>
      <c r="D81" s="231" t="s">
        <v>129</v>
      </c>
      <c r="E81" s="231" t="s">
        <v>130</v>
      </c>
      <c r="F81" s="231" t="s">
        <v>131</v>
      </c>
      <c r="G81" s="231" t="s">
        <v>169</v>
      </c>
      <c r="H81" s="231" t="s">
        <v>133</v>
      </c>
      <c r="I81" s="231" t="s">
        <v>134</v>
      </c>
      <c r="J81" s="229"/>
    </row>
    <row r="82" spans="1:11" x14ac:dyDescent="0.25">
      <c r="A82" s="232">
        <v>2019</v>
      </c>
      <c r="B82" s="506" t="s">
        <v>136</v>
      </c>
      <c r="C82" s="509"/>
      <c r="D82" s="233">
        <v>696955</v>
      </c>
      <c r="E82" s="515" t="s">
        <v>137</v>
      </c>
      <c r="F82" s="233">
        <v>1534485</v>
      </c>
      <c r="G82" s="234">
        <f>(D82/F82)*100</f>
        <v>45.419472982792271</v>
      </c>
      <c r="H82" s="232"/>
      <c r="I82" s="235"/>
      <c r="J82" s="229"/>
    </row>
    <row r="83" spans="1:11" x14ac:dyDescent="0.25">
      <c r="A83" s="232">
        <v>2018</v>
      </c>
      <c r="B83" s="507"/>
      <c r="C83" s="510"/>
      <c r="D83" s="233">
        <v>540091</v>
      </c>
      <c r="E83" s="516"/>
      <c r="F83" s="233">
        <v>1534485</v>
      </c>
      <c r="G83" s="234">
        <f>(D83/F83)*100</f>
        <v>35.196890161845829</v>
      </c>
      <c r="H83" s="232"/>
      <c r="I83" s="235"/>
      <c r="J83" s="229"/>
    </row>
    <row r="84" spans="1:11" ht="15" customHeight="1" x14ac:dyDescent="0.25">
      <c r="A84" s="236">
        <v>2017</v>
      </c>
      <c r="B84" s="507"/>
      <c r="C84" s="510"/>
      <c r="D84" s="233">
        <v>653180</v>
      </c>
      <c r="E84" s="516"/>
      <c r="F84" s="233">
        <v>1534485</v>
      </c>
      <c r="G84" s="237">
        <v>42.6</v>
      </c>
      <c r="H84" s="239"/>
      <c r="I84" s="515" t="s">
        <v>229</v>
      </c>
      <c r="J84" s="229"/>
    </row>
    <row r="85" spans="1:11" ht="15" customHeight="1" x14ac:dyDescent="0.25">
      <c r="A85" s="236">
        <v>2016</v>
      </c>
      <c r="B85" s="507"/>
      <c r="C85" s="510"/>
      <c r="D85" s="233">
        <v>935699</v>
      </c>
      <c r="E85" s="516"/>
      <c r="F85" s="233">
        <v>1534485</v>
      </c>
      <c r="G85" s="237">
        <v>61</v>
      </c>
      <c r="H85" s="239"/>
      <c r="I85" s="516"/>
      <c r="J85" s="229"/>
    </row>
    <row r="86" spans="1:11" ht="15" customHeight="1" x14ac:dyDescent="0.25">
      <c r="A86" s="236">
        <v>2015</v>
      </c>
      <c r="B86" s="507"/>
      <c r="C86" s="510"/>
      <c r="D86" s="233">
        <v>1110104</v>
      </c>
      <c r="E86" s="516"/>
      <c r="F86" s="233">
        <v>1157001</v>
      </c>
      <c r="G86" s="237">
        <v>95.9</v>
      </c>
      <c r="H86" s="252">
        <v>42185</v>
      </c>
      <c r="I86" s="516"/>
      <c r="J86" s="229"/>
    </row>
    <row r="87" spans="1:11" ht="16.5" customHeight="1" x14ac:dyDescent="0.25">
      <c r="A87" s="236">
        <v>2014</v>
      </c>
      <c r="B87" s="507"/>
      <c r="C87" s="510"/>
      <c r="D87" s="233">
        <v>1302989</v>
      </c>
      <c r="E87" s="516"/>
      <c r="F87" s="233">
        <v>1157001</v>
      </c>
      <c r="G87" s="237">
        <v>112.6</v>
      </c>
      <c r="H87" s="239"/>
      <c r="I87" s="516"/>
      <c r="J87" s="229"/>
    </row>
    <row r="88" spans="1:11" ht="15" customHeight="1" x14ac:dyDescent="0.25">
      <c r="A88" s="236">
        <v>2013</v>
      </c>
      <c r="B88" s="507"/>
      <c r="C88" s="510"/>
      <c r="D88" s="233">
        <v>756456</v>
      </c>
      <c r="E88" s="516"/>
      <c r="F88" s="233">
        <v>1065524</v>
      </c>
      <c r="G88" s="237">
        <v>71</v>
      </c>
      <c r="H88" s="239"/>
      <c r="I88" s="516"/>
      <c r="J88" s="229"/>
    </row>
    <row r="89" spans="1:11" ht="15" customHeight="1" x14ac:dyDescent="0.25">
      <c r="A89" s="236">
        <v>2012</v>
      </c>
      <c r="B89" s="508"/>
      <c r="C89" s="511"/>
      <c r="D89" s="233">
        <v>862040</v>
      </c>
      <c r="E89" s="517"/>
      <c r="F89" s="233">
        <v>1065524</v>
      </c>
      <c r="G89" s="237">
        <v>80.900000000000006</v>
      </c>
      <c r="H89" s="239"/>
      <c r="I89" s="517"/>
      <c r="J89" s="229"/>
    </row>
    <row r="90" spans="1:11" ht="15" customHeight="1" x14ac:dyDescent="0.25">
      <c r="A90" s="255"/>
      <c r="B90" s="255"/>
      <c r="C90" s="255"/>
      <c r="D90" s="255"/>
      <c r="E90" s="255"/>
      <c r="F90" s="255"/>
      <c r="G90" s="255"/>
      <c r="H90" s="255"/>
      <c r="I90" s="255"/>
      <c r="J90" s="229"/>
    </row>
    <row r="91" spans="1:11" ht="15" customHeight="1" x14ac:dyDescent="0.25">
      <c r="A91" s="502" t="s">
        <v>186</v>
      </c>
      <c r="B91" s="503"/>
      <c r="C91" s="503"/>
      <c r="D91" s="503"/>
      <c r="E91" s="503"/>
      <c r="F91" s="503"/>
      <c r="G91" s="503"/>
      <c r="H91" s="503"/>
      <c r="I91" s="503"/>
      <c r="J91" s="148"/>
      <c r="K91" s="229"/>
    </row>
    <row r="92" spans="1:11" ht="30" customHeight="1" x14ac:dyDescent="0.25">
      <c r="A92" s="231" t="s">
        <v>20</v>
      </c>
      <c r="B92" s="231" t="s">
        <v>128</v>
      </c>
      <c r="C92" s="231" t="s">
        <v>217</v>
      </c>
      <c r="D92" s="231" t="s">
        <v>129</v>
      </c>
      <c r="E92" s="231" t="s">
        <v>130</v>
      </c>
      <c r="F92" s="231" t="s">
        <v>131</v>
      </c>
      <c r="G92" s="231" t="s">
        <v>169</v>
      </c>
      <c r="H92" s="231" t="s">
        <v>133</v>
      </c>
      <c r="I92" s="231" t="s">
        <v>134</v>
      </c>
      <c r="J92" s="148"/>
      <c r="K92" s="229"/>
    </row>
    <row r="93" spans="1:11" x14ac:dyDescent="0.25">
      <c r="A93" s="232">
        <v>2019</v>
      </c>
      <c r="B93" s="523" t="s">
        <v>136</v>
      </c>
      <c r="C93" s="523" t="s">
        <v>154</v>
      </c>
      <c r="D93" s="233">
        <v>172583</v>
      </c>
      <c r="E93" s="515" t="s">
        <v>158</v>
      </c>
      <c r="F93" s="233">
        <v>347301</v>
      </c>
      <c r="G93" s="234">
        <f>(D93/F93)*100</f>
        <v>49.692629736165458</v>
      </c>
      <c r="H93" s="232"/>
      <c r="I93" s="235"/>
      <c r="J93" s="148"/>
      <c r="K93" s="229"/>
    </row>
    <row r="94" spans="1:11" x14ac:dyDescent="0.25">
      <c r="A94" s="232">
        <v>2018</v>
      </c>
      <c r="B94" s="523"/>
      <c r="C94" s="523"/>
      <c r="D94" s="233">
        <v>227475</v>
      </c>
      <c r="E94" s="516"/>
      <c r="F94" s="233">
        <v>335188</v>
      </c>
      <c r="G94" s="234">
        <f>(D94/F94)*100</f>
        <v>67.864899698079881</v>
      </c>
      <c r="H94" s="232"/>
      <c r="I94" s="235"/>
      <c r="J94" s="148"/>
      <c r="K94" s="229"/>
    </row>
    <row r="95" spans="1:11" ht="15" customHeight="1" x14ac:dyDescent="0.25">
      <c r="A95" s="236">
        <v>2017</v>
      </c>
      <c r="B95" s="523"/>
      <c r="C95" s="523"/>
      <c r="D95" s="233">
        <v>196293</v>
      </c>
      <c r="E95" s="516"/>
      <c r="F95" s="233">
        <v>318231</v>
      </c>
      <c r="G95" s="237">
        <v>61.7</v>
      </c>
      <c r="H95" s="239"/>
      <c r="I95" s="515" t="s">
        <v>229</v>
      </c>
      <c r="J95" s="148"/>
      <c r="K95" s="229"/>
    </row>
    <row r="96" spans="1:11" ht="15" customHeight="1" x14ac:dyDescent="0.25">
      <c r="A96" s="236">
        <v>2016</v>
      </c>
      <c r="B96" s="523"/>
      <c r="C96" s="523"/>
      <c r="D96" s="233">
        <v>230558</v>
      </c>
      <c r="E96" s="516"/>
      <c r="F96" s="233">
        <v>297882</v>
      </c>
      <c r="G96" s="237">
        <v>77.400000000000006</v>
      </c>
      <c r="H96" s="239"/>
      <c r="I96" s="516"/>
      <c r="J96" s="148"/>
      <c r="K96" s="229"/>
    </row>
    <row r="97" spans="1:11" ht="15" customHeight="1" x14ac:dyDescent="0.25">
      <c r="A97" s="236">
        <v>2015</v>
      </c>
      <c r="B97" s="523"/>
      <c r="C97" s="523"/>
      <c r="D97" s="233">
        <v>280511</v>
      </c>
      <c r="E97" s="516"/>
      <c r="F97" s="233">
        <v>295459</v>
      </c>
      <c r="G97" s="237">
        <v>94.9</v>
      </c>
      <c r="H97" s="239"/>
      <c r="I97" s="516"/>
      <c r="J97" s="148"/>
      <c r="K97" s="229"/>
    </row>
    <row r="98" spans="1:11" ht="15" customHeight="1" x14ac:dyDescent="0.25">
      <c r="A98" s="236">
        <v>2014</v>
      </c>
      <c r="B98" s="523"/>
      <c r="C98" s="523"/>
      <c r="D98" s="233">
        <v>335345</v>
      </c>
      <c r="E98" s="516"/>
      <c r="F98" s="233">
        <v>326722</v>
      </c>
      <c r="G98" s="237">
        <v>102.6</v>
      </c>
      <c r="H98" s="252">
        <v>41964</v>
      </c>
      <c r="I98" s="516"/>
      <c r="J98" s="148"/>
      <c r="K98" s="229"/>
    </row>
    <row r="99" spans="1:11" ht="15" customHeight="1" x14ac:dyDescent="0.25">
      <c r="A99" s="236">
        <v>2013</v>
      </c>
      <c r="B99" s="523"/>
      <c r="C99" s="523"/>
      <c r="D99" s="233">
        <v>371804</v>
      </c>
      <c r="E99" s="516"/>
      <c r="F99" s="233">
        <v>326722</v>
      </c>
      <c r="G99" s="237">
        <v>113.8</v>
      </c>
      <c r="H99" s="252">
        <v>41591</v>
      </c>
      <c r="I99" s="516"/>
      <c r="J99" s="148"/>
      <c r="K99" s="229"/>
    </row>
    <row r="100" spans="1:11" ht="30" x14ac:dyDescent="0.25">
      <c r="A100" s="236">
        <v>2012</v>
      </c>
      <c r="B100" s="523"/>
      <c r="C100" s="523"/>
      <c r="D100" s="233">
        <v>355603</v>
      </c>
      <c r="E100" s="516"/>
      <c r="F100" s="233">
        <v>352940</v>
      </c>
      <c r="G100" s="237">
        <v>100.8</v>
      </c>
      <c r="H100" s="251" t="s">
        <v>218</v>
      </c>
      <c r="I100" s="516"/>
      <c r="J100" s="148"/>
      <c r="K100" s="229"/>
    </row>
    <row r="101" spans="1:11" ht="16.5" customHeight="1" x14ac:dyDescent="0.25">
      <c r="A101" s="236">
        <v>2011</v>
      </c>
      <c r="B101" s="523"/>
      <c r="C101" s="523"/>
      <c r="D101" s="233">
        <v>428157</v>
      </c>
      <c r="E101" s="516"/>
      <c r="F101" s="233">
        <v>352940</v>
      </c>
      <c r="G101" s="237">
        <v>121.3</v>
      </c>
      <c r="H101" s="239"/>
      <c r="I101" s="516"/>
      <c r="J101" s="148"/>
      <c r="K101" s="229"/>
    </row>
    <row r="102" spans="1:11" ht="15" customHeight="1" x14ac:dyDescent="0.25">
      <c r="A102" s="236">
        <v>2010</v>
      </c>
      <c r="B102" s="523"/>
      <c r="C102" s="523"/>
      <c r="D102" s="233">
        <v>411630</v>
      </c>
      <c r="E102" s="516"/>
      <c r="F102" s="233">
        <v>352940</v>
      </c>
      <c r="G102" s="237">
        <v>116.6</v>
      </c>
      <c r="H102" s="239"/>
      <c r="I102" s="516"/>
      <c r="J102" s="148"/>
      <c r="K102" s="229"/>
    </row>
    <row r="103" spans="1:11" x14ac:dyDescent="0.25">
      <c r="A103" s="236">
        <v>2009</v>
      </c>
      <c r="B103" s="523"/>
      <c r="C103" s="523"/>
      <c r="D103" s="233">
        <v>442758</v>
      </c>
      <c r="E103" s="517"/>
      <c r="F103" s="233">
        <v>352940</v>
      </c>
      <c r="G103" s="237">
        <v>125.4</v>
      </c>
      <c r="H103" s="239"/>
      <c r="I103" s="517"/>
      <c r="J103" s="148"/>
      <c r="K103" s="229"/>
    </row>
    <row r="104" spans="1:11" ht="15" customHeight="1" x14ac:dyDescent="0.25">
      <c r="A104" s="255"/>
      <c r="B104" s="255"/>
      <c r="C104" s="255"/>
      <c r="D104" s="255"/>
      <c r="E104" s="255"/>
      <c r="F104" s="255"/>
      <c r="G104" s="255"/>
      <c r="H104" s="255"/>
      <c r="I104" s="255"/>
      <c r="J104" s="229"/>
    </row>
    <row r="105" spans="1:11" ht="16.5" customHeight="1" x14ac:dyDescent="0.25">
      <c r="A105" s="502" t="s">
        <v>231</v>
      </c>
      <c r="B105" s="503"/>
      <c r="C105" s="503"/>
      <c r="D105" s="503"/>
      <c r="E105" s="503"/>
      <c r="F105" s="503"/>
      <c r="G105" s="503"/>
      <c r="H105" s="503"/>
      <c r="I105" s="503"/>
      <c r="J105" s="229"/>
    </row>
    <row r="106" spans="1:11" ht="30" customHeight="1" x14ac:dyDescent="0.25">
      <c r="A106" s="231" t="s">
        <v>20</v>
      </c>
      <c r="B106" s="504" t="s">
        <v>128</v>
      </c>
      <c r="C106" s="505"/>
      <c r="D106" s="231" t="s">
        <v>129</v>
      </c>
      <c r="E106" s="231" t="s">
        <v>130</v>
      </c>
      <c r="F106" s="231" t="s">
        <v>131</v>
      </c>
      <c r="G106" s="231" t="s">
        <v>169</v>
      </c>
      <c r="H106" s="231" t="s">
        <v>133</v>
      </c>
      <c r="I106" s="231" t="s">
        <v>134</v>
      </c>
      <c r="J106" s="229"/>
    </row>
    <row r="107" spans="1:11" ht="15" customHeight="1" x14ac:dyDescent="0.25">
      <c r="A107" s="236">
        <v>2011</v>
      </c>
      <c r="B107" s="518" t="s">
        <v>136</v>
      </c>
      <c r="C107" s="519"/>
      <c r="D107" s="233">
        <v>698427</v>
      </c>
      <c r="E107" s="251" t="s">
        <v>158</v>
      </c>
      <c r="F107" s="233">
        <v>662403</v>
      </c>
      <c r="G107" s="237">
        <v>105.4</v>
      </c>
      <c r="H107" s="239"/>
      <c r="I107" s="251" t="s">
        <v>229</v>
      </c>
      <c r="J107" s="229"/>
    </row>
    <row r="108" spans="1:11" x14ac:dyDescent="0.25">
      <c r="A108" s="255"/>
      <c r="B108" s="255"/>
      <c r="C108" s="255"/>
      <c r="D108" s="255"/>
      <c r="E108" s="255"/>
      <c r="F108" s="255"/>
      <c r="G108" s="255"/>
      <c r="H108" s="255"/>
      <c r="I108" s="255"/>
      <c r="J108" s="229"/>
    </row>
    <row r="109" spans="1:11" ht="15" customHeight="1" x14ac:dyDescent="0.25">
      <c r="A109" s="502" t="s">
        <v>189</v>
      </c>
      <c r="B109" s="503"/>
      <c r="C109" s="503"/>
      <c r="D109" s="503"/>
      <c r="E109" s="503"/>
      <c r="F109" s="503"/>
      <c r="G109" s="503"/>
      <c r="H109" s="503"/>
      <c r="I109" s="503"/>
      <c r="J109" s="229"/>
    </row>
    <row r="110" spans="1:11" ht="30" customHeight="1" x14ac:dyDescent="0.25">
      <c r="A110" s="231" t="s">
        <v>20</v>
      </c>
      <c r="B110" s="231" t="s">
        <v>232</v>
      </c>
      <c r="C110" s="231" t="s">
        <v>128</v>
      </c>
      <c r="D110" s="231" t="s">
        <v>129</v>
      </c>
      <c r="E110" s="231" t="s">
        <v>130</v>
      </c>
      <c r="F110" s="231" t="s">
        <v>131</v>
      </c>
      <c r="G110" s="231" t="s">
        <v>169</v>
      </c>
      <c r="H110" s="231" t="s">
        <v>133</v>
      </c>
      <c r="I110" s="231" t="s">
        <v>134</v>
      </c>
      <c r="J110" s="229"/>
    </row>
    <row r="111" spans="1:11" s="159" customFormat="1" x14ac:dyDescent="0.25">
      <c r="A111" s="525">
        <v>2019</v>
      </c>
      <c r="B111" s="251" t="s">
        <v>233</v>
      </c>
      <c r="C111" s="515" t="s">
        <v>136</v>
      </c>
      <c r="D111" s="233">
        <v>83862</v>
      </c>
      <c r="E111" s="515" t="s">
        <v>158</v>
      </c>
      <c r="F111" s="233">
        <v>82935</v>
      </c>
      <c r="G111" s="234">
        <f t="shared" ref="G111:G114" si="0">(D111/F111)*100</f>
        <v>101.11774281063484</v>
      </c>
      <c r="H111" s="253">
        <v>43669</v>
      </c>
      <c r="I111" s="256"/>
      <c r="J111" s="257"/>
    </row>
    <row r="112" spans="1:11" s="159" customFormat="1" x14ac:dyDescent="0.25">
      <c r="A112" s="526"/>
      <c r="B112" s="251" t="s">
        <v>234</v>
      </c>
      <c r="C112" s="516"/>
      <c r="D112" s="233">
        <v>278616</v>
      </c>
      <c r="E112" s="516"/>
      <c r="F112" s="233">
        <v>248805</v>
      </c>
      <c r="G112" s="234">
        <f t="shared" si="0"/>
        <v>111.98167239404353</v>
      </c>
      <c r="H112" s="253">
        <v>43538</v>
      </c>
      <c r="I112" s="256"/>
      <c r="J112" s="257"/>
    </row>
    <row r="113" spans="1:10" s="159" customFormat="1" x14ac:dyDescent="0.25">
      <c r="A113" s="525">
        <v>2018</v>
      </c>
      <c r="B113" s="251" t="s">
        <v>233</v>
      </c>
      <c r="C113" s="516"/>
      <c r="D113" s="233">
        <v>73608</v>
      </c>
      <c r="E113" s="516"/>
      <c r="F113" s="233">
        <v>78328</v>
      </c>
      <c r="G113" s="234">
        <f t="shared" si="0"/>
        <v>93.974057808191191</v>
      </c>
      <c r="H113" s="253">
        <v>43326</v>
      </c>
      <c r="I113" s="256"/>
      <c r="J113" s="257"/>
    </row>
    <row r="114" spans="1:10" s="159" customFormat="1" x14ac:dyDescent="0.25">
      <c r="A114" s="526"/>
      <c r="B114" s="251" t="s">
        <v>234</v>
      </c>
      <c r="C114" s="516"/>
      <c r="D114" s="233">
        <v>241675</v>
      </c>
      <c r="E114" s="516"/>
      <c r="F114" s="233">
        <v>234982</v>
      </c>
      <c r="G114" s="234">
        <f t="shared" si="0"/>
        <v>102.84830327429336</v>
      </c>
      <c r="H114" s="253">
        <v>43184</v>
      </c>
      <c r="I114" s="256"/>
      <c r="J114" s="257"/>
    </row>
    <row r="115" spans="1:10" ht="15" customHeight="1" x14ac:dyDescent="0.25">
      <c r="A115" s="527">
        <v>2017</v>
      </c>
      <c r="B115" s="251" t="s">
        <v>233</v>
      </c>
      <c r="C115" s="516"/>
      <c r="D115" s="233">
        <v>135471</v>
      </c>
      <c r="E115" s="516"/>
      <c r="F115" s="233">
        <v>135324</v>
      </c>
      <c r="G115" s="237">
        <v>100.1</v>
      </c>
      <c r="H115" s="252">
        <v>43068</v>
      </c>
      <c r="I115" s="515" t="s">
        <v>229</v>
      </c>
      <c r="J115" s="229"/>
    </row>
    <row r="116" spans="1:10" x14ac:dyDescent="0.25">
      <c r="A116" s="527"/>
      <c r="B116" s="251" t="s">
        <v>234</v>
      </c>
      <c r="C116" s="516"/>
      <c r="D116" s="233">
        <v>392596</v>
      </c>
      <c r="E116" s="516"/>
      <c r="F116" s="233">
        <v>405971</v>
      </c>
      <c r="G116" s="237">
        <v>96.7</v>
      </c>
      <c r="H116" s="252">
        <v>42864</v>
      </c>
      <c r="I116" s="516"/>
      <c r="J116" s="229"/>
    </row>
    <row r="117" spans="1:10" ht="15" customHeight="1" x14ac:dyDescent="0.25">
      <c r="A117" s="527">
        <v>2016</v>
      </c>
      <c r="B117" s="251" t="s">
        <v>233</v>
      </c>
      <c r="C117" s="516"/>
      <c r="D117" s="233">
        <v>128274</v>
      </c>
      <c r="E117" s="516"/>
      <c r="F117" s="233">
        <v>135324</v>
      </c>
      <c r="G117" s="237">
        <v>94.8</v>
      </c>
      <c r="H117" s="239"/>
      <c r="I117" s="516"/>
      <c r="J117" s="229"/>
    </row>
    <row r="118" spans="1:10" x14ac:dyDescent="0.25">
      <c r="A118" s="527"/>
      <c r="B118" s="251" t="s">
        <v>234</v>
      </c>
      <c r="C118" s="516"/>
      <c r="D118" s="233">
        <v>397682</v>
      </c>
      <c r="E118" s="516"/>
      <c r="F118" s="233">
        <v>405971</v>
      </c>
      <c r="G118" s="237">
        <v>98</v>
      </c>
      <c r="H118" s="252">
        <v>42444</v>
      </c>
      <c r="I118" s="516"/>
      <c r="J118" s="229"/>
    </row>
    <row r="119" spans="1:10" ht="15" customHeight="1" x14ac:dyDescent="0.25">
      <c r="A119" s="527">
        <v>2015</v>
      </c>
      <c r="B119" s="251" t="s">
        <v>233</v>
      </c>
      <c r="C119" s="516"/>
      <c r="D119" s="233">
        <v>143721</v>
      </c>
      <c r="E119" s="516"/>
      <c r="F119" s="233">
        <v>135324</v>
      </c>
      <c r="G119" s="237">
        <v>106.2</v>
      </c>
      <c r="H119" s="252">
        <v>42346</v>
      </c>
      <c r="I119" s="516"/>
      <c r="J119" s="229"/>
    </row>
    <row r="120" spans="1:10" x14ac:dyDescent="0.25">
      <c r="A120" s="527"/>
      <c r="B120" s="251" t="s">
        <v>234</v>
      </c>
      <c r="C120" s="516"/>
      <c r="D120" s="233">
        <v>387072</v>
      </c>
      <c r="E120" s="516"/>
      <c r="F120" s="233">
        <v>405971</v>
      </c>
      <c r="G120" s="237">
        <v>95.3</v>
      </c>
      <c r="H120" s="252">
        <v>42054</v>
      </c>
      <c r="I120" s="516"/>
      <c r="J120" s="229"/>
    </row>
    <row r="121" spans="1:10" ht="15" customHeight="1" x14ac:dyDescent="0.25">
      <c r="A121" s="527">
        <v>2014</v>
      </c>
      <c r="B121" s="251" t="s">
        <v>233</v>
      </c>
      <c r="C121" s="516"/>
      <c r="D121" s="233">
        <v>148221</v>
      </c>
      <c r="E121" s="516"/>
      <c r="F121" s="233">
        <v>135324</v>
      </c>
      <c r="G121" s="237">
        <v>109.5</v>
      </c>
      <c r="H121" s="252">
        <v>41880</v>
      </c>
      <c r="I121" s="516"/>
      <c r="J121" s="229"/>
    </row>
    <row r="122" spans="1:10" x14ac:dyDescent="0.25">
      <c r="A122" s="527"/>
      <c r="B122" s="251" t="s">
        <v>234</v>
      </c>
      <c r="C122" s="516"/>
      <c r="D122" s="233">
        <v>559404</v>
      </c>
      <c r="E122" s="516"/>
      <c r="F122" s="233">
        <v>405971</v>
      </c>
      <c r="G122" s="237">
        <v>137.80000000000001</v>
      </c>
      <c r="H122" s="252">
        <v>41703</v>
      </c>
      <c r="I122" s="516"/>
      <c r="J122" s="229"/>
    </row>
    <row r="123" spans="1:10" x14ac:dyDescent="0.25">
      <c r="A123" s="236">
        <v>2013</v>
      </c>
      <c r="B123" s="512"/>
      <c r="C123" s="516"/>
      <c r="D123" s="233">
        <v>537946</v>
      </c>
      <c r="E123" s="516"/>
      <c r="F123" s="233">
        <v>541295</v>
      </c>
      <c r="G123" s="237">
        <v>99.4</v>
      </c>
      <c r="H123" s="252">
        <v>41399</v>
      </c>
      <c r="I123" s="516"/>
      <c r="J123" s="229"/>
    </row>
    <row r="124" spans="1:10" x14ac:dyDescent="0.25">
      <c r="A124" s="236">
        <v>2012</v>
      </c>
      <c r="B124" s="513"/>
      <c r="C124" s="516"/>
      <c r="D124" s="233">
        <v>517188</v>
      </c>
      <c r="E124" s="516"/>
      <c r="F124" s="233">
        <v>541295</v>
      </c>
      <c r="G124" s="237">
        <v>95.5</v>
      </c>
      <c r="H124" s="252">
        <v>40956</v>
      </c>
      <c r="I124" s="516"/>
      <c r="J124" s="229"/>
    </row>
    <row r="125" spans="1:10" x14ac:dyDescent="0.25">
      <c r="A125" s="236">
        <v>2011</v>
      </c>
      <c r="B125" s="513"/>
      <c r="C125" s="516"/>
      <c r="D125" s="233">
        <v>361401</v>
      </c>
      <c r="E125" s="516"/>
      <c r="F125" s="233">
        <v>282819</v>
      </c>
      <c r="G125" s="237">
        <v>127.8</v>
      </c>
      <c r="H125" s="252">
        <v>40611</v>
      </c>
      <c r="I125" s="516"/>
      <c r="J125" s="229"/>
    </row>
    <row r="126" spans="1:10" x14ac:dyDescent="0.25">
      <c r="A126" s="236">
        <v>2010</v>
      </c>
      <c r="B126" s="513"/>
      <c r="C126" s="516"/>
      <c r="D126" s="233">
        <v>365529</v>
      </c>
      <c r="E126" s="516"/>
      <c r="F126" s="233">
        <v>295000</v>
      </c>
      <c r="G126" s="237">
        <v>123.9</v>
      </c>
      <c r="H126" s="252">
        <v>40280</v>
      </c>
      <c r="I126" s="516"/>
      <c r="J126" s="229"/>
    </row>
    <row r="127" spans="1:10" x14ac:dyDescent="0.25">
      <c r="A127" s="236">
        <v>2009</v>
      </c>
      <c r="B127" s="513"/>
      <c r="C127" s="516"/>
      <c r="D127" s="233">
        <v>327471</v>
      </c>
      <c r="E127" s="516"/>
      <c r="F127" s="233">
        <v>295000</v>
      </c>
      <c r="G127" s="237">
        <v>111</v>
      </c>
      <c r="H127" s="252">
        <v>40009</v>
      </c>
      <c r="I127" s="516"/>
      <c r="J127" s="229"/>
    </row>
    <row r="128" spans="1:10" x14ac:dyDescent="0.25">
      <c r="A128" s="236">
        <v>2008</v>
      </c>
      <c r="B128" s="513"/>
      <c r="C128" s="516"/>
      <c r="D128" s="233">
        <v>312454</v>
      </c>
      <c r="E128" s="516"/>
      <c r="F128" s="233">
        <v>295000</v>
      </c>
      <c r="G128" s="237">
        <v>105.9</v>
      </c>
      <c r="H128" s="252">
        <v>39677</v>
      </c>
      <c r="I128" s="516"/>
      <c r="J128" s="229"/>
    </row>
    <row r="129" spans="1:12" ht="15" customHeight="1" x14ac:dyDescent="0.25">
      <c r="A129" s="236">
        <v>2007</v>
      </c>
      <c r="B129" s="513"/>
      <c r="C129" s="516"/>
      <c r="D129" s="233">
        <v>300606</v>
      </c>
      <c r="E129" s="516"/>
      <c r="F129" s="233">
        <v>295000</v>
      </c>
      <c r="G129" s="237">
        <v>101.9</v>
      </c>
      <c r="H129" s="252">
        <v>39358</v>
      </c>
      <c r="I129" s="516"/>
      <c r="J129" s="229"/>
    </row>
    <row r="130" spans="1:12" x14ac:dyDescent="0.25">
      <c r="A130" s="236">
        <v>2006</v>
      </c>
      <c r="B130" s="513"/>
      <c r="C130" s="516"/>
      <c r="D130" s="233">
        <v>390567</v>
      </c>
      <c r="E130" s="516"/>
      <c r="F130" s="233">
        <v>295000</v>
      </c>
      <c r="G130" s="237">
        <v>132.4</v>
      </c>
      <c r="H130" s="252">
        <v>39013</v>
      </c>
      <c r="I130" s="516"/>
      <c r="J130" s="229"/>
    </row>
    <row r="131" spans="1:12" ht="15" customHeight="1" x14ac:dyDescent="0.25">
      <c r="A131" s="236">
        <v>2005</v>
      </c>
      <c r="B131" s="513"/>
      <c r="C131" s="516"/>
      <c r="D131" s="233">
        <v>273811</v>
      </c>
      <c r="E131" s="516"/>
      <c r="F131" s="233">
        <v>1001663</v>
      </c>
      <c r="G131" s="237">
        <v>27.3</v>
      </c>
      <c r="H131" s="239"/>
      <c r="I131" s="516"/>
      <c r="J131" s="229"/>
    </row>
    <row r="132" spans="1:12" x14ac:dyDescent="0.25">
      <c r="A132" s="236">
        <v>2004</v>
      </c>
      <c r="B132" s="514"/>
      <c r="C132" s="517"/>
      <c r="D132" s="233">
        <v>257171</v>
      </c>
      <c r="E132" s="517"/>
      <c r="F132" s="233">
        <v>1001663</v>
      </c>
      <c r="G132" s="237">
        <v>25.7</v>
      </c>
      <c r="H132" s="239"/>
      <c r="I132" s="517"/>
      <c r="J132" s="229"/>
    </row>
    <row r="133" spans="1:12" x14ac:dyDescent="0.25">
      <c r="A133" s="247"/>
      <c r="B133" s="247"/>
      <c r="C133" s="247"/>
      <c r="D133" s="247"/>
      <c r="E133" s="247"/>
      <c r="F133" s="247"/>
      <c r="G133" s="247"/>
      <c r="H133" s="247"/>
      <c r="I133" s="247"/>
      <c r="J133" s="229"/>
    </row>
    <row r="134" spans="1:12" ht="15" customHeight="1" x14ac:dyDescent="0.25">
      <c r="A134" s="524" t="s">
        <v>7</v>
      </c>
      <c r="B134" s="524"/>
      <c r="C134" s="524"/>
      <c r="D134" s="524"/>
      <c r="E134" s="524"/>
      <c r="F134" s="524"/>
      <c r="G134" s="524"/>
      <c r="H134" s="524"/>
      <c r="I134" s="524"/>
      <c r="J134" s="524"/>
      <c r="K134" s="524"/>
    </row>
    <row r="135" spans="1:12" ht="30" customHeight="1" x14ac:dyDescent="0.25">
      <c r="A135" s="231" t="s">
        <v>20</v>
      </c>
      <c r="B135" s="231" t="s">
        <v>128</v>
      </c>
      <c r="C135" s="231" t="s">
        <v>130</v>
      </c>
      <c r="D135" s="231" t="s">
        <v>235</v>
      </c>
      <c r="E135" s="231" t="s">
        <v>236</v>
      </c>
      <c r="F135" s="231" t="s">
        <v>237</v>
      </c>
      <c r="G135" s="231" t="s">
        <v>133</v>
      </c>
      <c r="H135" s="231" t="s">
        <v>129</v>
      </c>
      <c r="I135" s="231" t="s">
        <v>131</v>
      </c>
      <c r="J135" s="231" t="s">
        <v>169</v>
      </c>
      <c r="K135" s="231" t="s">
        <v>134</v>
      </c>
      <c r="L135" s="229"/>
    </row>
    <row r="136" spans="1:12" s="159" customFormat="1" x14ac:dyDescent="0.25">
      <c r="A136" s="525">
        <v>2019</v>
      </c>
      <c r="B136" s="251" t="s">
        <v>238</v>
      </c>
      <c r="C136" s="515" t="s">
        <v>137</v>
      </c>
      <c r="D136" s="233">
        <v>162312</v>
      </c>
      <c r="E136" s="233">
        <v>156162</v>
      </c>
      <c r="F136" s="234">
        <f>(D136/E136)*100</f>
        <v>103.93821800438006</v>
      </c>
      <c r="G136" s="258"/>
      <c r="H136" s="528">
        <f>D136+D137</f>
        <v>243162</v>
      </c>
      <c r="I136" s="530">
        <f>E137+E136</f>
        <v>312324</v>
      </c>
      <c r="J136" s="531">
        <f t="shared" ref="J136:J138" si="1">(H136/I136)*100</f>
        <v>77.855688323663884</v>
      </c>
      <c r="K136" s="235"/>
      <c r="L136" s="257"/>
    </row>
    <row r="137" spans="1:12" s="159" customFormat="1" x14ac:dyDescent="0.25">
      <c r="A137" s="526"/>
      <c r="B137" s="251" t="s">
        <v>239</v>
      </c>
      <c r="C137" s="516"/>
      <c r="D137" s="233">
        <v>80850</v>
      </c>
      <c r="E137" s="233">
        <v>156162</v>
      </c>
      <c r="F137" s="234">
        <f t="shared" ref="F137:F139" si="2">(D137/E137)*100</f>
        <v>51.773158642947706</v>
      </c>
      <c r="G137" s="258"/>
      <c r="H137" s="529"/>
      <c r="I137" s="526"/>
      <c r="J137" s="532"/>
      <c r="K137" s="235"/>
      <c r="L137" s="257"/>
    </row>
    <row r="138" spans="1:12" s="159" customFormat="1" x14ac:dyDescent="0.25">
      <c r="A138" s="525">
        <v>2018</v>
      </c>
      <c r="B138" s="251" t="s">
        <v>238</v>
      </c>
      <c r="C138" s="516"/>
      <c r="D138" s="233">
        <v>159197</v>
      </c>
      <c r="E138" s="233">
        <v>156162</v>
      </c>
      <c r="F138" s="234">
        <f t="shared" si="2"/>
        <v>101.94349457614528</v>
      </c>
      <c r="G138" s="253">
        <v>43264</v>
      </c>
      <c r="H138" s="528">
        <f>D138+D139</f>
        <v>323105</v>
      </c>
      <c r="I138" s="530">
        <f>E139+E138</f>
        <v>312324</v>
      </c>
      <c r="J138" s="531">
        <f t="shared" si="1"/>
        <v>103.45186408985541</v>
      </c>
      <c r="K138" s="235"/>
      <c r="L138" s="257"/>
    </row>
    <row r="139" spans="1:12" s="159" customFormat="1" x14ac:dyDescent="0.25">
      <c r="A139" s="526"/>
      <c r="B139" s="251" t="s">
        <v>239</v>
      </c>
      <c r="C139" s="516"/>
      <c r="D139" s="233">
        <v>163908</v>
      </c>
      <c r="E139" s="233">
        <v>156162</v>
      </c>
      <c r="F139" s="234">
        <f t="shared" si="2"/>
        <v>104.96023360356553</v>
      </c>
      <c r="G139" s="253">
        <v>43410</v>
      </c>
      <c r="H139" s="529"/>
      <c r="I139" s="526"/>
      <c r="J139" s="532"/>
      <c r="K139" s="235"/>
      <c r="L139" s="257"/>
    </row>
    <row r="140" spans="1:12" ht="15" customHeight="1" x14ac:dyDescent="0.25">
      <c r="A140" s="533">
        <v>2017</v>
      </c>
      <c r="B140" s="251" t="s">
        <v>238</v>
      </c>
      <c r="C140" s="516"/>
      <c r="D140" s="233">
        <v>126389</v>
      </c>
      <c r="E140" s="233">
        <v>156162</v>
      </c>
      <c r="F140" s="237">
        <v>80.900000000000006</v>
      </c>
      <c r="G140" s="259"/>
      <c r="H140" s="528">
        <v>298110</v>
      </c>
      <c r="I140" s="528">
        <v>312325</v>
      </c>
      <c r="J140" s="535">
        <v>95.4</v>
      </c>
      <c r="K140" s="515" t="s">
        <v>229</v>
      </c>
      <c r="L140" s="229"/>
    </row>
    <row r="141" spans="1:12" ht="15" customHeight="1" x14ac:dyDescent="0.25">
      <c r="A141" s="534"/>
      <c r="B141" s="251" t="s">
        <v>239</v>
      </c>
      <c r="C141" s="516"/>
      <c r="D141" s="233">
        <v>171721</v>
      </c>
      <c r="E141" s="233">
        <v>176440</v>
      </c>
      <c r="F141" s="237">
        <v>97.3</v>
      </c>
      <c r="G141" s="259"/>
      <c r="H141" s="529"/>
      <c r="I141" s="529"/>
      <c r="J141" s="536"/>
      <c r="K141" s="516"/>
      <c r="L141" s="229"/>
    </row>
    <row r="142" spans="1:12" x14ac:dyDescent="0.25">
      <c r="A142" s="533">
        <v>2016</v>
      </c>
      <c r="B142" s="251" t="s">
        <v>238</v>
      </c>
      <c r="C142" s="516"/>
      <c r="D142" s="233">
        <v>134269</v>
      </c>
      <c r="E142" s="233">
        <v>156162</v>
      </c>
      <c r="F142" s="237">
        <v>86</v>
      </c>
      <c r="G142" s="259"/>
      <c r="H142" s="528">
        <v>280287</v>
      </c>
      <c r="I142" s="528">
        <v>312326</v>
      </c>
      <c r="J142" s="535">
        <v>89.7</v>
      </c>
      <c r="K142" s="516"/>
      <c r="L142" s="229"/>
    </row>
    <row r="143" spans="1:12" ht="15" customHeight="1" x14ac:dyDescent="0.25">
      <c r="A143" s="534"/>
      <c r="B143" s="251" t="s">
        <v>239</v>
      </c>
      <c r="C143" s="516"/>
      <c r="D143" s="233">
        <v>146018</v>
      </c>
      <c r="E143" s="233">
        <v>172178</v>
      </c>
      <c r="F143" s="237">
        <v>84.8</v>
      </c>
      <c r="G143" s="259"/>
      <c r="H143" s="529"/>
      <c r="I143" s="529"/>
      <c r="J143" s="536"/>
      <c r="K143" s="516"/>
      <c r="L143" s="229"/>
    </row>
    <row r="144" spans="1:12" ht="15" customHeight="1" x14ac:dyDescent="0.25">
      <c r="A144" s="533">
        <v>2015</v>
      </c>
      <c r="B144" s="251" t="s">
        <v>238</v>
      </c>
      <c r="C144" s="516"/>
      <c r="D144" s="233">
        <v>223218</v>
      </c>
      <c r="E144" s="233">
        <v>272880</v>
      </c>
      <c r="F144" s="237">
        <v>81.8</v>
      </c>
      <c r="G144" s="259"/>
      <c r="H144" s="528">
        <v>311913</v>
      </c>
      <c r="I144" s="528">
        <v>272880</v>
      </c>
      <c r="J144" s="535">
        <v>114.3</v>
      </c>
      <c r="K144" s="516"/>
      <c r="L144" s="229"/>
    </row>
    <row r="145" spans="1:12" ht="15" customHeight="1" x14ac:dyDescent="0.25">
      <c r="A145" s="534"/>
      <c r="B145" s="251" t="s">
        <v>239</v>
      </c>
      <c r="C145" s="516"/>
      <c r="D145" s="233">
        <v>88695</v>
      </c>
      <c r="E145" s="233">
        <v>63918</v>
      </c>
      <c r="F145" s="237">
        <v>138.80000000000001</v>
      </c>
      <c r="G145" s="259"/>
      <c r="H145" s="529"/>
      <c r="I145" s="529"/>
      <c r="J145" s="536"/>
      <c r="K145" s="516"/>
      <c r="L145" s="229"/>
    </row>
    <row r="146" spans="1:12" ht="16.5" customHeight="1" x14ac:dyDescent="0.25">
      <c r="A146" s="236">
        <v>2014</v>
      </c>
      <c r="B146" s="515" t="s">
        <v>136</v>
      </c>
      <c r="C146" s="516"/>
      <c r="D146" s="241"/>
      <c r="E146" s="239"/>
      <c r="F146" s="239"/>
      <c r="G146" s="260"/>
      <c r="H146" s="233">
        <v>262656</v>
      </c>
      <c r="I146" s="233">
        <v>272880</v>
      </c>
      <c r="J146" s="237">
        <v>96.3</v>
      </c>
      <c r="K146" s="516"/>
      <c r="L146" s="229"/>
    </row>
    <row r="147" spans="1:12" ht="15" customHeight="1" x14ac:dyDescent="0.25">
      <c r="A147" s="236">
        <v>2013</v>
      </c>
      <c r="B147" s="516"/>
      <c r="C147" s="516"/>
      <c r="D147" s="241"/>
      <c r="E147" s="239"/>
      <c r="F147" s="239"/>
      <c r="G147" s="260"/>
      <c r="H147" s="233">
        <v>332062</v>
      </c>
      <c r="I147" s="233">
        <v>272880</v>
      </c>
      <c r="J147" s="237">
        <v>121.7</v>
      </c>
      <c r="K147" s="516"/>
      <c r="L147" s="229"/>
    </row>
    <row r="148" spans="1:12" x14ac:dyDescent="0.25">
      <c r="A148" s="236">
        <v>2012</v>
      </c>
      <c r="B148" s="517"/>
      <c r="C148" s="517"/>
      <c r="D148" s="241"/>
      <c r="E148" s="239"/>
      <c r="F148" s="239"/>
      <c r="G148" s="260"/>
      <c r="H148" s="233">
        <v>317146</v>
      </c>
      <c r="I148" s="233">
        <v>305262</v>
      </c>
      <c r="J148" s="237">
        <v>103.9</v>
      </c>
      <c r="K148" s="517"/>
      <c r="L148" s="229"/>
    </row>
    <row r="149" spans="1:12" ht="15" customHeight="1" x14ac:dyDescent="0.25">
      <c r="A149" s="523" t="s">
        <v>240</v>
      </c>
      <c r="B149" s="523"/>
      <c r="C149" s="523"/>
      <c r="D149" s="523"/>
      <c r="E149" s="523"/>
      <c r="F149" s="523"/>
      <c r="G149" s="523"/>
      <c r="H149" s="523"/>
      <c r="I149" s="523"/>
      <c r="J149" s="523"/>
      <c r="K149" s="523"/>
    </row>
    <row r="150" spans="1:12" ht="15" customHeight="1" x14ac:dyDescent="0.25">
      <c r="A150" s="261"/>
      <c r="B150" s="262"/>
      <c r="C150" s="262"/>
      <c r="D150" s="262"/>
      <c r="E150" s="262"/>
      <c r="F150" s="262"/>
      <c r="G150" s="262"/>
      <c r="H150" s="262"/>
      <c r="I150" s="262"/>
      <c r="J150" s="262"/>
      <c r="K150" s="262"/>
    </row>
    <row r="151" spans="1:12" ht="15" customHeight="1" x14ac:dyDescent="0.25">
      <c r="A151" s="263"/>
      <c r="B151" s="264"/>
      <c r="C151" s="264"/>
      <c r="D151" s="264"/>
      <c r="E151" s="264"/>
      <c r="F151" s="265"/>
      <c r="G151" s="265"/>
      <c r="H151" s="265"/>
      <c r="I151" s="265"/>
      <c r="J151" s="229"/>
    </row>
    <row r="152" spans="1:12" ht="15" customHeight="1" x14ac:dyDescent="0.25">
      <c r="A152" s="502" t="s">
        <v>194</v>
      </c>
      <c r="B152" s="503"/>
      <c r="C152" s="503"/>
      <c r="D152" s="503"/>
      <c r="E152" s="503"/>
      <c r="F152" s="503"/>
      <c r="G152" s="503"/>
      <c r="H152" s="503"/>
      <c r="I152" s="503"/>
      <c r="K152" s="249"/>
    </row>
    <row r="153" spans="1:12" ht="30" customHeight="1" x14ac:dyDescent="0.25">
      <c r="A153" s="231" t="s">
        <v>20</v>
      </c>
      <c r="B153" s="231" t="s">
        <v>128</v>
      </c>
      <c r="C153" s="231" t="s">
        <v>217</v>
      </c>
      <c r="D153" s="231" t="s">
        <v>129</v>
      </c>
      <c r="E153" s="231" t="s">
        <v>130</v>
      </c>
      <c r="F153" s="231" t="s">
        <v>131</v>
      </c>
      <c r="G153" s="231" t="s">
        <v>169</v>
      </c>
      <c r="H153" s="231" t="s">
        <v>133</v>
      </c>
      <c r="I153" s="231" t="s">
        <v>134</v>
      </c>
      <c r="K153" s="249"/>
    </row>
    <row r="154" spans="1:12" x14ac:dyDescent="0.25">
      <c r="A154" s="232" t="s">
        <v>241</v>
      </c>
      <c r="B154" s="515" t="s">
        <v>140</v>
      </c>
      <c r="C154" s="515" t="s">
        <v>242</v>
      </c>
      <c r="D154" s="233">
        <v>305880</v>
      </c>
      <c r="E154" s="515" t="s">
        <v>158</v>
      </c>
      <c r="F154" s="233">
        <v>769388</v>
      </c>
      <c r="G154" s="234">
        <f>(D154/F154)*100</f>
        <v>39.75627381763168</v>
      </c>
      <c r="H154" s="232"/>
      <c r="I154" s="235"/>
      <c r="K154" s="249"/>
    </row>
    <row r="155" spans="1:12" ht="15" customHeight="1" x14ac:dyDescent="0.25">
      <c r="A155" s="232" t="s">
        <v>141</v>
      </c>
      <c r="B155" s="516"/>
      <c r="C155" s="516"/>
      <c r="D155" s="233">
        <v>640741</v>
      </c>
      <c r="E155" s="516"/>
      <c r="F155" s="233">
        <v>769388</v>
      </c>
      <c r="G155" s="234">
        <f>(D155/F155)*100</f>
        <v>83.279307709504181</v>
      </c>
      <c r="H155" s="232"/>
      <c r="I155" s="235"/>
      <c r="K155" s="249"/>
    </row>
    <row r="156" spans="1:12" x14ac:dyDescent="0.25">
      <c r="A156" s="232" t="s">
        <v>142</v>
      </c>
      <c r="B156" s="516"/>
      <c r="C156" s="516"/>
      <c r="D156" s="233">
        <v>796895</v>
      </c>
      <c r="E156" s="516"/>
      <c r="F156" s="233">
        <v>769388</v>
      </c>
      <c r="G156" s="234">
        <f>(D156/F156)*100</f>
        <v>103.57517923336471</v>
      </c>
      <c r="H156" s="253">
        <v>43026</v>
      </c>
      <c r="I156" s="235"/>
      <c r="K156" s="249"/>
    </row>
    <row r="157" spans="1:12" ht="15" customHeight="1" x14ac:dyDescent="0.25">
      <c r="A157" s="251" t="s">
        <v>144</v>
      </c>
      <c r="B157" s="516"/>
      <c r="C157" s="516"/>
      <c r="D157" s="233">
        <v>741568</v>
      </c>
      <c r="E157" s="516"/>
      <c r="F157" s="233">
        <v>769388</v>
      </c>
      <c r="G157" s="237">
        <v>96.4</v>
      </c>
      <c r="H157" s="252">
        <v>42647</v>
      </c>
      <c r="I157" s="515" t="s">
        <v>229</v>
      </c>
      <c r="K157" s="249"/>
    </row>
    <row r="158" spans="1:12" ht="15" customHeight="1" x14ac:dyDescent="0.25">
      <c r="A158" s="251" t="s">
        <v>145</v>
      </c>
      <c r="B158" s="516"/>
      <c r="C158" s="516"/>
      <c r="D158" s="233">
        <v>713444</v>
      </c>
      <c r="E158" s="516"/>
      <c r="F158" s="233">
        <v>769388</v>
      </c>
      <c r="G158" s="237">
        <v>92.7</v>
      </c>
      <c r="H158" s="252">
        <v>42390</v>
      </c>
      <c r="I158" s="516"/>
      <c r="K158" s="249"/>
    </row>
    <row r="159" spans="1:12" ht="15" customHeight="1" x14ac:dyDescent="0.25">
      <c r="A159" s="251" t="s">
        <v>146</v>
      </c>
      <c r="B159" s="517"/>
      <c r="C159" s="516"/>
      <c r="D159" s="233">
        <v>762572</v>
      </c>
      <c r="E159" s="517"/>
      <c r="F159" s="233">
        <v>769388</v>
      </c>
      <c r="G159" s="237">
        <v>99.1</v>
      </c>
      <c r="H159" s="239"/>
      <c r="I159" s="516"/>
      <c r="K159" s="249"/>
    </row>
    <row r="160" spans="1:12" ht="15" customHeight="1" x14ac:dyDescent="0.25">
      <c r="A160" s="251" t="s">
        <v>147</v>
      </c>
      <c r="B160" s="523" t="s">
        <v>243</v>
      </c>
      <c r="C160" s="516"/>
      <c r="D160" s="233">
        <v>883849</v>
      </c>
      <c r="E160" s="523" t="s">
        <v>137</v>
      </c>
      <c r="F160" s="233">
        <v>800163</v>
      </c>
      <c r="G160" s="237">
        <v>110.5</v>
      </c>
      <c r="H160" s="239"/>
      <c r="I160" s="516"/>
      <c r="K160" s="249"/>
    </row>
    <row r="161" spans="1:11" ht="15" customHeight="1" x14ac:dyDescent="0.25">
      <c r="A161" s="251" t="s">
        <v>148</v>
      </c>
      <c r="B161" s="523"/>
      <c r="C161" s="516"/>
      <c r="D161" s="233">
        <v>832497</v>
      </c>
      <c r="E161" s="523"/>
      <c r="F161" s="233">
        <v>800163</v>
      </c>
      <c r="G161" s="237">
        <v>104</v>
      </c>
      <c r="H161" s="239"/>
      <c r="I161" s="516"/>
      <c r="K161" s="249"/>
    </row>
    <row r="162" spans="1:11" ht="15" customHeight="1" x14ac:dyDescent="0.25">
      <c r="A162" s="251" t="s">
        <v>164</v>
      </c>
      <c r="B162" s="523"/>
      <c r="C162" s="516"/>
      <c r="D162" s="233">
        <v>1032080</v>
      </c>
      <c r="E162" s="523" t="s">
        <v>158</v>
      </c>
      <c r="F162" s="233">
        <v>1169931</v>
      </c>
      <c r="G162" s="237">
        <v>88.2</v>
      </c>
      <c r="H162" s="239"/>
      <c r="I162" s="516"/>
      <c r="K162" s="249"/>
    </row>
    <row r="163" spans="1:11" ht="15" customHeight="1" x14ac:dyDescent="0.25">
      <c r="A163" s="251" t="s">
        <v>165</v>
      </c>
      <c r="B163" s="523"/>
      <c r="C163" s="516"/>
      <c r="D163" s="233">
        <v>857838</v>
      </c>
      <c r="E163" s="523"/>
      <c r="F163" s="233">
        <v>1169931</v>
      </c>
      <c r="G163" s="237">
        <v>73.3</v>
      </c>
      <c r="H163" s="239"/>
      <c r="I163" s="516"/>
      <c r="K163" s="249"/>
    </row>
    <row r="164" spans="1:11" ht="15" customHeight="1" x14ac:dyDescent="0.25">
      <c r="A164" s="251" t="s">
        <v>222</v>
      </c>
      <c r="B164" s="523"/>
      <c r="C164" s="516"/>
      <c r="D164" s="233">
        <v>837079</v>
      </c>
      <c r="E164" s="523"/>
      <c r="F164" s="233">
        <v>1169931</v>
      </c>
      <c r="G164" s="237">
        <v>71.5</v>
      </c>
      <c r="H164" s="239"/>
      <c r="I164" s="516"/>
      <c r="K164" s="249"/>
    </row>
    <row r="165" spans="1:11" ht="16.5" customHeight="1" x14ac:dyDescent="0.25">
      <c r="A165" s="251" t="s">
        <v>223</v>
      </c>
      <c r="B165" s="523"/>
      <c r="C165" s="516"/>
      <c r="D165" s="233">
        <v>648250</v>
      </c>
      <c r="E165" s="523"/>
      <c r="F165" s="233">
        <v>1169931</v>
      </c>
      <c r="G165" s="237">
        <v>55.4</v>
      </c>
      <c r="H165" s="239"/>
      <c r="I165" s="516"/>
      <c r="K165" s="249"/>
    </row>
    <row r="166" spans="1:11" ht="15" customHeight="1" x14ac:dyDescent="0.25">
      <c r="A166" s="251" t="s">
        <v>224</v>
      </c>
      <c r="B166" s="523"/>
      <c r="C166" s="517"/>
      <c r="D166" s="233">
        <v>542438</v>
      </c>
      <c r="E166" s="523"/>
      <c r="F166" s="233">
        <v>1169931</v>
      </c>
      <c r="G166" s="237">
        <v>46.4</v>
      </c>
      <c r="H166" s="239"/>
      <c r="I166" s="517"/>
      <c r="K166" s="249"/>
    </row>
    <row r="167" spans="1:11" x14ac:dyDescent="0.25">
      <c r="A167" s="255"/>
      <c r="B167" s="255"/>
      <c r="C167" s="255"/>
      <c r="D167" s="255"/>
      <c r="E167" s="255"/>
      <c r="F167" s="255"/>
      <c r="G167" s="255"/>
      <c r="H167" s="255"/>
      <c r="I167" s="255"/>
      <c r="J167" s="229"/>
    </row>
    <row r="168" spans="1:11" x14ac:dyDescent="0.25">
      <c r="A168" s="520" t="s">
        <v>197</v>
      </c>
      <c r="B168" s="521"/>
      <c r="C168" s="521"/>
      <c r="D168" s="521"/>
      <c r="E168" s="521"/>
      <c r="F168" s="521"/>
      <c r="G168" s="521"/>
      <c r="H168" s="521"/>
      <c r="I168" s="521"/>
      <c r="J168" s="229"/>
    </row>
    <row r="169" spans="1:11" ht="15" customHeight="1" x14ac:dyDescent="0.25">
      <c r="A169" s="502" t="s">
        <v>198</v>
      </c>
      <c r="B169" s="503"/>
      <c r="C169" s="503"/>
      <c r="D169" s="503"/>
      <c r="E169" s="503"/>
      <c r="F169" s="503"/>
      <c r="G169" s="503"/>
      <c r="H169" s="503"/>
      <c r="I169" s="503"/>
      <c r="J169" s="229"/>
    </row>
    <row r="170" spans="1:11" ht="30" customHeight="1" x14ac:dyDescent="0.25">
      <c r="A170" s="231" t="s">
        <v>20</v>
      </c>
      <c r="B170" s="504" t="s">
        <v>128</v>
      </c>
      <c r="C170" s="505"/>
      <c r="D170" s="231" t="s">
        <v>129</v>
      </c>
      <c r="E170" s="231" t="s">
        <v>130</v>
      </c>
      <c r="F170" s="231" t="s">
        <v>131</v>
      </c>
      <c r="G170" s="231" t="s">
        <v>169</v>
      </c>
      <c r="H170" s="231" t="s">
        <v>133</v>
      </c>
      <c r="I170" s="231" t="s">
        <v>134</v>
      </c>
      <c r="J170" s="229"/>
    </row>
    <row r="171" spans="1:11" x14ac:dyDescent="0.25">
      <c r="A171" s="232">
        <v>2019</v>
      </c>
      <c r="B171" s="506" t="s">
        <v>136</v>
      </c>
      <c r="C171" s="509"/>
      <c r="D171" s="233">
        <v>64359</v>
      </c>
      <c r="E171" s="515" t="s">
        <v>137</v>
      </c>
      <c r="F171" s="233">
        <v>217903</v>
      </c>
      <c r="G171" s="234">
        <f>(D171/F171)*100</f>
        <v>29.535619059856909</v>
      </c>
      <c r="H171" s="232"/>
      <c r="I171" s="235"/>
      <c r="J171" s="229"/>
    </row>
    <row r="172" spans="1:11" x14ac:dyDescent="0.25">
      <c r="A172" s="232">
        <v>2018</v>
      </c>
      <c r="B172" s="507"/>
      <c r="C172" s="510"/>
      <c r="D172" s="233">
        <v>93156</v>
      </c>
      <c r="E172" s="516"/>
      <c r="F172" s="233">
        <v>217903</v>
      </c>
      <c r="G172" s="234">
        <f>(D172/F172)*100</f>
        <v>42.751132384593141</v>
      </c>
      <c r="H172" s="232"/>
      <c r="I172" s="235"/>
      <c r="J172" s="229"/>
    </row>
    <row r="173" spans="1:11" ht="15" customHeight="1" x14ac:dyDescent="0.25">
      <c r="A173" s="236">
        <v>2017</v>
      </c>
      <c r="B173" s="507"/>
      <c r="C173" s="510"/>
      <c r="D173" s="266">
        <v>97135</v>
      </c>
      <c r="E173" s="516"/>
      <c r="F173" s="233">
        <v>217903</v>
      </c>
      <c r="G173" s="237">
        <v>38.299999999999997</v>
      </c>
      <c r="H173" s="239"/>
      <c r="I173" s="515" t="s">
        <v>229</v>
      </c>
      <c r="J173" s="229"/>
    </row>
    <row r="174" spans="1:11" x14ac:dyDescent="0.25">
      <c r="A174" s="236">
        <v>2016</v>
      </c>
      <c r="B174" s="507"/>
      <c r="C174" s="510"/>
      <c r="D174" s="233">
        <v>83470</v>
      </c>
      <c r="E174" s="516"/>
      <c r="F174" s="233">
        <v>217903</v>
      </c>
      <c r="G174" s="237">
        <v>42.3</v>
      </c>
      <c r="H174" s="239"/>
      <c r="I174" s="516"/>
      <c r="J174" s="229"/>
    </row>
    <row r="175" spans="1:11" ht="15" customHeight="1" x14ac:dyDescent="0.25">
      <c r="A175" s="236">
        <v>2015</v>
      </c>
      <c r="B175" s="507"/>
      <c r="C175" s="510"/>
      <c r="D175" s="233">
        <v>92276</v>
      </c>
      <c r="E175" s="516"/>
      <c r="F175" s="233">
        <v>217903</v>
      </c>
      <c r="G175" s="237">
        <v>42.3</v>
      </c>
      <c r="H175" s="239"/>
      <c r="I175" s="516"/>
      <c r="J175" s="229"/>
    </row>
    <row r="176" spans="1:11" ht="16.5" customHeight="1" x14ac:dyDescent="0.25">
      <c r="A176" s="236">
        <v>2014</v>
      </c>
      <c r="B176" s="507"/>
      <c r="C176" s="510"/>
      <c r="D176" s="233">
        <v>109756</v>
      </c>
      <c r="E176" s="516"/>
      <c r="F176" s="233">
        <v>218539</v>
      </c>
      <c r="G176" s="237">
        <v>50.2</v>
      </c>
      <c r="H176" s="239"/>
      <c r="I176" s="516"/>
      <c r="J176" s="229"/>
    </row>
    <row r="177" spans="1:10" ht="15" customHeight="1" x14ac:dyDescent="0.25">
      <c r="A177" s="236">
        <v>2013</v>
      </c>
      <c r="B177" s="507"/>
      <c r="C177" s="510"/>
      <c r="D177" s="233">
        <v>105474</v>
      </c>
      <c r="E177" s="516"/>
      <c r="F177" s="233">
        <v>218539</v>
      </c>
      <c r="G177" s="237">
        <v>48.3</v>
      </c>
      <c r="H177" s="239"/>
      <c r="I177" s="516"/>
      <c r="J177" s="229"/>
    </row>
    <row r="178" spans="1:10" x14ac:dyDescent="0.25">
      <c r="A178" s="236">
        <v>2012</v>
      </c>
      <c r="B178" s="508"/>
      <c r="C178" s="511"/>
      <c r="D178" s="233">
        <v>106550</v>
      </c>
      <c r="E178" s="517"/>
      <c r="F178" s="233">
        <v>214624</v>
      </c>
      <c r="G178" s="237">
        <v>49.6</v>
      </c>
      <c r="H178" s="239"/>
      <c r="I178" s="517"/>
      <c r="J178" s="229"/>
    </row>
    <row r="179" spans="1:10" ht="15" customHeight="1" x14ac:dyDescent="0.25">
      <c r="A179" s="243"/>
      <c r="B179" s="243"/>
      <c r="C179" s="243"/>
      <c r="D179" s="243"/>
      <c r="E179" s="243"/>
      <c r="F179" s="247"/>
      <c r="G179" s="247"/>
      <c r="H179" s="247"/>
      <c r="I179" s="247"/>
      <c r="J179" s="229"/>
    </row>
    <row r="180" spans="1:10" ht="16.5" customHeight="1" x14ac:dyDescent="0.25">
      <c r="A180" s="524" t="s">
        <v>244</v>
      </c>
      <c r="B180" s="524"/>
      <c r="C180" s="524"/>
      <c r="D180" s="524"/>
      <c r="E180" s="524"/>
      <c r="F180" s="524"/>
      <c r="G180" s="524"/>
      <c r="H180" s="524"/>
      <c r="I180" s="524"/>
      <c r="J180" s="229"/>
    </row>
    <row r="181" spans="1:10" ht="30" customHeight="1" x14ac:dyDescent="0.25">
      <c r="A181" s="231" t="s">
        <v>20</v>
      </c>
      <c r="B181" s="504" t="s">
        <v>128</v>
      </c>
      <c r="C181" s="505"/>
      <c r="D181" s="231" t="s">
        <v>129</v>
      </c>
      <c r="E181" s="231" t="s">
        <v>130</v>
      </c>
      <c r="F181" s="231" t="s">
        <v>131</v>
      </c>
      <c r="G181" s="231" t="s">
        <v>169</v>
      </c>
      <c r="H181" s="231" t="s">
        <v>133</v>
      </c>
      <c r="I181" s="231" t="s">
        <v>134</v>
      </c>
      <c r="J181" s="229"/>
    </row>
    <row r="182" spans="1:10" x14ac:dyDescent="0.25">
      <c r="A182" s="232">
        <v>2019</v>
      </c>
      <c r="B182" s="506" t="s">
        <v>136</v>
      </c>
      <c r="C182" s="509"/>
      <c r="D182" s="233">
        <v>1930</v>
      </c>
      <c r="E182" s="515" t="s">
        <v>137</v>
      </c>
      <c r="F182" s="233">
        <v>5670</v>
      </c>
      <c r="G182" s="234">
        <f>(D182/F182)*100</f>
        <v>34.038800705467374</v>
      </c>
      <c r="H182" s="232"/>
      <c r="I182" s="235"/>
      <c r="J182" s="229"/>
    </row>
    <row r="183" spans="1:10" x14ac:dyDescent="0.25">
      <c r="A183" s="232">
        <v>2018</v>
      </c>
      <c r="B183" s="507"/>
      <c r="C183" s="510"/>
      <c r="D183" s="233">
        <v>4559</v>
      </c>
      <c r="E183" s="516"/>
      <c r="F183" s="233">
        <v>4524</v>
      </c>
      <c r="G183" s="234">
        <f>(D183/F183)*100</f>
        <v>100.77365163572061</v>
      </c>
      <c r="H183" s="253">
        <v>43420</v>
      </c>
      <c r="I183" s="235"/>
      <c r="J183" s="229"/>
    </row>
    <row r="184" spans="1:10" ht="15" customHeight="1" x14ac:dyDescent="0.25">
      <c r="A184" s="236">
        <v>2017</v>
      </c>
      <c r="B184" s="508"/>
      <c r="C184" s="511"/>
      <c r="D184" s="233">
        <v>9299</v>
      </c>
      <c r="E184" s="517"/>
      <c r="F184" s="233">
        <v>3510</v>
      </c>
      <c r="G184" s="237">
        <v>264.89999999999998</v>
      </c>
      <c r="H184" s="252">
        <v>42971</v>
      </c>
      <c r="I184" s="251" t="s">
        <v>229</v>
      </c>
      <c r="J184" s="229"/>
    </row>
    <row r="185" spans="1:10" x14ac:dyDescent="0.25">
      <c r="A185" s="243"/>
      <c r="B185" s="243"/>
      <c r="C185" s="243"/>
      <c r="D185" s="243"/>
      <c r="E185" s="243"/>
      <c r="F185" s="247"/>
      <c r="G185" s="247"/>
      <c r="H185" s="247"/>
      <c r="I185" s="247"/>
      <c r="J185" s="229"/>
    </row>
    <row r="186" spans="1:10" ht="16.5" customHeight="1" x14ac:dyDescent="0.25">
      <c r="A186" s="524" t="s">
        <v>245</v>
      </c>
      <c r="B186" s="524"/>
      <c r="C186" s="524"/>
      <c r="D186" s="524"/>
      <c r="E186" s="524"/>
      <c r="F186" s="524"/>
      <c r="G186" s="524"/>
      <c r="H186" s="524"/>
      <c r="I186" s="524"/>
      <c r="J186" s="229"/>
    </row>
    <row r="187" spans="1:10" ht="30" customHeight="1" x14ac:dyDescent="0.25">
      <c r="A187" s="267" t="s">
        <v>20</v>
      </c>
      <c r="B187" s="537" t="s">
        <v>128</v>
      </c>
      <c r="C187" s="538"/>
      <c r="D187" s="267" t="s">
        <v>129</v>
      </c>
      <c r="E187" s="267" t="s">
        <v>130</v>
      </c>
      <c r="F187" s="268" t="s">
        <v>131</v>
      </c>
      <c r="G187" s="268" t="s">
        <v>169</v>
      </c>
      <c r="H187" s="267" t="s">
        <v>133</v>
      </c>
      <c r="I187" s="269" t="s">
        <v>134</v>
      </c>
      <c r="J187" s="229"/>
    </row>
    <row r="188" spans="1:10" x14ac:dyDescent="0.25">
      <c r="A188" s="232">
        <v>2019</v>
      </c>
      <c r="B188" s="523" t="s">
        <v>136</v>
      </c>
      <c r="C188" s="523"/>
      <c r="D188" s="233">
        <v>16193</v>
      </c>
      <c r="E188" s="523" t="s">
        <v>137</v>
      </c>
      <c r="F188" s="233">
        <v>23456</v>
      </c>
      <c r="G188" s="234">
        <f>(D188/F188)*100</f>
        <v>69.035641200545712</v>
      </c>
      <c r="H188" s="232"/>
      <c r="I188" s="232"/>
      <c r="J188" s="229"/>
    </row>
    <row r="189" spans="1:10" x14ac:dyDescent="0.25">
      <c r="A189" s="232">
        <v>2018</v>
      </c>
      <c r="B189" s="523"/>
      <c r="C189" s="523"/>
      <c r="D189" s="233">
        <v>18595</v>
      </c>
      <c r="E189" s="523"/>
      <c r="F189" s="233">
        <v>23456</v>
      </c>
      <c r="G189" s="234">
        <f>(D189/F189)*100</f>
        <v>79.276091405184175</v>
      </c>
      <c r="H189" s="232"/>
      <c r="I189" s="232"/>
      <c r="J189" s="229"/>
    </row>
    <row r="190" spans="1:10" ht="15" customHeight="1" x14ac:dyDescent="0.25">
      <c r="A190" s="236">
        <v>2017</v>
      </c>
      <c r="B190" s="523"/>
      <c r="C190" s="523"/>
      <c r="D190" s="233">
        <v>25992</v>
      </c>
      <c r="E190" s="523"/>
      <c r="F190" s="233">
        <v>23456</v>
      </c>
      <c r="G190" s="237">
        <v>110.8</v>
      </c>
      <c r="H190" s="239"/>
      <c r="I190" s="251" t="s">
        <v>229</v>
      </c>
      <c r="J190" s="229"/>
    </row>
    <row r="191" spans="1:10" x14ac:dyDescent="0.25">
      <c r="A191" s="270"/>
      <c r="B191" s="270"/>
      <c r="C191" s="270"/>
      <c r="D191" s="270"/>
      <c r="E191" s="270"/>
      <c r="F191" s="255"/>
      <c r="G191" s="255"/>
      <c r="H191" s="255"/>
      <c r="I191" s="255"/>
      <c r="J191" s="229"/>
    </row>
    <row r="192" spans="1:10" x14ac:dyDescent="0.25">
      <c r="A192" s="502" t="s">
        <v>207</v>
      </c>
      <c r="B192" s="503"/>
      <c r="C192" s="503"/>
      <c r="D192" s="503"/>
      <c r="E192" s="503"/>
      <c r="F192" s="503"/>
      <c r="G192" s="503"/>
      <c r="H192" s="503"/>
      <c r="I192" s="503"/>
      <c r="J192" s="229"/>
    </row>
    <row r="193" spans="1:10" ht="30" customHeight="1" x14ac:dyDescent="0.25">
      <c r="A193" s="231" t="s">
        <v>20</v>
      </c>
      <c r="B193" s="504" t="s">
        <v>128</v>
      </c>
      <c r="C193" s="505"/>
      <c r="D193" s="231" t="s">
        <v>129</v>
      </c>
      <c r="E193" s="231" t="s">
        <v>130</v>
      </c>
      <c r="F193" s="231" t="s">
        <v>131</v>
      </c>
      <c r="G193" s="231" t="s">
        <v>169</v>
      </c>
      <c r="H193" s="231" t="s">
        <v>133</v>
      </c>
      <c r="I193" s="231" t="s">
        <v>134</v>
      </c>
      <c r="J193" s="229"/>
    </row>
    <row r="194" spans="1:10" ht="15" customHeight="1" x14ac:dyDescent="0.25">
      <c r="A194" s="236">
        <v>2016</v>
      </c>
      <c r="B194" s="506" t="s">
        <v>136</v>
      </c>
      <c r="C194" s="509"/>
      <c r="D194" s="233">
        <v>32535</v>
      </c>
      <c r="E194" s="515" t="s">
        <v>137</v>
      </c>
      <c r="F194" s="233">
        <v>49469</v>
      </c>
      <c r="G194" s="237">
        <v>65.8</v>
      </c>
      <c r="H194" s="239"/>
      <c r="I194" s="515" t="s">
        <v>229</v>
      </c>
      <c r="J194" s="229"/>
    </row>
    <row r="195" spans="1:10" x14ac:dyDescent="0.25">
      <c r="A195" s="236">
        <v>2015</v>
      </c>
      <c r="B195" s="507"/>
      <c r="C195" s="510"/>
      <c r="D195" s="233">
        <v>35152</v>
      </c>
      <c r="E195" s="516"/>
      <c r="F195" s="233">
        <v>49469</v>
      </c>
      <c r="G195" s="237">
        <v>71.099999999999994</v>
      </c>
      <c r="H195" s="239"/>
      <c r="I195" s="516"/>
      <c r="J195" s="229"/>
    </row>
    <row r="196" spans="1:10" ht="15" customHeight="1" x14ac:dyDescent="0.25">
      <c r="A196" s="236">
        <v>2014</v>
      </c>
      <c r="B196" s="507"/>
      <c r="C196" s="510"/>
      <c r="D196" s="233">
        <v>41297</v>
      </c>
      <c r="E196" s="516"/>
      <c r="F196" s="233">
        <v>49469</v>
      </c>
      <c r="G196" s="237">
        <v>83.5</v>
      </c>
      <c r="H196" s="239"/>
      <c r="I196" s="516"/>
      <c r="J196" s="229"/>
    </row>
    <row r="197" spans="1:10" ht="16.5" customHeight="1" x14ac:dyDescent="0.25">
      <c r="A197" s="236">
        <v>2013</v>
      </c>
      <c r="B197" s="507"/>
      <c r="C197" s="510"/>
      <c r="D197" s="233">
        <v>34953</v>
      </c>
      <c r="E197" s="516"/>
      <c r="F197" s="233">
        <v>49469</v>
      </c>
      <c r="G197" s="237">
        <v>70.7</v>
      </c>
      <c r="H197" s="239"/>
      <c r="I197" s="516"/>
      <c r="J197" s="229"/>
    </row>
    <row r="198" spans="1:10" ht="15" customHeight="1" x14ac:dyDescent="0.25">
      <c r="A198" s="236">
        <v>2012</v>
      </c>
      <c r="B198" s="508"/>
      <c r="C198" s="511"/>
      <c r="D198" s="233">
        <v>32774</v>
      </c>
      <c r="E198" s="517"/>
      <c r="F198" s="233">
        <v>48772</v>
      </c>
      <c r="G198" s="237">
        <v>67.2</v>
      </c>
      <c r="H198" s="239"/>
      <c r="I198" s="517"/>
      <c r="J198" s="229"/>
    </row>
    <row r="199" spans="1:10" x14ac:dyDescent="0.25">
      <c r="A199" s="255"/>
      <c r="B199" s="255"/>
      <c r="C199" s="255"/>
      <c r="D199" s="255"/>
      <c r="E199" s="255"/>
      <c r="F199" s="255"/>
      <c r="G199" s="255"/>
      <c r="H199" s="255"/>
      <c r="I199" s="255"/>
      <c r="J199" s="229"/>
    </row>
    <row r="200" spans="1:10" x14ac:dyDescent="0.25">
      <c r="A200" s="520" t="s">
        <v>209</v>
      </c>
      <c r="B200" s="521"/>
      <c r="C200" s="521"/>
      <c r="D200" s="521"/>
      <c r="E200" s="521"/>
      <c r="F200" s="521"/>
      <c r="G200" s="521"/>
      <c r="H200" s="521"/>
      <c r="I200" s="521"/>
      <c r="J200" s="229"/>
    </row>
    <row r="201" spans="1:10" ht="15" customHeight="1" x14ac:dyDescent="0.25">
      <c r="A201" s="502" t="s">
        <v>210</v>
      </c>
      <c r="B201" s="503"/>
      <c r="C201" s="503"/>
      <c r="D201" s="503"/>
      <c r="E201" s="503"/>
      <c r="F201" s="503"/>
      <c r="G201" s="503"/>
      <c r="H201" s="503"/>
      <c r="I201" s="503"/>
      <c r="J201" s="229"/>
    </row>
    <row r="202" spans="1:10" ht="30" customHeight="1" x14ac:dyDescent="0.25">
      <c r="A202" s="231" t="s">
        <v>20</v>
      </c>
      <c r="B202" s="504" t="s">
        <v>128</v>
      </c>
      <c r="C202" s="505"/>
      <c r="D202" s="231" t="s">
        <v>129</v>
      </c>
      <c r="E202" s="231" t="s">
        <v>130</v>
      </c>
      <c r="F202" s="231" t="s">
        <v>131</v>
      </c>
      <c r="G202" s="231" t="s">
        <v>169</v>
      </c>
      <c r="H202" s="231" t="s">
        <v>133</v>
      </c>
      <c r="I202" s="231" t="s">
        <v>134</v>
      </c>
      <c r="J202" s="229"/>
    </row>
    <row r="203" spans="1:10" x14ac:dyDescent="0.25">
      <c r="A203" s="232">
        <v>2019</v>
      </c>
      <c r="B203" s="506" t="s">
        <v>136</v>
      </c>
      <c r="C203" s="509"/>
      <c r="D203" s="233">
        <v>185473</v>
      </c>
      <c r="E203" s="515" t="s">
        <v>137</v>
      </c>
      <c r="F203" s="233">
        <v>189422</v>
      </c>
      <c r="G203" s="234">
        <f>(D203/F203)*100</f>
        <v>97.915236878504089</v>
      </c>
      <c r="H203" s="253">
        <v>43662</v>
      </c>
      <c r="I203" s="235"/>
      <c r="J203" s="229"/>
    </row>
    <row r="204" spans="1:10" x14ac:dyDescent="0.25">
      <c r="A204" s="232">
        <v>2018</v>
      </c>
      <c r="B204" s="507"/>
      <c r="C204" s="510"/>
      <c r="D204" s="233">
        <v>192285</v>
      </c>
      <c r="E204" s="516"/>
      <c r="F204" s="233">
        <v>189422</v>
      </c>
      <c r="G204" s="234">
        <f>(D204/F204)*100</f>
        <v>101.51144006503996</v>
      </c>
      <c r="H204" s="253">
        <v>43334</v>
      </c>
      <c r="I204" s="235"/>
      <c r="J204" s="229"/>
    </row>
    <row r="205" spans="1:10" ht="15" customHeight="1" x14ac:dyDescent="0.25">
      <c r="A205" s="236">
        <v>2017</v>
      </c>
      <c r="B205" s="507"/>
      <c r="C205" s="510"/>
      <c r="D205" s="233">
        <v>189669</v>
      </c>
      <c r="E205" s="516"/>
      <c r="F205" s="233">
        <v>189422</v>
      </c>
      <c r="G205" s="237">
        <v>100.1</v>
      </c>
      <c r="H205" s="252">
        <v>42951</v>
      </c>
      <c r="I205" s="515" t="s">
        <v>229</v>
      </c>
      <c r="J205" s="229"/>
    </row>
    <row r="206" spans="1:10" x14ac:dyDescent="0.25">
      <c r="A206" s="236">
        <v>2016</v>
      </c>
      <c r="B206" s="507"/>
      <c r="C206" s="510"/>
      <c r="D206" s="233">
        <v>203052</v>
      </c>
      <c r="E206" s="516"/>
      <c r="F206" s="233">
        <v>189422</v>
      </c>
      <c r="G206" s="237">
        <v>107.2</v>
      </c>
      <c r="H206" s="252">
        <v>42591</v>
      </c>
      <c r="I206" s="516"/>
      <c r="J206" s="229"/>
    </row>
    <row r="207" spans="1:10" ht="15" customHeight="1" x14ac:dyDescent="0.25">
      <c r="A207" s="236">
        <v>2015</v>
      </c>
      <c r="B207" s="507"/>
      <c r="C207" s="510"/>
      <c r="D207" s="233">
        <v>187190</v>
      </c>
      <c r="E207" s="516"/>
      <c r="F207" s="233">
        <v>189422</v>
      </c>
      <c r="G207" s="237">
        <v>98.8</v>
      </c>
      <c r="H207" s="252">
        <v>42178</v>
      </c>
      <c r="I207" s="516"/>
      <c r="J207" s="229"/>
    </row>
    <row r="208" spans="1:10" ht="16.5" customHeight="1" x14ac:dyDescent="0.25">
      <c r="A208" s="236">
        <v>2014</v>
      </c>
      <c r="B208" s="507"/>
      <c r="C208" s="510"/>
      <c r="D208" s="233">
        <v>236457</v>
      </c>
      <c r="E208" s="516"/>
      <c r="F208" s="233">
        <v>189422</v>
      </c>
      <c r="G208" s="237">
        <v>124.8</v>
      </c>
      <c r="H208" s="252">
        <v>41835</v>
      </c>
      <c r="I208" s="516"/>
      <c r="J208" s="229"/>
    </row>
    <row r="209" spans="1:13" ht="15" customHeight="1" x14ac:dyDescent="0.25">
      <c r="A209" s="236">
        <v>2013</v>
      </c>
      <c r="B209" s="507"/>
      <c r="C209" s="510"/>
      <c r="D209" s="233">
        <v>206749</v>
      </c>
      <c r="E209" s="516"/>
      <c r="F209" s="233">
        <v>189422</v>
      </c>
      <c r="G209" s="237">
        <v>109.1</v>
      </c>
      <c r="H209" s="252">
        <v>41443</v>
      </c>
      <c r="I209" s="516"/>
      <c r="J209" s="229"/>
    </row>
    <row r="210" spans="1:13" x14ac:dyDescent="0.25">
      <c r="A210" s="236">
        <v>2012</v>
      </c>
      <c r="B210" s="508"/>
      <c r="C210" s="511"/>
      <c r="D210" s="233">
        <v>335209</v>
      </c>
      <c r="E210" s="517"/>
      <c r="F210" s="233">
        <v>193999</v>
      </c>
      <c r="G210" s="237">
        <v>172.8</v>
      </c>
      <c r="H210" s="252">
        <v>41092</v>
      </c>
      <c r="I210" s="517"/>
      <c r="J210" s="229"/>
    </row>
    <row r="211" spans="1:13" x14ac:dyDescent="0.25">
      <c r="A211" s="270"/>
      <c r="B211" s="270"/>
      <c r="C211" s="270"/>
      <c r="D211" s="270"/>
      <c r="E211" s="270"/>
      <c r="F211" s="270"/>
      <c r="G211" s="270"/>
      <c r="H211" s="270"/>
      <c r="I211" s="255"/>
      <c r="J211" s="229"/>
    </row>
    <row r="212" spans="1:13" ht="15" customHeight="1" x14ac:dyDescent="0.25">
      <c r="A212" s="545" t="s">
        <v>127</v>
      </c>
      <c r="B212" s="546"/>
      <c r="C212" s="546"/>
      <c r="D212" s="546"/>
      <c r="E212" s="546"/>
      <c r="F212" s="546"/>
      <c r="G212" s="546"/>
      <c r="H212" s="546"/>
      <c r="I212" s="546"/>
      <c r="J212" s="546"/>
      <c r="K212" s="546"/>
      <c r="L212" s="546"/>
      <c r="M212" s="229"/>
    </row>
    <row r="213" spans="1:13" ht="30" customHeight="1" x14ac:dyDescent="0.25">
      <c r="A213" s="231" t="s">
        <v>20</v>
      </c>
      <c r="B213" s="231" t="s">
        <v>232</v>
      </c>
      <c r="C213" s="231" t="s">
        <v>128</v>
      </c>
      <c r="D213" s="231" t="s">
        <v>235</v>
      </c>
      <c r="E213" s="231" t="s">
        <v>130</v>
      </c>
      <c r="F213" s="231" t="s">
        <v>246</v>
      </c>
      <c r="G213" s="231" t="s">
        <v>237</v>
      </c>
      <c r="H213" s="231" t="s">
        <v>129</v>
      </c>
      <c r="I213" s="231" t="s">
        <v>131</v>
      </c>
      <c r="J213" s="231" t="s">
        <v>169</v>
      </c>
      <c r="K213" s="231" t="s">
        <v>133</v>
      </c>
      <c r="L213" s="231" t="s">
        <v>134</v>
      </c>
      <c r="M213" s="229"/>
    </row>
    <row r="214" spans="1:13" x14ac:dyDescent="0.25">
      <c r="A214" s="525" t="s">
        <v>241</v>
      </c>
      <c r="B214" s="251" t="s">
        <v>247</v>
      </c>
      <c r="C214" s="251" t="s">
        <v>140</v>
      </c>
      <c r="D214" s="233">
        <v>124058</v>
      </c>
      <c r="E214" s="515" t="s">
        <v>248</v>
      </c>
      <c r="F214" s="233">
        <v>1082880</v>
      </c>
      <c r="G214" s="234">
        <f t="shared" ref="G214:G222" si="3">(D214/F214)*100</f>
        <v>11.45630171394799</v>
      </c>
      <c r="H214" s="530">
        <f>SUM(D214:D216)</f>
        <v>1825090</v>
      </c>
      <c r="I214" s="530">
        <f>SUM(F214:F216)</f>
        <v>4700000</v>
      </c>
      <c r="J214" s="541">
        <f>(H214/I214)*100</f>
        <v>38.831702127659575</v>
      </c>
      <c r="K214" s="232"/>
      <c r="L214" s="515" t="s">
        <v>249</v>
      </c>
      <c r="M214" s="229"/>
    </row>
    <row r="215" spans="1:13" x14ac:dyDescent="0.25">
      <c r="A215" s="544"/>
      <c r="B215" s="515" t="s">
        <v>250</v>
      </c>
      <c r="C215" s="251" t="s">
        <v>251</v>
      </c>
      <c r="D215" s="233">
        <v>1701032</v>
      </c>
      <c r="E215" s="516"/>
      <c r="F215" s="233">
        <v>2170272</v>
      </c>
      <c r="G215" s="234">
        <f t="shared" si="3"/>
        <v>78.378746995768267</v>
      </c>
      <c r="H215" s="539"/>
      <c r="I215" s="539"/>
      <c r="J215" s="542"/>
      <c r="K215" s="232"/>
      <c r="L215" s="516"/>
      <c r="M215" s="229"/>
    </row>
    <row r="216" spans="1:13" x14ac:dyDescent="0.25">
      <c r="A216" s="526"/>
      <c r="B216" s="517"/>
      <c r="C216" s="251" t="s">
        <v>252</v>
      </c>
      <c r="D216" s="233"/>
      <c r="E216" s="516"/>
      <c r="F216" s="233">
        <v>1446848</v>
      </c>
      <c r="G216" s="234">
        <f t="shared" si="3"/>
        <v>0</v>
      </c>
      <c r="H216" s="540"/>
      <c r="I216" s="540"/>
      <c r="J216" s="543"/>
      <c r="K216" s="232"/>
      <c r="L216" s="516"/>
      <c r="M216" s="229"/>
    </row>
    <row r="217" spans="1:13" s="159" customFormat="1" ht="15" customHeight="1" x14ac:dyDescent="0.25">
      <c r="A217" s="525" t="s">
        <v>141</v>
      </c>
      <c r="B217" s="251" t="s">
        <v>247</v>
      </c>
      <c r="C217" s="251" t="s">
        <v>140</v>
      </c>
      <c r="D217" s="233">
        <v>523714</v>
      </c>
      <c r="E217" s="516"/>
      <c r="F217" s="233">
        <v>1198080</v>
      </c>
      <c r="G217" s="234">
        <f t="shared" si="3"/>
        <v>43.712773771367516</v>
      </c>
      <c r="H217" s="530">
        <f>SUM(D217:D219)</f>
        <v>2888266</v>
      </c>
      <c r="I217" s="530">
        <f>SUM(F217:F219)</f>
        <v>5200000</v>
      </c>
      <c r="J217" s="541">
        <f>(H217/I217)*100</f>
        <v>55.54357692307692</v>
      </c>
      <c r="K217" s="232"/>
      <c r="L217" s="516"/>
      <c r="M217" s="257"/>
    </row>
    <row r="218" spans="1:13" s="159" customFormat="1" ht="15.75" customHeight="1" x14ac:dyDescent="0.25">
      <c r="A218" s="544"/>
      <c r="B218" s="515" t="s">
        <v>250</v>
      </c>
      <c r="C218" s="251" t="s">
        <v>251</v>
      </c>
      <c r="D218" s="233">
        <v>1435552</v>
      </c>
      <c r="E218" s="516"/>
      <c r="F218" s="233">
        <v>2401152</v>
      </c>
      <c r="G218" s="234">
        <f t="shared" si="3"/>
        <v>59.785969401354023</v>
      </c>
      <c r="H218" s="539"/>
      <c r="I218" s="539"/>
      <c r="J218" s="542"/>
      <c r="K218" s="232"/>
      <c r="L218" s="516"/>
      <c r="M218" s="257"/>
    </row>
    <row r="219" spans="1:13" s="159" customFormat="1" x14ac:dyDescent="0.25">
      <c r="A219" s="526"/>
      <c r="B219" s="517"/>
      <c r="C219" s="251" t="s">
        <v>252</v>
      </c>
      <c r="D219" s="233">
        <v>929000</v>
      </c>
      <c r="E219" s="516"/>
      <c r="F219" s="233">
        <v>1600768</v>
      </c>
      <c r="G219" s="234">
        <f t="shared" si="3"/>
        <v>58.034643371181836</v>
      </c>
      <c r="H219" s="540"/>
      <c r="I219" s="540"/>
      <c r="J219" s="543"/>
      <c r="K219" s="232"/>
      <c r="L219" s="516"/>
      <c r="M219" s="257"/>
    </row>
    <row r="220" spans="1:13" s="159" customFormat="1" x14ac:dyDescent="0.25">
      <c r="A220" s="525" t="s">
        <v>142</v>
      </c>
      <c r="B220" s="251" t="s">
        <v>247</v>
      </c>
      <c r="C220" s="251" t="s">
        <v>140</v>
      </c>
      <c r="D220" s="233">
        <v>591819</v>
      </c>
      <c r="E220" s="516"/>
      <c r="F220" s="233">
        <v>1359360</v>
      </c>
      <c r="G220" s="234">
        <f t="shared" si="3"/>
        <v>43.536590748587571</v>
      </c>
      <c r="H220" s="530">
        <f>SUM(D220:D222)</f>
        <v>2754311</v>
      </c>
      <c r="I220" s="530">
        <f>SUM(F220:F222)</f>
        <v>5900000</v>
      </c>
      <c r="J220" s="541">
        <f>(H220/I220)*100</f>
        <v>46.683237288135594</v>
      </c>
      <c r="K220" s="232"/>
      <c r="L220" s="516"/>
      <c r="M220" s="257"/>
    </row>
    <row r="221" spans="1:13" s="159" customFormat="1" x14ac:dyDescent="0.25">
      <c r="A221" s="544"/>
      <c r="B221" s="515" t="s">
        <v>250</v>
      </c>
      <c r="C221" s="251" t="s">
        <v>251</v>
      </c>
      <c r="D221" s="233">
        <v>1451763</v>
      </c>
      <c r="E221" s="516"/>
      <c r="F221" s="233">
        <v>2724384</v>
      </c>
      <c r="G221" s="234">
        <f t="shared" si="3"/>
        <v>53.287752387328659</v>
      </c>
      <c r="H221" s="539"/>
      <c r="I221" s="539"/>
      <c r="J221" s="542"/>
      <c r="K221" s="232"/>
      <c r="L221" s="516"/>
      <c r="M221" s="257"/>
    </row>
    <row r="222" spans="1:13" s="159" customFormat="1" x14ac:dyDescent="0.25">
      <c r="A222" s="526"/>
      <c r="B222" s="517"/>
      <c r="C222" s="251" t="s">
        <v>252</v>
      </c>
      <c r="D222" s="233">
        <v>710729</v>
      </c>
      <c r="E222" s="516"/>
      <c r="F222" s="233">
        <v>1816256</v>
      </c>
      <c r="G222" s="234">
        <f t="shared" si="3"/>
        <v>39.131543130483806</v>
      </c>
      <c r="H222" s="540"/>
      <c r="I222" s="540"/>
      <c r="J222" s="543"/>
      <c r="K222" s="232"/>
      <c r="L222" s="516"/>
      <c r="M222" s="257"/>
    </row>
    <row r="223" spans="1:13" ht="15" customHeight="1" x14ac:dyDescent="0.25">
      <c r="A223" s="515" t="s">
        <v>144</v>
      </c>
      <c r="B223" s="251" t="s">
        <v>247</v>
      </c>
      <c r="C223" s="523" t="s">
        <v>140</v>
      </c>
      <c r="D223" s="233">
        <v>464055</v>
      </c>
      <c r="E223" s="516"/>
      <c r="F223" s="233">
        <v>1292040</v>
      </c>
      <c r="G223" s="237">
        <v>35.9</v>
      </c>
      <c r="H223" s="528">
        <f>D223+D224</f>
        <v>1538437</v>
      </c>
      <c r="I223" s="528">
        <f>F223+F224</f>
        <v>3880000</v>
      </c>
      <c r="J223" s="550">
        <f>(H223/I223)*100</f>
        <v>39.650438144329897</v>
      </c>
      <c r="K223" s="239"/>
      <c r="L223" s="516"/>
      <c r="M223" s="229"/>
    </row>
    <row r="224" spans="1:13" x14ac:dyDescent="0.25">
      <c r="A224" s="517"/>
      <c r="B224" s="251" t="s">
        <v>250</v>
      </c>
      <c r="C224" s="523"/>
      <c r="D224" s="233">
        <v>1074382</v>
      </c>
      <c r="E224" s="516"/>
      <c r="F224" s="233">
        <v>2587960</v>
      </c>
      <c r="G224" s="237">
        <v>41.5</v>
      </c>
      <c r="H224" s="529"/>
      <c r="I224" s="529"/>
      <c r="J224" s="551"/>
      <c r="K224" s="239"/>
      <c r="L224" s="516"/>
      <c r="M224" s="229"/>
    </row>
    <row r="225" spans="1:13" ht="15" customHeight="1" x14ac:dyDescent="0.25">
      <c r="A225" s="515" t="s">
        <v>145</v>
      </c>
      <c r="B225" s="251" t="s">
        <v>247</v>
      </c>
      <c r="C225" s="523"/>
      <c r="D225" s="233">
        <v>863713</v>
      </c>
      <c r="E225" s="516"/>
      <c r="F225" s="233">
        <v>1292040</v>
      </c>
      <c r="G225" s="237">
        <v>66.8</v>
      </c>
      <c r="H225" s="528">
        <f>D225+D226</f>
        <v>1793571</v>
      </c>
      <c r="I225" s="528">
        <f>F225+F226</f>
        <v>3880000</v>
      </c>
      <c r="J225" s="550">
        <f>(H225/I225)*100</f>
        <v>46.226056701030927</v>
      </c>
      <c r="K225" s="239"/>
      <c r="L225" s="516"/>
      <c r="M225" s="229"/>
    </row>
    <row r="226" spans="1:13" x14ac:dyDescent="0.25">
      <c r="A226" s="517"/>
      <c r="B226" s="251" t="s">
        <v>250</v>
      </c>
      <c r="C226" s="523"/>
      <c r="D226" s="233">
        <v>929858</v>
      </c>
      <c r="E226" s="516"/>
      <c r="F226" s="233">
        <v>2587960</v>
      </c>
      <c r="G226" s="237">
        <v>35.9</v>
      </c>
      <c r="H226" s="529"/>
      <c r="I226" s="529"/>
      <c r="J226" s="551"/>
      <c r="K226" s="239"/>
      <c r="L226" s="517"/>
      <c r="M226" s="229"/>
    </row>
    <row r="227" spans="1:13" ht="15" customHeight="1" x14ac:dyDescent="0.25">
      <c r="A227" s="251" t="s">
        <v>146</v>
      </c>
      <c r="B227" s="515" t="s">
        <v>253</v>
      </c>
      <c r="C227" s="523"/>
      <c r="D227" s="233"/>
      <c r="E227" s="516"/>
      <c r="F227" s="233"/>
      <c r="G227" s="237"/>
      <c r="H227" s="233">
        <v>1449434</v>
      </c>
      <c r="I227" s="233">
        <v>3880000</v>
      </c>
      <c r="J227" s="237">
        <v>37.4</v>
      </c>
      <c r="K227" s="239"/>
      <c r="L227" s="515" t="s">
        <v>229</v>
      </c>
      <c r="M227" s="229"/>
    </row>
    <row r="228" spans="1:13" ht="15" customHeight="1" x14ac:dyDescent="0.25">
      <c r="A228" s="251" t="s">
        <v>147</v>
      </c>
      <c r="B228" s="516"/>
      <c r="C228" s="523"/>
      <c r="D228" s="233"/>
      <c r="E228" s="516"/>
      <c r="F228" s="233"/>
      <c r="G228" s="237"/>
      <c r="H228" s="233">
        <v>1142835</v>
      </c>
      <c r="I228" s="233">
        <v>3880000</v>
      </c>
      <c r="J228" s="237">
        <v>29.5</v>
      </c>
      <c r="K228" s="239"/>
      <c r="L228" s="516"/>
      <c r="M228" s="229"/>
    </row>
    <row r="229" spans="1:13" ht="15" customHeight="1" x14ac:dyDescent="0.25">
      <c r="A229" s="251" t="s">
        <v>148</v>
      </c>
      <c r="B229" s="516"/>
      <c r="C229" s="523"/>
      <c r="D229" s="233"/>
      <c r="E229" s="516"/>
      <c r="F229" s="233"/>
      <c r="G229" s="237"/>
      <c r="H229" s="233">
        <v>1346333</v>
      </c>
      <c r="I229" s="233">
        <v>3880000</v>
      </c>
      <c r="J229" s="237">
        <v>34.700000000000003</v>
      </c>
      <c r="K229" s="239"/>
      <c r="L229" s="516"/>
      <c r="M229" s="229"/>
    </row>
    <row r="230" spans="1:13" ht="15" customHeight="1" x14ac:dyDescent="0.25">
      <c r="A230" s="251" t="s">
        <v>164</v>
      </c>
      <c r="B230" s="516"/>
      <c r="C230" s="523"/>
      <c r="D230" s="233"/>
      <c r="E230" s="516"/>
      <c r="F230" s="233"/>
      <c r="G230" s="237"/>
      <c r="H230" s="233">
        <v>2051937</v>
      </c>
      <c r="I230" s="233">
        <v>3880000</v>
      </c>
      <c r="J230" s="237">
        <v>52.9</v>
      </c>
      <c r="K230" s="239"/>
      <c r="L230" s="516"/>
      <c r="M230" s="229"/>
    </row>
    <row r="231" spans="1:13" ht="15" customHeight="1" x14ac:dyDescent="0.25">
      <c r="A231" s="251" t="s">
        <v>165</v>
      </c>
      <c r="B231" s="516"/>
      <c r="C231" s="523"/>
      <c r="D231" s="233"/>
      <c r="E231" s="516"/>
      <c r="F231" s="233"/>
      <c r="G231" s="237"/>
      <c r="H231" s="233">
        <v>3402353</v>
      </c>
      <c r="I231" s="233">
        <v>3710000</v>
      </c>
      <c r="J231" s="237">
        <v>91.7</v>
      </c>
      <c r="K231" s="239"/>
      <c r="L231" s="516"/>
      <c r="M231" s="229"/>
    </row>
    <row r="232" spans="1:13" ht="15" customHeight="1" x14ac:dyDescent="0.25">
      <c r="A232" s="251" t="s">
        <v>222</v>
      </c>
      <c r="B232" s="516"/>
      <c r="C232" s="523"/>
      <c r="D232" s="233"/>
      <c r="E232" s="516"/>
      <c r="F232" s="233"/>
      <c r="G232" s="237"/>
      <c r="H232" s="233">
        <v>3560920</v>
      </c>
      <c r="I232" s="233">
        <v>3710000</v>
      </c>
      <c r="J232" s="237">
        <v>96</v>
      </c>
      <c r="K232" s="239"/>
      <c r="L232" s="516"/>
      <c r="M232" s="229"/>
    </row>
    <row r="233" spans="1:13" ht="15" customHeight="1" x14ac:dyDescent="0.25">
      <c r="A233" s="251" t="s">
        <v>223</v>
      </c>
      <c r="B233" s="516"/>
      <c r="C233" s="523"/>
      <c r="D233" s="233"/>
      <c r="E233" s="516"/>
      <c r="F233" s="233"/>
      <c r="G233" s="237"/>
      <c r="H233" s="233">
        <v>3105430</v>
      </c>
      <c r="I233" s="233">
        <v>3710000</v>
      </c>
      <c r="J233" s="237">
        <v>83.7</v>
      </c>
      <c r="K233" s="239"/>
      <c r="L233" s="516"/>
      <c r="M233" s="229"/>
    </row>
    <row r="234" spans="1:13" ht="15" customHeight="1" x14ac:dyDescent="0.25">
      <c r="A234" s="251" t="s">
        <v>224</v>
      </c>
      <c r="B234" s="516"/>
      <c r="C234" s="523"/>
      <c r="D234" s="233"/>
      <c r="E234" s="516"/>
      <c r="F234" s="233"/>
      <c r="G234" s="237"/>
      <c r="H234" s="233">
        <v>2657098</v>
      </c>
      <c r="I234" s="233">
        <v>3710000</v>
      </c>
      <c r="J234" s="237">
        <v>71.599999999999994</v>
      </c>
      <c r="K234" s="239"/>
      <c r="L234" s="516"/>
      <c r="M234" s="229"/>
    </row>
    <row r="235" spans="1:13" ht="15" customHeight="1" x14ac:dyDescent="0.25">
      <c r="A235" s="251" t="s">
        <v>254</v>
      </c>
      <c r="B235" s="516"/>
      <c r="C235" s="523"/>
      <c r="D235" s="233"/>
      <c r="E235" s="516"/>
      <c r="F235" s="233"/>
      <c r="G235" s="237"/>
      <c r="H235" s="233">
        <v>2992068</v>
      </c>
      <c r="I235" s="233">
        <v>3710000</v>
      </c>
      <c r="J235" s="237">
        <v>80.599999999999994</v>
      </c>
      <c r="K235" s="239"/>
      <c r="L235" s="516"/>
      <c r="M235" s="229"/>
    </row>
    <row r="236" spans="1:13" ht="15" customHeight="1" x14ac:dyDescent="0.25">
      <c r="A236" s="251" t="s">
        <v>255</v>
      </c>
      <c r="B236" s="516"/>
      <c r="C236" s="523"/>
      <c r="D236" s="233"/>
      <c r="E236" s="516"/>
      <c r="F236" s="233"/>
      <c r="G236" s="237"/>
      <c r="H236" s="233">
        <v>2242996</v>
      </c>
      <c r="I236" s="233">
        <v>3710000</v>
      </c>
      <c r="J236" s="237">
        <v>60.5</v>
      </c>
      <c r="K236" s="239"/>
      <c r="L236" s="516"/>
      <c r="M236" s="229"/>
    </row>
    <row r="237" spans="1:13" ht="15" customHeight="1" x14ac:dyDescent="0.25">
      <c r="A237" s="251" t="s">
        <v>256</v>
      </c>
      <c r="B237" s="516"/>
      <c r="C237" s="515" t="s">
        <v>161</v>
      </c>
      <c r="D237" s="233"/>
      <c r="E237" s="516"/>
      <c r="F237" s="233"/>
      <c r="G237" s="237"/>
      <c r="H237" s="233">
        <v>2815738</v>
      </c>
      <c r="I237" s="233">
        <v>3710000</v>
      </c>
      <c r="J237" s="237">
        <v>75.900000000000006</v>
      </c>
      <c r="K237" s="239"/>
      <c r="L237" s="516"/>
      <c r="M237" s="229"/>
    </row>
    <row r="238" spans="1:13" ht="15" customHeight="1" x14ac:dyDescent="0.25">
      <c r="A238" s="251" t="s">
        <v>257</v>
      </c>
      <c r="B238" s="516"/>
      <c r="C238" s="516"/>
      <c r="D238" s="233"/>
      <c r="E238" s="516"/>
      <c r="F238" s="233"/>
      <c r="G238" s="237"/>
      <c r="H238" s="233">
        <v>1722493</v>
      </c>
      <c r="I238" s="233">
        <v>3710000</v>
      </c>
      <c r="J238" s="237">
        <v>46.4</v>
      </c>
      <c r="K238" s="239"/>
      <c r="L238" s="516"/>
      <c r="M238" s="229"/>
    </row>
    <row r="239" spans="1:13" ht="15" customHeight="1" x14ac:dyDescent="0.25">
      <c r="A239" s="251" t="s">
        <v>258</v>
      </c>
      <c r="B239" s="516"/>
      <c r="C239" s="516"/>
      <c r="D239" s="233"/>
      <c r="E239" s="516"/>
      <c r="F239" s="233"/>
      <c r="G239" s="237"/>
      <c r="H239" s="233">
        <v>1735775</v>
      </c>
      <c r="I239" s="233">
        <v>3710000</v>
      </c>
      <c r="J239" s="237">
        <v>46.8</v>
      </c>
      <c r="K239" s="239"/>
      <c r="L239" s="516"/>
      <c r="M239" s="229"/>
    </row>
    <row r="240" spans="1:13" ht="16.5" customHeight="1" x14ac:dyDescent="0.25">
      <c r="A240" s="251" t="s">
        <v>259</v>
      </c>
      <c r="B240" s="516"/>
      <c r="C240" s="516"/>
      <c r="D240" s="233"/>
      <c r="E240" s="516"/>
      <c r="F240" s="233"/>
      <c r="G240" s="237"/>
      <c r="H240" s="233">
        <v>2014433</v>
      </c>
      <c r="I240" s="233">
        <v>3710000</v>
      </c>
      <c r="J240" s="237">
        <v>54.3</v>
      </c>
      <c r="K240" s="239"/>
      <c r="L240" s="516"/>
      <c r="M240" s="229"/>
    </row>
    <row r="241" spans="1:13" ht="15" customHeight="1" x14ac:dyDescent="0.25">
      <c r="A241" s="251" t="s">
        <v>260</v>
      </c>
      <c r="B241" s="517"/>
      <c r="C241" s="517"/>
      <c r="D241" s="233"/>
      <c r="E241" s="517"/>
      <c r="F241" s="233"/>
      <c r="G241" s="237"/>
      <c r="H241" s="233">
        <v>2094829</v>
      </c>
      <c r="I241" s="233">
        <v>3710000</v>
      </c>
      <c r="J241" s="237">
        <v>56.5</v>
      </c>
      <c r="K241" s="239"/>
      <c r="L241" s="517"/>
      <c r="M241" s="229"/>
    </row>
    <row r="242" spans="1:13" ht="15" customHeight="1" x14ac:dyDescent="0.25">
      <c r="A242" s="547" t="s">
        <v>261</v>
      </c>
      <c r="B242" s="548"/>
      <c r="C242" s="548"/>
      <c r="D242" s="548"/>
      <c r="E242" s="548"/>
      <c r="F242" s="548"/>
      <c r="G242" s="548"/>
      <c r="H242" s="548"/>
      <c r="I242" s="548"/>
      <c r="J242" s="548"/>
      <c r="K242" s="548"/>
      <c r="L242" s="549"/>
      <c r="M242" s="229"/>
    </row>
    <row r="243" spans="1:13" x14ac:dyDescent="0.25">
      <c r="A243" s="270"/>
      <c r="B243" s="270"/>
      <c r="C243" s="270"/>
      <c r="D243" s="270"/>
      <c r="E243" s="270"/>
      <c r="F243" s="255"/>
      <c r="G243" s="255"/>
      <c r="H243" s="255"/>
      <c r="I243" s="255"/>
      <c r="J243" s="229"/>
    </row>
    <row r="244" spans="1:13" ht="15" customHeight="1" x14ac:dyDescent="0.25">
      <c r="A244" s="502" t="s">
        <v>149</v>
      </c>
      <c r="B244" s="503"/>
      <c r="C244" s="503"/>
      <c r="D244" s="503"/>
      <c r="E244" s="503"/>
      <c r="F244" s="503"/>
      <c r="G244" s="503"/>
      <c r="H244" s="503"/>
      <c r="I244" s="503"/>
      <c r="J244" s="229"/>
    </row>
    <row r="245" spans="1:13" ht="30" customHeight="1" x14ac:dyDescent="0.25">
      <c r="A245" s="231" t="s">
        <v>20</v>
      </c>
      <c r="B245" s="504" t="s">
        <v>128</v>
      </c>
      <c r="C245" s="505"/>
      <c r="D245" s="231" t="s">
        <v>129</v>
      </c>
      <c r="E245" s="231" t="s">
        <v>130</v>
      </c>
      <c r="F245" s="231" t="s">
        <v>131</v>
      </c>
      <c r="G245" s="231" t="s">
        <v>169</v>
      </c>
      <c r="H245" s="231" t="s">
        <v>133</v>
      </c>
      <c r="I245" s="231" t="s">
        <v>134</v>
      </c>
      <c r="J245" s="229"/>
    </row>
    <row r="246" spans="1:13" x14ac:dyDescent="0.25">
      <c r="A246" s="232">
        <v>2019</v>
      </c>
      <c r="B246" s="506" t="s">
        <v>136</v>
      </c>
      <c r="C246" s="509"/>
      <c r="D246" s="233">
        <v>57829</v>
      </c>
      <c r="E246" s="515" t="s">
        <v>137</v>
      </c>
      <c r="F246" s="233">
        <v>107981</v>
      </c>
      <c r="G246" s="234">
        <f>(D246/F246)*100</f>
        <v>53.554792046748965</v>
      </c>
      <c r="H246" s="232"/>
      <c r="I246" s="235"/>
      <c r="J246" s="229"/>
    </row>
    <row r="247" spans="1:13" x14ac:dyDescent="0.25">
      <c r="A247" s="232">
        <v>2018</v>
      </c>
      <c r="B247" s="507"/>
      <c r="C247" s="510"/>
      <c r="D247" s="233">
        <v>80180</v>
      </c>
      <c r="E247" s="516"/>
      <c r="F247" s="233">
        <v>104231</v>
      </c>
      <c r="G247" s="234">
        <f>(D247/F247)*100</f>
        <v>76.925290940315264</v>
      </c>
      <c r="H247" s="232"/>
      <c r="I247" s="235"/>
      <c r="J247" s="229"/>
    </row>
    <row r="248" spans="1:13" ht="15" customHeight="1" x14ac:dyDescent="0.25">
      <c r="A248" s="236">
        <v>2017</v>
      </c>
      <c r="B248" s="507"/>
      <c r="C248" s="510"/>
      <c r="D248" s="233">
        <v>66774</v>
      </c>
      <c r="E248" s="516"/>
      <c r="F248" s="233">
        <v>157743</v>
      </c>
      <c r="G248" s="237">
        <v>42.3</v>
      </c>
      <c r="H248" s="239"/>
      <c r="I248" s="515" t="s">
        <v>229</v>
      </c>
      <c r="J248" s="229"/>
    </row>
    <row r="249" spans="1:13" x14ac:dyDescent="0.25">
      <c r="A249" s="236">
        <v>2016</v>
      </c>
      <c r="B249" s="507"/>
      <c r="C249" s="510"/>
      <c r="D249" s="233">
        <v>73057</v>
      </c>
      <c r="E249" s="516"/>
      <c r="F249" s="233">
        <v>157743</v>
      </c>
      <c r="G249" s="237">
        <v>46.3</v>
      </c>
      <c r="H249" s="239"/>
      <c r="I249" s="516"/>
      <c r="J249" s="229"/>
    </row>
    <row r="250" spans="1:13" x14ac:dyDescent="0.25">
      <c r="A250" s="236">
        <v>2015</v>
      </c>
      <c r="B250" s="507"/>
      <c r="C250" s="510"/>
      <c r="D250" s="233">
        <v>101095</v>
      </c>
      <c r="E250" s="516"/>
      <c r="F250" s="233">
        <v>157743</v>
      </c>
      <c r="G250" s="237">
        <v>64.099999999999994</v>
      </c>
      <c r="H250" s="239"/>
      <c r="I250" s="516"/>
      <c r="J250" s="229"/>
    </row>
    <row r="251" spans="1:13" ht="15" customHeight="1" x14ac:dyDescent="0.25">
      <c r="A251" s="236">
        <v>2014</v>
      </c>
      <c r="B251" s="507"/>
      <c r="C251" s="510"/>
      <c r="D251" s="233">
        <v>99597</v>
      </c>
      <c r="E251" s="516"/>
      <c r="F251" s="233">
        <v>157743</v>
      </c>
      <c r="G251" s="237">
        <v>63.1</v>
      </c>
      <c r="H251" s="239"/>
      <c r="I251" s="516"/>
      <c r="J251" s="229"/>
    </row>
    <row r="252" spans="1:13" ht="16.5" customHeight="1" x14ac:dyDescent="0.25">
      <c r="A252" s="236">
        <v>2013</v>
      </c>
      <c r="B252" s="507"/>
      <c r="C252" s="510"/>
      <c r="D252" s="233">
        <v>74900</v>
      </c>
      <c r="E252" s="516"/>
      <c r="F252" s="233">
        <v>157743</v>
      </c>
      <c r="G252" s="237">
        <v>47.5</v>
      </c>
      <c r="H252" s="239"/>
      <c r="I252" s="516"/>
      <c r="J252" s="229"/>
    </row>
    <row r="253" spans="1:13" ht="15" customHeight="1" x14ac:dyDescent="0.25">
      <c r="A253" s="236">
        <v>2012</v>
      </c>
      <c r="B253" s="508"/>
      <c r="C253" s="511"/>
      <c r="D253" s="233">
        <v>77122</v>
      </c>
      <c r="E253" s="517"/>
      <c r="F253" s="233">
        <v>157743</v>
      </c>
      <c r="G253" s="237">
        <v>48.9</v>
      </c>
      <c r="H253" s="239"/>
      <c r="I253" s="517"/>
      <c r="J253" s="229"/>
    </row>
    <row r="254" spans="1:13" x14ac:dyDescent="0.25">
      <c r="A254" s="270"/>
      <c r="B254" s="270"/>
      <c r="C254" s="270"/>
      <c r="D254" s="270"/>
      <c r="E254" s="270"/>
      <c r="F254" s="255"/>
      <c r="G254" s="255"/>
      <c r="H254" s="255"/>
      <c r="I254" s="255"/>
      <c r="J254" s="229"/>
    </row>
    <row r="255" spans="1:13" x14ac:dyDescent="0.25">
      <c r="A255" s="520" t="s">
        <v>151</v>
      </c>
      <c r="B255" s="521"/>
      <c r="C255" s="521"/>
      <c r="D255" s="521"/>
      <c r="E255" s="521"/>
      <c r="F255" s="521"/>
      <c r="G255" s="521"/>
      <c r="H255" s="521"/>
      <c r="I255" s="521"/>
      <c r="J255" s="229"/>
    </row>
    <row r="256" spans="1:13" ht="15" customHeight="1" x14ac:dyDescent="0.25">
      <c r="A256" s="520" t="s">
        <v>153</v>
      </c>
      <c r="B256" s="521"/>
      <c r="C256" s="521"/>
      <c r="D256" s="521"/>
      <c r="E256" s="521"/>
      <c r="F256" s="521"/>
      <c r="G256" s="521"/>
      <c r="H256" s="521"/>
      <c r="I256" s="521"/>
      <c r="J256" s="229"/>
    </row>
    <row r="257" spans="1:11" ht="30" customHeight="1" x14ac:dyDescent="0.25">
      <c r="A257" s="271" t="s">
        <v>20</v>
      </c>
      <c r="B257" s="502" t="s">
        <v>128</v>
      </c>
      <c r="C257" s="552"/>
      <c r="D257" s="271" t="s">
        <v>129</v>
      </c>
      <c r="E257" s="271" t="s">
        <v>130</v>
      </c>
      <c r="F257" s="272" t="s">
        <v>131</v>
      </c>
      <c r="G257" s="272" t="s">
        <v>169</v>
      </c>
      <c r="H257" s="272" t="s">
        <v>133</v>
      </c>
      <c r="I257" s="271" t="s">
        <v>134</v>
      </c>
      <c r="J257" s="229"/>
    </row>
    <row r="258" spans="1:11" x14ac:dyDescent="0.25">
      <c r="A258" s="232">
        <v>2019</v>
      </c>
      <c r="B258" s="523" t="s">
        <v>136</v>
      </c>
      <c r="C258" s="523"/>
      <c r="D258" s="233">
        <v>15024</v>
      </c>
      <c r="E258" s="523" t="s">
        <v>137</v>
      </c>
      <c r="F258" s="233">
        <v>36348</v>
      </c>
      <c r="G258" s="234">
        <f>(D258/F258)*100</f>
        <v>41.333773522614727</v>
      </c>
      <c r="H258" s="232"/>
      <c r="I258" s="232"/>
      <c r="J258" s="229"/>
    </row>
    <row r="259" spans="1:11" x14ac:dyDescent="0.25">
      <c r="A259" s="232">
        <v>2018</v>
      </c>
      <c r="B259" s="523"/>
      <c r="C259" s="523"/>
      <c r="D259" s="233">
        <v>14661</v>
      </c>
      <c r="E259" s="523"/>
      <c r="F259" s="233">
        <v>36348</v>
      </c>
      <c r="G259" s="234">
        <f>(D259/F259)*100</f>
        <v>40.335094090458895</v>
      </c>
      <c r="H259" s="232"/>
      <c r="I259" s="232"/>
      <c r="J259" s="229"/>
    </row>
    <row r="260" spans="1:11" ht="15" customHeight="1" x14ac:dyDescent="0.25">
      <c r="A260" s="236">
        <v>2017</v>
      </c>
      <c r="B260" s="523"/>
      <c r="C260" s="523"/>
      <c r="D260" s="233">
        <v>32054</v>
      </c>
      <c r="E260" s="523"/>
      <c r="F260" s="233">
        <v>36348</v>
      </c>
      <c r="G260" s="237">
        <v>88.2</v>
      </c>
      <c r="H260" s="239"/>
      <c r="I260" s="523" t="s">
        <v>229</v>
      </c>
      <c r="J260" s="229"/>
    </row>
    <row r="261" spans="1:11" ht="15" customHeight="1" x14ac:dyDescent="0.25">
      <c r="A261" s="236">
        <v>2016</v>
      </c>
      <c r="B261" s="523"/>
      <c r="C261" s="523"/>
      <c r="D261" s="233">
        <v>23857</v>
      </c>
      <c r="E261" s="523"/>
      <c r="F261" s="233">
        <v>36348</v>
      </c>
      <c r="G261" s="237">
        <v>65.599999999999994</v>
      </c>
      <c r="H261" s="239"/>
      <c r="I261" s="523"/>
      <c r="J261" s="229"/>
    </row>
    <row r="262" spans="1:11" ht="16.5" customHeight="1" x14ac:dyDescent="0.25">
      <c r="A262" s="236">
        <v>2015</v>
      </c>
      <c r="B262" s="523"/>
      <c r="C262" s="523"/>
      <c r="D262" s="233">
        <v>22641</v>
      </c>
      <c r="E262" s="523"/>
      <c r="F262" s="233">
        <v>36348</v>
      </c>
      <c r="G262" s="237">
        <v>62.3</v>
      </c>
      <c r="H262" s="239"/>
      <c r="I262" s="523"/>
      <c r="J262" s="229"/>
    </row>
    <row r="263" spans="1:11" ht="15" customHeight="1" x14ac:dyDescent="0.25">
      <c r="A263" s="236">
        <v>2014</v>
      </c>
      <c r="B263" s="523"/>
      <c r="C263" s="523"/>
      <c r="D263" s="233">
        <v>39743</v>
      </c>
      <c r="E263" s="523"/>
      <c r="F263" s="233">
        <v>36348</v>
      </c>
      <c r="G263" s="237">
        <v>109.3</v>
      </c>
      <c r="H263" s="252">
        <v>41982</v>
      </c>
      <c r="I263" s="523"/>
      <c r="J263" s="229"/>
    </row>
    <row r="264" spans="1:11" x14ac:dyDescent="0.25">
      <c r="A264" s="236">
        <v>2013</v>
      </c>
      <c r="B264" s="523"/>
      <c r="C264" s="523"/>
      <c r="D264" s="233">
        <v>30770</v>
      </c>
      <c r="E264" s="523"/>
      <c r="F264" s="233">
        <v>36348</v>
      </c>
      <c r="G264" s="237">
        <v>84.7</v>
      </c>
      <c r="H264" s="239"/>
      <c r="I264" s="523"/>
      <c r="J264" s="229"/>
    </row>
    <row r="265" spans="1:11" x14ac:dyDescent="0.25">
      <c r="A265" s="236">
        <v>2012</v>
      </c>
      <c r="B265" s="523"/>
      <c r="C265" s="523"/>
      <c r="D265" s="233">
        <v>29711</v>
      </c>
      <c r="E265" s="523"/>
      <c r="F265" s="233">
        <v>35129</v>
      </c>
      <c r="G265" s="237">
        <v>84.6</v>
      </c>
      <c r="H265" s="252">
        <v>41160</v>
      </c>
      <c r="I265" s="523"/>
      <c r="J265" s="229"/>
    </row>
    <row r="266" spans="1:11" x14ac:dyDescent="0.25">
      <c r="A266" s="273"/>
      <c r="B266" s="264"/>
      <c r="C266" s="264"/>
      <c r="D266" s="274"/>
      <c r="E266" s="264"/>
      <c r="F266" s="275"/>
      <c r="G266" s="276"/>
      <c r="H266" s="277"/>
      <c r="I266" s="265"/>
      <c r="J266" s="229"/>
    </row>
    <row r="267" spans="1:11" ht="15" customHeight="1" x14ac:dyDescent="0.25">
      <c r="A267" s="502" t="s">
        <v>156</v>
      </c>
      <c r="B267" s="503"/>
      <c r="C267" s="503"/>
      <c r="D267" s="503"/>
      <c r="E267" s="503"/>
      <c r="F267" s="503"/>
      <c r="G267" s="503"/>
      <c r="H267" s="503"/>
      <c r="I267" s="503"/>
      <c r="K267" s="249"/>
    </row>
    <row r="268" spans="1:11" ht="30" customHeight="1" x14ac:dyDescent="0.25">
      <c r="A268" s="231" t="s">
        <v>20</v>
      </c>
      <c r="B268" s="231" t="s">
        <v>128</v>
      </c>
      <c r="C268" s="231" t="s">
        <v>152</v>
      </c>
      <c r="D268" s="231" t="s">
        <v>129</v>
      </c>
      <c r="E268" s="231" t="s">
        <v>130</v>
      </c>
      <c r="F268" s="231" t="s">
        <v>131</v>
      </c>
      <c r="G268" s="231" t="s">
        <v>169</v>
      </c>
      <c r="H268" s="231" t="s">
        <v>133</v>
      </c>
      <c r="I268" s="231" t="s">
        <v>134</v>
      </c>
      <c r="K268" s="249"/>
    </row>
    <row r="269" spans="1:11" x14ac:dyDescent="0.25">
      <c r="A269" s="232">
        <v>2019</v>
      </c>
      <c r="B269" s="515" t="s">
        <v>136</v>
      </c>
      <c r="C269" s="515" t="s">
        <v>154</v>
      </c>
      <c r="D269" s="233">
        <v>25694</v>
      </c>
      <c r="E269" s="515" t="s">
        <v>137</v>
      </c>
      <c r="F269" s="233">
        <v>66000</v>
      </c>
      <c r="G269" s="234">
        <f>(D269/F269)*100</f>
        <v>38.93030303030303</v>
      </c>
      <c r="H269" s="232"/>
      <c r="I269" s="232"/>
      <c r="K269" s="249"/>
    </row>
    <row r="270" spans="1:11" x14ac:dyDescent="0.25">
      <c r="A270" s="232">
        <v>2018</v>
      </c>
      <c r="B270" s="516"/>
      <c r="C270" s="516"/>
      <c r="D270" s="233">
        <v>41601</v>
      </c>
      <c r="E270" s="516"/>
      <c r="F270" s="233">
        <v>61160</v>
      </c>
      <c r="G270" s="234">
        <f>(D270/F270)*100</f>
        <v>68.019947678221058</v>
      </c>
      <c r="H270" s="232"/>
      <c r="I270" s="232"/>
      <c r="K270" s="249"/>
    </row>
    <row r="271" spans="1:11" ht="15" customHeight="1" x14ac:dyDescent="0.25">
      <c r="A271" s="236">
        <v>2017</v>
      </c>
      <c r="B271" s="516"/>
      <c r="C271" s="516"/>
      <c r="D271" s="233">
        <v>44813</v>
      </c>
      <c r="E271" s="516"/>
      <c r="F271" s="233">
        <v>343200</v>
      </c>
      <c r="G271" s="237">
        <v>13.1</v>
      </c>
      <c r="H271" s="239"/>
      <c r="I271" s="523" t="s">
        <v>229</v>
      </c>
      <c r="K271" s="249"/>
    </row>
    <row r="272" spans="1:11" x14ac:dyDescent="0.25">
      <c r="A272" s="236">
        <v>2016</v>
      </c>
      <c r="B272" s="516"/>
      <c r="C272" s="516"/>
      <c r="D272" s="233">
        <v>52770</v>
      </c>
      <c r="E272" s="516"/>
      <c r="F272" s="233">
        <v>343200</v>
      </c>
      <c r="G272" s="237">
        <v>15.4</v>
      </c>
      <c r="H272" s="239"/>
      <c r="I272" s="523"/>
      <c r="K272" s="249"/>
    </row>
    <row r="273" spans="1:11" x14ac:dyDescent="0.25">
      <c r="A273" s="236">
        <v>2015</v>
      </c>
      <c r="B273" s="516"/>
      <c r="C273" s="516"/>
      <c r="D273" s="233">
        <v>97717</v>
      </c>
      <c r="E273" s="516"/>
      <c r="F273" s="233">
        <v>343200</v>
      </c>
      <c r="G273" s="237">
        <v>28.5</v>
      </c>
      <c r="H273" s="239"/>
      <c r="I273" s="523"/>
      <c r="K273" s="249"/>
    </row>
    <row r="274" spans="1:11" ht="16.5" customHeight="1" x14ac:dyDescent="0.25">
      <c r="A274" s="236">
        <v>2014</v>
      </c>
      <c r="B274" s="516"/>
      <c r="C274" s="516"/>
      <c r="D274" s="233">
        <v>133855</v>
      </c>
      <c r="E274" s="516"/>
      <c r="F274" s="233">
        <v>343200</v>
      </c>
      <c r="G274" s="237">
        <v>39</v>
      </c>
      <c r="H274" s="239"/>
      <c r="I274" s="523"/>
      <c r="K274" s="249"/>
    </row>
    <row r="275" spans="1:11" ht="15" customHeight="1" x14ac:dyDescent="0.25">
      <c r="A275" s="236">
        <v>2013</v>
      </c>
      <c r="B275" s="516"/>
      <c r="C275" s="516"/>
      <c r="D275" s="233">
        <v>120222</v>
      </c>
      <c r="E275" s="516"/>
      <c r="F275" s="233">
        <v>315920</v>
      </c>
      <c r="G275" s="237">
        <v>38.1</v>
      </c>
      <c r="H275" s="239"/>
      <c r="I275" s="523"/>
      <c r="K275" s="249"/>
    </row>
    <row r="276" spans="1:11" ht="30" x14ac:dyDescent="0.25">
      <c r="A276" s="236">
        <v>2012</v>
      </c>
      <c r="B276" s="517"/>
      <c r="C276" s="517"/>
      <c r="D276" s="233">
        <v>157499</v>
      </c>
      <c r="E276" s="517"/>
      <c r="F276" s="233">
        <v>284680</v>
      </c>
      <c r="G276" s="237">
        <v>55.3</v>
      </c>
      <c r="H276" s="251" t="s">
        <v>218</v>
      </c>
      <c r="I276" s="523"/>
      <c r="K276" s="249"/>
    </row>
    <row r="277" spans="1:11" x14ac:dyDescent="0.25">
      <c r="A277" s="270"/>
      <c r="B277" s="270"/>
      <c r="C277" s="270"/>
      <c r="D277" s="270"/>
      <c r="E277" s="270"/>
      <c r="F277" s="255"/>
      <c r="G277" s="255"/>
      <c r="H277" s="255"/>
      <c r="I277" s="255"/>
      <c r="J277" s="229"/>
    </row>
    <row r="278" spans="1:11" ht="15" customHeight="1" x14ac:dyDescent="0.25">
      <c r="A278" s="502" t="s">
        <v>162</v>
      </c>
      <c r="B278" s="503"/>
      <c r="C278" s="503"/>
      <c r="D278" s="503"/>
      <c r="E278" s="503"/>
      <c r="F278" s="503"/>
      <c r="G278" s="503"/>
      <c r="H278" s="503"/>
      <c r="I278" s="503"/>
      <c r="K278" s="249"/>
    </row>
    <row r="279" spans="1:11" ht="30" customHeight="1" x14ac:dyDescent="0.25">
      <c r="A279" s="231" t="s">
        <v>20</v>
      </c>
      <c r="B279" s="231" t="s">
        <v>128</v>
      </c>
      <c r="C279" s="231" t="s">
        <v>152</v>
      </c>
      <c r="D279" s="231" t="s">
        <v>129</v>
      </c>
      <c r="E279" s="231" t="s">
        <v>130</v>
      </c>
      <c r="F279" s="231" t="s">
        <v>131</v>
      </c>
      <c r="G279" s="231" t="s">
        <v>169</v>
      </c>
      <c r="H279" s="231" t="s">
        <v>133</v>
      </c>
      <c r="I279" s="231" t="s">
        <v>134</v>
      </c>
      <c r="K279" s="249"/>
    </row>
    <row r="280" spans="1:11" x14ac:dyDescent="0.25">
      <c r="A280" s="232">
        <v>2019</v>
      </c>
      <c r="B280" s="515" t="s">
        <v>136</v>
      </c>
      <c r="C280" s="515" t="s">
        <v>262</v>
      </c>
      <c r="D280" s="233">
        <v>57763</v>
      </c>
      <c r="E280" s="515" t="s">
        <v>137</v>
      </c>
      <c r="F280" s="233">
        <v>164000</v>
      </c>
      <c r="G280" s="234">
        <f>(D280/F280)*100</f>
        <v>35.221341463414632</v>
      </c>
      <c r="H280" s="232"/>
      <c r="I280" s="232"/>
      <c r="K280" s="249"/>
    </row>
    <row r="281" spans="1:11" x14ac:dyDescent="0.25">
      <c r="A281" s="232">
        <v>2018</v>
      </c>
      <c r="B281" s="516"/>
      <c r="C281" s="516"/>
      <c r="D281" s="233">
        <v>114724</v>
      </c>
      <c r="E281" s="516"/>
      <c r="F281" s="233">
        <v>164000</v>
      </c>
      <c r="G281" s="234">
        <f>(D281/F281)*100</f>
        <v>69.953658536585365</v>
      </c>
      <c r="H281" s="232"/>
      <c r="I281" s="232"/>
      <c r="K281" s="249"/>
    </row>
    <row r="282" spans="1:11" ht="15" customHeight="1" x14ac:dyDescent="0.25">
      <c r="A282" s="236">
        <v>2017</v>
      </c>
      <c r="B282" s="516"/>
      <c r="C282" s="516"/>
      <c r="D282" s="233">
        <v>126412</v>
      </c>
      <c r="E282" s="516"/>
      <c r="F282" s="233">
        <v>164000</v>
      </c>
      <c r="G282" s="237">
        <v>77.099999999999994</v>
      </c>
      <c r="H282" s="239"/>
      <c r="I282" s="523" t="s">
        <v>229</v>
      </c>
      <c r="K282" s="249"/>
    </row>
    <row r="283" spans="1:11" x14ac:dyDescent="0.25">
      <c r="A283" s="236">
        <v>2016</v>
      </c>
      <c r="B283" s="516"/>
      <c r="C283" s="516"/>
      <c r="D283" s="233">
        <v>120104</v>
      </c>
      <c r="E283" s="516"/>
      <c r="F283" s="233">
        <v>164000</v>
      </c>
      <c r="G283" s="237">
        <v>73.2</v>
      </c>
      <c r="H283" s="239"/>
      <c r="I283" s="523"/>
      <c r="K283" s="249"/>
    </row>
    <row r="284" spans="1:11" x14ac:dyDescent="0.25">
      <c r="A284" s="236">
        <v>2015</v>
      </c>
      <c r="B284" s="516"/>
      <c r="C284" s="516"/>
      <c r="D284" s="233">
        <v>145974</v>
      </c>
      <c r="E284" s="516"/>
      <c r="F284" s="233">
        <v>164000</v>
      </c>
      <c r="G284" s="237">
        <v>89</v>
      </c>
      <c r="H284" s="239"/>
      <c r="I284" s="523"/>
      <c r="K284" s="249"/>
    </row>
    <row r="285" spans="1:11" x14ac:dyDescent="0.25">
      <c r="A285" s="236">
        <v>2014</v>
      </c>
      <c r="B285" s="516"/>
      <c r="C285" s="516"/>
      <c r="D285" s="233">
        <v>155558</v>
      </c>
      <c r="E285" s="517"/>
      <c r="F285" s="233">
        <v>154500</v>
      </c>
      <c r="G285" s="237">
        <v>100.7</v>
      </c>
      <c r="H285" s="239"/>
      <c r="I285" s="523"/>
      <c r="K285" s="249"/>
    </row>
    <row r="286" spans="1:11" x14ac:dyDescent="0.25">
      <c r="A286" s="236">
        <v>2013</v>
      </c>
      <c r="B286" s="516"/>
      <c r="C286" s="516"/>
      <c r="D286" s="233">
        <v>164689</v>
      </c>
      <c r="E286" s="523" t="s">
        <v>158</v>
      </c>
      <c r="F286" s="233">
        <v>153000</v>
      </c>
      <c r="G286" s="237">
        <v>107.6</v>
      </c>
      <c r="H286" s="252">
        <v>41610</v>
      </c>
      <c r="I286" s="523"/>
      <c r="K286" s="249"/>
    </row>
    <row r="287" spans="1:11" x14ac:dyDescent="0.25">
      <c r="A287" s="236">
        <v>2012</v>
      </c>
      <c r="B287" s="516"/>
      <c r="C287" s="516"/>
      <c r="D287" s="233">
        <v>155667</v>
      </c>
      <c r="E287" s="523"/>
      <c r="F287" s="233">
        <v>190050</v>
      </c>
      <c r="G287" s="237">
        <v>81.900000000000006</v>
      </c>
      <c r="H287" s="239"/>
      <c r="I287" s="523"/>
      <c r="K287" s="249"/>
    </row>
    <row r="288" spans="1:11" x14ac:dyDescent="0.25">
      <c r="A288" s="236">
        <v>2011</v>
      </c>
      <c r="B288" s="516"/>
      <c r="C288" s="516"/>
      <c r="D288" s="233">
        <v>195046</v>
      </c>
      <c r="E288" s="523"/>
      <c r="F288" s="233">
        <v>190050</v>
      </c>
      <c r="G288" s="237">
        <v>102.6</v>
      </c>
      <c r="H288" s="239"/>
      <c r="I288" s="523"/>
      <c r="K288" s="249"/>
    </row>
    <row r="289" spans="1:11" x14ac:dyDescent="0.25">
      <c r="A289" s="236">
        <v>2010</v>
      </c>
      <c r="B289" s="516"/>
      <c r="C289" s="516"/>
      <c r="D289" s="233">
        <v>152743</v>
      </c>
      <c r="E289" s="523"/>
      <c r="F289" s="233">
        <v>190050</v>
      </c>
      <c r="G289" s="237">
        <v>80.400000000000006</v>
      </c>
      <c r="H289" s="239"/>
      <c r="I289" s="523"/>
      <c r="K289" s="249"/>
    </row>
    <row r="290" spans="1:11" x14ac:dyDescent="0.25">
      <c r="A290" s="236">
        <v>2009</v>
      </c>
      <c r="B290" s="516"/>
      <c r="C290" s="516"/>
      <c r="D290" s="233">
        <v>158219</v>
      </c>
      <c r="E290" s="523"/>
      <c r="F290" s="233">
        <v>190050</v>
      </c>
      <c r="G290" s="237">
        <v>83.3</v>
      </c>
      <c r="H290" s="239"/>
      <c r="I290" s="523"/>
      <c r="K290" s="249"/>
    </row>
    <row r="291" spans="1:11" x14ac:dyDescent="0.25">
      <c r="A291" s="236">
        <v>2008</v>
      </c>
      <c r="B291" s="516"/>
      <c r="C291" s="516"/>
      <c r="D291" s="233">
        <v>165365</v>
      </c>
      <c r="E291" s="523"/>
      <c r="F291" s="233">
        <v>127000</v>
      </c>
      <c r="G291" s="237">
        <v>130.19999999999999</v>
      </c>
      <c r="H291" s="239"/>
      <c r="I291" s="523"/>
      <c r="K291" s="249"/>
    </row>
    <row r="292" spans="1:11" ht="15" customHeight="1" x14ac:dyDescent="0.25">
      <c r="A292" s="236">
        <v>2007</v>
      </c>
      <c r="B292" s="516"/>
      <c r="C292" s="516"/>
      <c r="D292" s="233">
        <v>138737</v>
      </c>
      <c r="E292" s="523"/>
      <c r="F292" s="233">
        <v>127000</v>
      </c>
      <c r="G292" s="237">
        <v>109.2</v>
      </c>
      <c r="H292" s="239"/>
      <c r="I292" s="523"/>
      <c r="K292" s="249"/>
    </row>
    <row r="293" spans="1:11" ht="16.5" customHeight="1" x14ac:dyDescent="0.25">
      <c r="A293" s="236">
        <v>2006</v>
      </c>
      <c r="B293" s="516"/>
      <c r="C293" s="516"/>
      <c r="D293" s="233">
        <v>80619</v>
      </c>
      <c r="E293" s="523"/>
      <c r="F293" s="233">
        <v>127000</v>
      </c>
      <c r="G293" s="237">
        <v>63.5</v>
      </c>
      <c r="H293" s="239"/>
      <c r="I293" s="523"/>
      <c r="K293" s="249"/>
    </row>
    <row r="294" spans="1:11" ht="15" customHeight="1" x14ac:dyDescent="0.25">
      <c r="A294" s="236">
        <v>2005</v>
      </c>
      <c r="B294" s="516"/>
      <c r="C294" s="516"/>
      <c r="D294" s="233">
        <v>46821</v>
      </c>
      <c r="E294" s="523"/>
      <c r="F294" s="251" t="s">
        <v>263</v>
      </c>
      <c r="G294" s="239"/>
      <c r="H294" s="239"/>
      <c r="I294" s="523"/>
      <c r="K294" s="249"/>
    </row>
    <row r="295" spans="1:11" x14ac:dyDescent="0.25">
      <c r="A295" s="236">
        <v>2004</v>
      </c>
      <c r="B295" s="517"/>
      <c r="C295" s="517"/>
      <c r="D295" s="233">
        <v>47814</v>
      </c>
      <c r="E295" s="523"/>
      <c r="F295" s="251" t="s">
        <v>263</v>
      </c>
      <c r="G295" s="239"/>
      <c r="H295" s="239"/>
      <c r="I295" s="523"/>
      <c r="K295" s="249"/>
    </row>
    <row r="296" spans="1:11" x14ac:dyDescent="0.25">
      <c r="A296" s="270"/>
      <c r="B296" s="270"/>
      <c r="C296" s="270"/>
      <c r="D296" s="270"/>
      <c r="E296" s="270"/>
      <c r="F296" s="255"/>
      <c r="G296" s="255"/>
      <c r="H296" s="255"/>
      <c r="I296" s="255"/>
      <c r="J296" s="229"/>
    </row>
    <row r="297" spans="1:11" ht="15" customHeight="1" x14ac:dyDescent="0.25">
      <c r="A297" s="502" t="s">
        <v>168</v>
      </c>
      <c r="B297" s="503"/>
      <c r="C297" s="503"/>
      <c r="D297" s="503"/>
      <c r="E297" s="503"/>
      <c r="F297" s="503"/>
      <c r="G297" s="503"/>
      <c r="H297" s="503"/>
      <c r="I297" s="503"/>
      <c r="J297" s="229"/>
    </row>
    <row r="298" spans="1:11" ht="30" customHeight="1" x14ac:dyDescent="0.25">
      <c r="A298" s="231" t="s">
        <v>20</v>
      </c>
      <c r="B298" s="504" t="s">
        <v>128</v>
      </c>
      <c r="C298" s="505"/>
      <c r="D298" s="231" t="s">
        <v>129</v>
      </c>
      <c r="E298" s="231" t="s">
        <v>130</v>
      </c>
      <c r="F298" s="231" t="s">
        <v>131</v>
      </c>
      <c r="G298" s="231" t="s">
        <v>169</v>
      </c>
      <c r="H298" s="231" t="s">
        <v>133</v>
      </c>
      <c r="I298" s="231" t="s">
        <v>134</v>
      </c>
      <c r="J298" s="229"/>
    </row>
    <row r="299" spans="1:11" x14ac:dyDescent="0.25">
      <c r="A299" s="232" t="s">
        <v>264</v>
      </c>
      <c r="B299" s="506" t="s">
        <v>136</v>
      </c>
      <c r="C299" s="509"/>
      <c r="D299" s="233">
        <v>119326</v>
      </c>
      <c r="E299" s="515" t="s">
        <v>158</v>
      </c>
      <c r="F299" s="233">
        <v>124815</v>
      </c>
      <c r="G299" s="234">
        <f>(D299/F299)*100</f>
        <v>95.602291391259058</v>
      </c>
      <c r="H299" s="232"/>
      <c r="I299" s="235"/>
      <c r="J299" s="229"/>
    </row>
    <row r="300" spans="1:11" x14ac:dyDescent="0.25">
      <c r="A300" s="232" t="s">
        <v>265</v>
      </c>
      <c r="B300" s="507"/>
      <c r="C300" s="510"/>
      <c r="D300" s="233">
        <v>124558</v>
      </c>
      <c r="E300" s="516"/>
      <c r="F300" s="233">
        <v>124815</v>
      </c>
      <c r="G300" s="234">
        <f>(D300/F300)*100</f>
        <v>99.794095260986253</v>
      </c>
      <c r="H300" s="232"/>
      <c r="I300" s="235"/>
      <c r="J300" s="229"/>
    </row>
    <row r="301" spans="1:11" ht="15" customHeight="1" x14ac:dyDescent="0.25">
      <c r="A301" s="251" t="s">
        <v>266</v>
      </c>
      <c r="B301" s="507"/>
      <c r="C301" s="510"/>
      <c r="D301" s="233">
        <v>78483</v>
      </c>
      <c r="E301" s="516"/>
      <c r="F301" s="233">
        <v>124815</v>
      </c>
      <c r="G301" s="237">
        <v>62.9</v>
      </c>
      <c r="H301" s="239"/>
      <c r="I301" s="515" t="s">
        <v>229</v>
      </c>
      <c r="J301" s="229"/>
    </row>
    <row r="302" spans="1:11" ht="15" customHeight="1" x14ac:dyDescent="0.25">
      <c r="A302" s="236">
        <v>2016</v>
      </c>
      <c r="B302" s="507"/>
      <c r="C302" s="510"/>
      <c r="D302" s="233">
        <v>2241</v>
      </c>
      <c r="E302" s="516"/>
      <c r="F302" s="236">
        <v>0</v>
      </c>
      <c r="G302" s="251" t="s">
        <v>176</v>
      </c>
      <c r="H302" s="251" t="s">
        <v>176</v>
      </c>
      <c r="I302" s="516"/>
      <c r="J302" s="229"/>
    </row>
    <row r="303" spans="1:11" x14ac:dyDescent="0.25">
      <c r="A303" s="236">
        <v>2015</v>
      </c>
      <c r="B303" s="507"/>
      <c r="C303" s="510"/>
      <c r="D303" s="233">
        <v>4591</v>
      </c>
      <c r="E303" s="516"/>
      <c r="F303" s="236">
        <v>0</v>
      </c>
      <c r="G303" s="251" t="s">
        <v>176</v>
      </c>
      <c r="H303" s="251" t="s">
        <v>176</v>
      </c>
      <c r="I303" s="516"/>
      <c r="J303" s="229"/>
    </row>
    <row r="304" spans="1:11" x14ac:dyDescent="0.25">
      <c r="A304" s="236">
        <v>2014</v>
      </c>
      <c r="B304" s="507"/>
      <c r="C304" s="510"/>
      <c r="D304" s="233">
        <v>62984</v>
      </c>
      <c r="E304" s="516"/>
      <c r="F304" s="233">
        <v>50994</v>
      </c>
      <c r="G304" s="237">
        <v>123.5</v>
      </c>
      <c r="H304" s="252">
        <v>41891</v>
      </c>
      <c r="I304" s="516"/>
      <c r="J304" s="229"/>
    </row>
    <row r="305" spans="1:11" ht="16.5" customHeight="1" x14ac:dyDescent="0.25">
      <c r="A305" s="236">
        <v>2013</v>
      </c>
      <c r="B305" s="507"/>
      <c r="C305" s="510"/>
      <c r="D305" s="233">
        <v>27962</v>
      </c>
      <c r="E305" s="516"/>
      <c r="F305" s="233">
        <v>21447</v>
      </c>
      <c r="G305" s="237">
        <v>130.4</v>
      </c>
      <c r="H305" s="252">
        <v>41555</v>
      </c>
      <c r="I305" s="516"/>
      <c r="J305" s="229"/>
    </row>
    <row r="306" spans="1:11" ht="45" x14ac:dyDescent="0.25">
      <c r="A306" s="236">
        <v>2012</v>
      </c>
      <c r="B306" s="508"/>
      <c r="C306" s="511"/>
      <c r="D306" s="233">
        <v>6872</v>
      </c>
      <c r="E306" s="517"/>
      <c r="F306" s="233">
        <v>20818</v>
      </c>
      <c r="G306" s="237">
        <v>33</v>
      </c>
      <c r="H306" s="251" t="s">
        <v>267</v>
      </c>
      <c r="I306" s="517"/>
      <c r="J306" s="229"/>
    </row>
    <row r="307" spans="1:11" ht="15" customHeight="1" x14ac:dyDescent="0.25">
      <c r="A307" s="553" t="s">
        <v>268</v>
      </c>
      <c r="B307" s="554"/>
      <c r="C307" s="554"/>
      <c r="D307" s="554"/>
      <c r="E307" s="554"/>
      <c r="F307" s="554"/>
      <c r="G307" s="554"/>
      <c r="H307" s="554"/>
      <c r="I307" s="555"/>
      <c r="J307" s="229"/>
    </row>
    <row r="308" spans="1:11" ht="15" customHeight="1" x14ac:dyDescent="0.25">
      <c r="A308" s="556"/>
      <c r="B308" s="557"/>
      <c r="C308" s="557"/>
      <c r="D308" s="557"/>
      <c r="E308" s="557"/>
      <c r="F308" s="557"/>
      <c r="G308" s="557"/>
      <c r="H308" s="557"/>
      <c r="I308" s="558"/>
      <c r="J308" s="229"/>
    </row>
    <row r="309" spans="1:11" ht="15" customHeight="1" x14ac:dyDescent="0.25">
      <c r="A309" s="522" t="s">
        <v>269</v>
      </c>
      <c r="B309" s="522"/>
      <c r="C309" s="522"/>
      <c r="D309" s="522"/>
      <c r="E309" s="522"/>
      <c r="F309" s="522"/>
      <c r="G309" s="522"/>
      <c r="H309" s="522"/>
      <c r="I309" s="522"/>
      <c r="J309" s="229"/>
    </row>
    <row r="310" spans="1:11" ht="15" customHeight="1" x14ac:dyDescent="0.25">
      <c r="A310" s="522"/>
      <c r="B310" s="522"/>
      <c r="C310" s="522"/>
      <c r="D310" s="522"/>
      <c r="E310" s="522"/>
      <c r="F310" s="522"/>
      <c r="G310" s="522"/>
      <c r="H310" s="522"/>
      <c r="I310" s="522"/>
      <c r="J310" s="229"/>
    </row>
    <row r="311" spans="1:11" x14ac:dyDescent="0.25">
      <c r="A311" s="270"/>
      <c r="B311" s="270"/>
      <c r="C311" s="270"/>
      <c r="D311" s="270"/>
      <c r="E311" s="270"/>
      <c r="F311" s="255"/>
      <c r="G311" s="255"/>
      <c r="H311" s="255"/>
      <c r="I311" s="255"/>
      <c r="J311" s="229"/>
    </row>
    <row r="312" spans="1:11" x14ac:dyDescent="0.25">
      <c r="A312" s="502" t="s">
        <v>14</v>
      </c>
      <c r="B312" s="503"/>
      <c r="C312" s="503"/>
      <c r="D312" s="503"/>
      <c r="E312" s="503"/>
      <c r="F312" s="503"/>
      <c r="G312" s="503"/>
      <c r="H312" s="503"/>
      <c r="I312" s="503"/>
      <c r="K312" s="249"/>
    </row>
    <row r="313" spans="1:11" ht="30" customHeight="1" x14ac:dyDescent="0.25">
      <c r="A313" s="231" t="s">
        <v>20</v>
      </c>
      <c r="B313" s="231" t="s">
        <v>128</v>
      </c>
      <c r="C313" s="231" t="s">
        <v>152</v>
      </c>
      <c r="D313" s="231" t="s">
        <v>129</v>
      </c>
      <c r="E313" s="231" t="s">
        <v>130</v>
      </c>
      <c r="F313" s="231" t="s">
        <v>131</v>
      </c>
      <c r="G313" s="231" t="s">
        <v>169</v>
      </c>
      <c r="H313" s="231" t="s">
        <v>133</v>
      </c>
      <c r="I313" s="231" t="s">
        <v>134</v>
      </c>
      <c r="K313" s="249"/>
    </row>
    <row r="314" spans="1:11" x14ac:dyDescent="0.25">
      <c r="A314" s="232">
        <v>2019</v>
      </c>
      <c r="B314" s="523" t="s">
        <v>136</v>
      </c>
      <c r="C314" s="523" t="s">
        <v>154</v>
      </c>
      <c r="D314" s="233">
        <v>66033</v>
      </c>
      <c r="E314" s="523" t="s">
        <v>137</v>
      </c>
      <c r="F314" s="233">
        <v>219375</v>
      </c>
      <c r="G314" s="234">
        <f>(D314/F314)*100</f>
        <v>30.100512820512819</v>
      </c>
      <c r="H314" s="232"/>
      <c r="I314" s="232"/>
      <c r="K314" s="249"/>
    </row>
    <row r="315" spans="1:11" x14ac:dyDescent="0.25">
      <c r="A315" s="232">
        <v>2018</v>
      </c>
      <c r="B315" s="523"/>
      <c r="C315" s="523"/>
      <c r="D315" s="233">
        <v>103695</v>
      </c>
      <c r="E315" s="523"/>
      <c r="F315" s="233">
        <v>219375</v>
      </c>
      <c r="G315" s="234">
        <f>(D315/F315)*100</f>
        <v>47.268376068376064</v>
      </c>
      <c r="H315" s="232"/>
      <c r="I315" s="232"/>
      <c r="K315" s="249"/>
    </row>
    <row r="316" spans="1:11" ht="15" customHeight="1" x14ac:dyDescent="0.25">
      <c r="A316" s="236">
        <v>2017</v>
      </c>
      <c r="B316" s="523"/>
      <c r="C316" s="523"/>
      <c r="D316" s="233">
        <v>120705</v>
      </c>
      <c r="E316" s="523"/>
      <c r="F316" s="233">
        <v>219375</v>
      </c>
      <c r="G316" s="237">
        <v>55</v>
      </c>
      <c r="H316" s="239"/>
      <c r="I316" s="523" t="s">
        <v>229</v>
      </c>
      <c r="K316" s="249"/>
    </row>
    <row r="317" spans="1:11" x14ac:dyDescent="0.25">
      <c r="A317" s="236">
        <v>2016</v>
      </c>
      <c r="B317" s="523"/>
      <c r="C317" s="523"/>
      <c r="D317" s="233">
        <v>120018</v>
      </c>
      <c r="E317" s="523"/>
      <c r="F317" s="233">
        <v>219375</v>
      </c>
      <c r="G317" s="237">
        <v>54.7</v>
      </c>
      <c r="H317" s="239"/>
      <c r="I317" s="523"/>
      <c r="K317" s="249"/>
    </row>
    <row r="318" spans="1:11" ht="15" customHeight="1" x14ac:dyDescent="0.25">
      <c r="A318" s="236">
        <v>2015</v>
      </c>
      <c r="B318" s="523"/>
      <c r="C318" s="523"/>
      <c r="D318" s="233">
        <v>138818</v>
      </c>
      <c r="E318" s="523"/>
      <c r="F318" s="233">
        <v>219375</v>
      </c>
      <c r="G318" s="237">
        <v>63.3</v>
      </c>
      <c r="H318" s="239"/>
      <c r="I318" s="523"/>
      <c r="K318" s="249"/>
    </row>
    <row r="319" spans="1:11" ht="15" customHeight="1" x14ac:dyDescent="0.25">
      <c r="A319" s="236">
        <v>2014</v>
      </c>
      <c r="B319" s="523"/>
      <c r="C319" s="523"/>
      <c r="D319" s="233">
        <v>177660</v>
      </c>
      <c r="E319" s="523"/>
      <c r="F319" s="233">
        <v>333100</v>
      </c>
      <c r="G319" s="237">
        <v>53.3</v>
      </c>
      <c r="H319" s="239"/>
      <c r="I319" s="523"/>
      <c r="K319" s="249"/>
    </row>
    <row r="320" spans="1:11" ht="16.5" customHeight="1" x14ac:dyDescent="0.25">
      <c r="A320" s="236">
        <v>2013</v>
      </c>
      <c r="B320" s="523"/>
      <c r="C320" s="523"/>
      <c r="D320" s="233">
        <v>151181</v>
      </c>
      <c r="E320" s="523"/>
      <c r="F320" s="233">
        <v>333100</v>
      </c>
      <c r="G320" s="237">
        <v>45.4</v>
      </c>
      <c r="H320" s="239"/>
      <c r="I320" s="523"/>
      <c r="K320" s="249"/>
    </row>
    <row r="321" spans="1:11" ht="30" x14ac:dyDescent="0.25">
      <c r="A321" s="236">
        <v>2012</v>
      </c>
      <c r="B321" s="523"/>
      <c r="C321" s="523"/>
      <c r="D321" s="233">
        <v>177424</v>
      </c>
      <c r="E321" s="523"/>
      <c r="F321" s="233">
        <v>341636</v>
      </c>
      <c r="G321" s="237">
        <v>51.9</v>
      </c>
      <c r="H321" s="251" t="s">
        <v>218</v>
      </c>
      <c r="I321" s="523"/>
      <c r="K321" s="249"/>
    </row>
    <row r="322" spans="1:11" x14ac:dyDescent="0.25">
      <c r="A322" s="243"/>
      <c r="B322" s="243"/>
      <c r="C322" s="243"/>
      <c r="D322" s="243"/>
      <c r="E322" s="243"/>
      <c r="F322" s="247"/>
      <c r="G322" s="247"/>
      <c r="H322" s="247"/>
      <c r="I322" s="247"/>
      <c r="J322" s="229"/>
    </row>
    <row r="323" spans="1:11" ht="15" customHeight="1" x14ac:dyDescent="0.25">
      <c r="A323" s="524" t="s">
        <v>181</v>
      </c>
      <c r="B323" s="524"/>
      <c r="C323" s="524"/>
      <c r="D323" s="524"/>
      <c r="E323" s="524"/>
      <c r="F323" s="524"/>
      <c r="G323" s="524"/>
      <c r="H323" s="524"/>
      <c r="I323" s="524"/>
      <c r="K323" s="249"/>
    </row>
    <row r="324" spans="1:11" ht="15" customHeight="1" x14ac:dyDescent="0.25">
      <c r="A324" s="524" t="s">
        <v>183</v>
      </c>
      <c r="B324" s="524"/>
      <c r="C324" s="524"/>
      <c r="D324" s="524"/>
      <c r="E324" s="524"/>
      <c r="F324" s="524"/>
      <c r="G324" s="524"/>
      <c r="H324" s="524"/>
      <c r="I324" s="524"/>
      <c r="K324" s="249"/>
    </row>
    <row r="325" spans="1:11" ht="30" customHeight="1" x14ac:dyDescent="0.25">
      <c r="A325" s="231" t="s">
        <v>20</v>
      </c>
      <c r="B325" s="231" t="s">
        <v>128</v>
      </c>
      <c r="C325" s="231" t="s">
        <v>152</v>
      </c>
      <c r="D325" s="231" t="s">
        <v>129</v>
      </c>
      <c r="E325" s="231" t="s">
        <v>130</v>
      </c>
      <c r="F325" s="231" t="s">
        <v>131</v>
      </c>
      <c r="G325" s="231" t="s">
        <v>169</v>
      </c>
      <c r="H325" s="231" t="s">
        <v>133</v>
      </c>
      <c r="I325" s="231" t="s">
        <v>134</v>
      </c>
      <c r="K325" s="249"/>
    </row>
    <row r="326" spans="1:11" x14ac:dyDescent="0.25">
      <c r="A326" s="232">
        <v>2019</v>
      </c>
      <c r="B326" s="506" t="s">
        <v>136</v>
      </c>
      <c r="C326" s="523" t="s">
        <v>270</v>
      </c>
      <c r="D326" s="233">
        <v>15660</v>
      </c>
      <c r="E326" s="515" t="s">
        <v>137</v>
      </c>
      <c r="F326" s="233">
        <v>55542</v>
      </c>
      <c r="G326" s="234">
        <f>(D326/F326)*100</f>
        <v>28.194879550610345</v>
      </c>
      <c r="H326" s="232"/>
      <c r="I326" s="235"/>
      <c r="K326" s="249"/>
    </row>
    <row r="327" spans="1:11" x14ac:dyDescent="0.25">
      <c r="A327" s="232">
        <v>2018</v>
      </c>
      <c r="B327" s="507"/>
      <c r="C327" s="523"/>
      <c r="D327" s="233">
        <v>13450</v>
      </c>
      <c r="E327" s="516"/>
      <c r="F327" s="233">
        <v>55542</v>
      </c>
      <c r="G327" s="234">
        <f>(D327/F327)*100</f>
        <v>24.215908681718339</v>
      </c>
      <c r="H327" s="232"/>
      <c r="I327" s="235"/>
      <c r="K327" s="249"/>
    </row>
    <row r="328" spans="1:11" ht="15" customHeight="1" x14ac:dyDescent="0.25">
      <c r="A328" s="236">
        <v>2017</v>
      </c>
      <c r="B328" s="507"/>
      <c r="C328" s="523"/>
      <c r="D328" s="233">
        <v>12685</v>
      </c>
      <c r="E328" s="516"/>
      <c r="F328" s="233">
        <v>55542</v>
      </c>
      <c r="G328" s="237">
        <v>22.8</v>
      </c>
      <c r="H328" s="239"/>
      <c r="I328" s="515" t="s">
        <v>229</v>
      </c>
      <c r="K328" s="249"/>
    </row>
    <row r="329" spans="1:11" x14ac:dyDescent="0.25">
      <c r="A329" s="236">
        <v>2016</v>
      </c>
      <c r="B329" s="507"/>
      <c r="C329" s="523"/>
      <c r="D329" s="233">
        <v>10990</v>
      </c>
      <c r="E329" s="516"/>
      <c r="F329" s="233">
        <v>55542</v>
      </c>
      <c r="G329" s="237">
        <v>19.8</v>
      </c>
      <c r="H329" s="239"/>
      <c r="I329" s="516"/>
      <c r="K329" s="249"/>
    </row>
    <row r="330" spans="1:11" x14ac:dyDescent="0.25">
      <c r="A330" s="236">
        <v>2015</v>
      </c>
      <c r="B330" s="507"/>
      <c r="C330" s="523"/>
      <c r="D330" s="233">
        <v>13041</v>
      </c>
      <c r="E330" s="516"/>
      <c r="F330" s="233">
        <v>55542</v>
      </c>
      <c r="G330" s="237">
        <v>23.5</v>
      </c>
      <c r="H330" s="239"/>
      <c r="I330" s="516"/>
      <c r="K330" s="249"/>
    </row>
    <row r="331" spans="1:11" ht="15" customHeight="1" x14ac:dyDescent="0.25">
      <c r="A331" s="236">
        <v>2014</v>
      </c>
      <c r="B331" s="507"/>
      <c r="C331" s="523"/>
      <c r="D331" s="233">
        <v>17142</v>
      </c>
      <c r="E331" s="516"/>
      <c r="F331" s="233">
        <v>49776</v>
      </c>
      <c r="G331" s="237">
        <v>34.4</v>
      </c>
      <c r="H331" s="239"/>
      <c r="I331" s="516"/>
      <c r="K331" s="249"/>
    </row>
    <row r="332" spans="1:11" ht="16.5" customHeight="1" x14ac:dyDescent="0.25">
      <c r="A332" s="236">
        <v>2013</v>
      </c>
      <c r="B332" s="507"/>
      <c r="C332" s="523"/>
      <c r="D332" s="233">
        <v>18989</v>
      </c>
      <c r="E332" s="516"/>
      <c r="F332" s="233">
        <v>49776</v>
      </c>
      <c r="G332" s="237">
        <v>38.1</v>
      </c>
      <c r="H332" s="239"/>
      <c r="I332" s="516"/>
      <c r="K332" s="249"/>
    </row>
    <row r="333" spans="1:11" ht="30" x14ac:dyDescent="0.25">
      <c r="A333" s="236">
        <v>2012</v>
      </c>
      <c r="B333" s="508"/>
      <c r="C333" s="523"/>
      <c r="D333" s="233">
        <v>18068</v>
      </c>
      <c r="E333" s="517"/>
      <c r="F333" s="233">
        <v>49488</v>
      </c>
      <c r="G333" s="237">
        <v>36.5</v>
      </c>
      <c r="H333" s="251" t="s">
        <v>218</v>
      </c>
      <c r="I333" s="517"/>
      <c r="K333" s="249"/>
    </row>
    <row r="334" spans="1:11" x14ac:dyDescent="0.25">
      <c r="A334" s="243"/>
      <c r="B334" s="243"/>
      <c r="C334" s="243"/>
      <c r="D334" s="243"/>
      <c r="E334" s="243"/>
      <c r="F334" s="247"/>
      <c r="G334" s="247"/>
      <c r="H334" s="247"/>
      <c r="I334" s="247"/>
      <c r="J334" s="229"/>
    </row>
    <row r="335" spans="1:11" x14ac:dyDescent="0.25">
      <c r="A335" s="524" t="s">
        <v>184</v>
      </c>
      <c r="B335" s="524"/>
      <c r="C335" s="524"/>
      <c r="D335" s="524"/>
      <c r="E335" s="524"/>
      <c r="F335" s="524"/>
      <c r="G335" s="524"/>
      <c r="H335" s="524"/>
      <c r="I335" s="524"/>
      <c r="J335" s="229"/>
    </row>
    <row r="336" spans="1:11" ht="15" customHeight="1" x14ac:dyDescent="0.25">
      <c r="A336" s="524" t="s">
        <v>271</v>
      </c>
      <c r="B336" s="524"/>
      <c r="C336" s="524"/>
      <c r="D336" s="524"/>
      <c r="E336" s="524"/>
      <c r="F336" s="524"/>
      <c r="G336" s="524"/>
      <c r="H336" s="524"/>
      <c r="I336" s="524"/>
      <c r="J336" s="229"/>
    </row>
    <row r="337" spans="1:10" ht="30" customHeight="1" x14ac:dyDescent="0.25">
      <c r="A337" s="231" t="s">
        <v>20</v>
      </c>
      <c r="B337" s="524" t="s">
        <v>128</v>
      </c>
      <c r="C337" s="524"/>
      <c r="D337" s="231" t="s">
        <v>129</v>
      </c>
      <c r="E337" s="231" t="s">
        <v>130</v>
      </c>
      <c r="F337" s="231" t="s">
        <v>131</v>
      </c>
      <c r="G337" s="231" t="s">
        <v>237</v>
      </c>
      <c r="H337" s="231" t="s">
        <v>133</v>
      </c>
      <c r="I337" s="231" t="s">
        <v>134</v>
      </c>
      <c r="J337" s="229"/>
    </row>
    <row r="338" spans="1:10" x14ac:dyDescent="0.25">
      <c r="A338" s="232">
        <v>2019</v>
      </c>
      <c r="B338" s="506" t="s">
        <v>136</v>
      </c>
      <c r="C338" s="509"/>
      <c r="D338" s="233">
        <v>97743</v>
      </c>
      <c r="E338" s="515" t="s">
        <v>137</v>
      </c>
      <c r="F338" s="233">
        <v>344575</v>
      </c>
      <c r="G338" s="234">
        <f>(D338/F338)*100</f>
        <v>28.366248276862805</v>
      </c>
      <c r="H338" s="232"/>
      <c r="I338" s="235"/>
      <c r="J338" s="229"/>
    </row>
    <row r="339" spans="1:10" x14ac:dyDescent="0.25">
      <c r="A339" s="232">
        <v>2018</v>
      </c>
      <c r="B339" s="507"/>
      <c r="C339" s="510"/>
      <c r="D339" s="233">
        <v>129066</v>
      </c>
      <c r="E339" s="516"/>
      <c r="F339" s="233">
        <v>344575</v>
      </c>
      <c r="G339" s="234">
        <f>(D339/F339)*100</f>
        <v>37.456576942610468</v>
      </c>
      <c r="H339" s="232"/>
      <c r="I339" s="235"/>
      <c r="J339" s="229"/>
    </row>
    <row r="340" spans="1:10" ht="15" customHeight="1" x14ac:dyDescent="0.25">
      <c r="A340" s="236">
        <v>2017</v>
      </c>
      <c r="B340" s="507"/>
      <c r="C340" s="510"/>
      <c r="D340" s="233">
        <v>113714</v>
      </c>
      <c r="E340" s="516"/>
      <c r="F340" s="233">
        <v>344575</v>
      </c>
      <c r="G340" s="237">
        <v>33</v>
      </c>
      <c r="H340" s="239"/>
      <c r="I340" s="523" t="s">
        <v>229</v>
      </c>
      <c r="J340" s="229"/>
    </row>
    <row r="341" spans="1:10" ht="15" customHeight="1" x14ac:dyDescent="0.25">
      <c r="A341" s="236">
        <v>2016</v>
      </c>
      <c r="B341" s="507"/>
      <c r="C341" s="510"/>
      <c r="D341" s="233">
        <v>172822</v>
      </c>
      <c r="E341" s="516"/>
      <c r="F341" s="233">
        <v>344575</v>
      </c>
      <c r="G341" s="237">
        <v>50.2</v>
      </c>
      <c r="H341" s="239"/>
      <c r="I341" s="523"/>
      <c r="J341" s="229"/>
    </row>
    <row r="342" spans="1:10" ht="15" customHeight="1" x14ac:dyDescent="0.25">
      <c r="A342" s="236">
        <v>2015</v>
      </c>
      <c r="B342" s="507"/>
      <c r="C342" s="510"/>
      <c r="D342" s="233">
        <v>169888</v>
      </c>
      <c r="E342" s="516"/>
      <c r="F342" s="233">
        <v>344884</v>
      </c>
      <c r="G342" s="237">
        <v>49.3</v>
      </c>
      <c r="H342" s="239"/>
      <c r="I342" s="523"/>
      <c r="J342" s="229"/>
    </row>
    <row r="343" spans="1:10" ht="16.5" customHeight="1" x14ac:dyDescent="0.25">
      <c r="A343" s="236">
        <v>2014</v>
      </c>
      <c r="B343" s="507"/>
      <c r="C343" s="510"/>
      <c r="D343" s="233">
        <v>166056</v>
      </c>
      <c r="E343" s="516"/>
      <c r="F343" s="233">
        <v>215662</v>
      </c>
      <c r="G343" s="237">
        <v>77</v>
      </c>
      <c r="H343" s="239"/>
      <c r="I343" s="523"/>
      <c r="J343" s="229"/>
    </row>
    <row r="344" spans="1:10" ht="15" customHeight="1" x14ac:dyDescent="0.25">
      <c r="A344" s="236">
        <v>2013</v>
      </c>
      <c r="B344" s="507"/>
      <c r="C344" s="510"/>
      <c r="D344" s="233">
        <v>153872</v>
      </c>
      <c r="E344" s="516"/>
      <c r="F344" s="233">
        <v>215662</v>
      </c>
      <c r="G344" s="237">
        <v>71.3</v>
      </c>
      <c r="H344" s="239"/>
      <c r="I344" s="523"/>
      <c r="J344" s="229"/>
    </row>
    <row r="345" spans="1:10" x14ac:dyDescent="0.25">
      <c r="A345" s="236">
        <v>2012</v>
      </c>
      <c r="B345" s="508"/>
      <c r="C345" s="511"/>
      <c r="D345" s="233">
        <v>124310</v>
      </c>
      <c r="E345" s="517"/>
      <c r="F345" s="233">
        <v>204552</v>
      </c>
      <c r="G345" s="237">
        <v>60.8</v>
      </c>
      <c r="H345" s="239"/>
      <c r="I345" s="523"/>
      <c r="J345" s="229"/>
    </row>
    <row r="346" spans="1:10" ht="15" customHeight="1" x14ac:dyDescent="0.25">
      <c r="A346" s="522" t="s">
        <v>272</v>
      </c>
      <c r="B346" s="522"/>
      <c r="C346" s="522"/>
      <c r="D346" s="522"/>
      <c r="E346" s="522"/>
      <c r="F346" s="522"/>
      <c r="G346" s="522"/>
      <c r="H346" s="522"/>
      <c r="I346" s="522"/>
      <c r="J346" s="229"/>
    </row>
    <row r="347" spans="1:10" ht="15" customHeight="1" x14ac:dyDescent="0.25">
      <c r="A347" s="278"/>
      <c r="B347" s="262"/>
      <c r="C347" s="262"/>
      <c r="D347" s="262"/>
      <c r="E347" s="262"/>
      <c r="F347" s="279"/>
      <c r="G347" s="279"/>
      <c r="H347" s="279"/>
      <c r="I347" s="279"/>
      <c r="J347" s="229"/>
    </row>
    <row r="348" spans="1:10" ht="15" customHeight="1" x14ac:dyDescent="0.25">
      <c r="A348" s="524" t="s">
        <v>188</v>
      </c>
      <c r="B348" s="524"/>
      <c r="C348" s="524"/>
      <c r="D348" s="524"/>
      <c r="E348" s="524"/>
      <c r="F348" s="524"/>
      <c r="G348" s="524"/>
      <c r="H348" s="524"/>
      <c r="I348" s="524"/>
      <c r="J348" s="229"/>
    </row>
    <row r="349" spans="1:10" ht="30" customHeight="1" x14ac:dyDescent="0.25">
      <c r="A349" s="231" t="s">
        <v>20</v>
      </c>
      <c r="B349" s="524" t="s">
        <v>128</v>
      </c>
      <c r="C349" s="524"/>
      <c r="D349" s="231" t="s">
        <v>129</v>
      </c>
      <c r="E349" s="231" t="s">
        <v>130</v>
      </c>
      <c r="F349" s="231" t="s">
        <v>131</v>
      </c>
      <c r="G349" s="231" t="s">
        <v>169</v>
      </c>
      <c r="H349" s="231" t="s">
        <v>133</v>
      </c>
      <c r="I349" s="231" t="s">
        <v>134</v>
      </c>
      <c r="J349" s="229"/>
    </row>
    <row r="350" spans="1:10" x14ac:dyDescent="0.25">
      <c r="A350" s="232">
        <v>2019</v>
      </c>
      <c r="B350" s="506" t="s">
        <v>136</v>
      </c>
      <c r="C350" s="509"/>
      <c r="D350" s="233">
        <v>149051</v>
      </c>
      <c r="E350" s="515" t="s">
        <v>158</v>
      </c>
      <c r="F350" s="233">
        <v>153935</v>
      </c>
      <c r="G350" s="234">
        <f>(D350/F350)*100</f>
        <v>96.827232273362128</v>
      </c>
      <c r="H350" s="253">
        <v>43680</v>
      </c>
      <c r="I350" s="235"/>
      <c r="J350" s="229"/>
    </row>
    <row r="351" spans="1:10" x14ac:dyDescent="0.25">
      <c r="A351" s="232">
        <v>2018</v>
      </c>
      <c r="B351" s="507"/>
      <c r="C351" s="510"/>
      <c r="D351" s="233">
        <v>149087</v>
      </c>
      <c r="E351" s="516"/>
      <c r="F351" s="233">
        <v>144315</v>
      </c>
      <c r="G351" s="234">
        <f>(D351/F351)*100</f>
        <v>103.30665557980805</v>
      </c>
      <c r="H351" s="253">
        <v>43305</v>
      </c>
      <c r="I351" s="235"/>
      <c r="J351" s="229"/>
    </row>
    <row r="352" spans="1:10" ht="15" customHeight="1" x14ac:dyDescent="0.25">
      <c r="A352" s="236">
        <v>2017</v>
      </c>
      <c r="B352" s="507"/>
      <c r="C352" s="510"/>
      <c r="D352" s="233">
        <v>136225</v>
      </c>
      <c r="E352" s="516"/>
      <c r="F352" s="233">
        <v>135380</v>
      </c>
      <c r="G352" s="237">
        <v>100.6</v>
      </c>
      <c r="H352" s="252">
        <v>42908</v>
      </c>
      <c r="I352" s="523" t="s">
        <v>229</v>
      </c>
      <c r="J352" s="229"/>
    </row>
    <row r="353" spans="1:10" x14ac:dyDescent="0.25">
      <c r="A353" s="236">
        <v>2016</v>
      </c>
      <c r="B353" s="507"/>
      <c r="C353" s="510"/>
      <c r="D353" s="233">
        <v>152207</v>
      </c>
      <c r="E353" s="516"/>
      <c r="F353" s="233">
        <v>125760</v>
      </c>
      <c r="G353" s="237">
        <v>121</v>
      </c>
      <c r="H353" s="252">
        <v>42535</v>
      </c>
      <c r="I353" s="523"/>
      <c r="J353" s="229"/>
    </row>
    <row r="354" spans="1:10" x14ac:dyDescent="0.25">
      <c r="A354" s="236">
        <v>2015</v>
      </c>
      <c r="B354" s="507"/>
      <c r="C354" s="510"/>
      <c r="D354" s="233">
        <v>132120</v>
      </c>
      <c r="E354" s="516"/>
      <c r="F354" s="233">
        <v>115451</v>
      </c>
      <c r="G354" s="237">
        <v>114.4</v>
      </c>
      <c r="H354" s="252">
        <v>42269</v>
      </c>
      <c r="I354" s="523"/>
      <c r="J354" s="229"/>
    </row>
    <row r="355" spans="1:10" x14ac:dyDescent="0.25">
      <c r="A355" s="236">
        <v>2014</v>
      </c>
      <c r="B355" s="507"/>
      <c r="C355" s="510"/>
      <c r="D355" s="233">
        <v>95092</v>
      </c>
      <c r="E355" s="516"/>
      <c r="F355" s="233">
        <v>82900</v>
      </c>
      <c r="G355" s="237">
        <v>114.7</v>
      </c>
      <c r="H355" s="252">
        <v>41845</v>
      </c>
      <c r="I355" s="523"/>
      <c r="J355" s="229"/>
    </row>
    <row r="356" spans="1:10" x14ac:dyDescent="0.25">
      <c r="A356" s="236">
        <v>2013</v>
      </c>
      <c r="B356" s="507"/>
      <c r="C356" s="510"/>
      <c r="D356" s="233">
        <v>79762</v>
      </c>
      <c r="E356" s="516"/>
      <c r="F356" s="233">
        <v>82900</v>
      </c>
      <c r="G356" s="237">
        <v>96.2</v>
      </c>
      <c r="H356" s="252">
        <v>41496</v>
      </c>
      <c r="I356" s="523"/>
      <c r="J356" s="229"/>
    </row>
    <row r="357" spans="1:10" x14ac:dyDescent="0.25">
      <c r="A357" s="236">
        <v>2012</v>
      </c>
      <c r="B357" s="507"/>
      <c r="C357" s="510"/>
      <c r="D357" s="233">
        <v>89143</v>
      </c>
      <c r="E357" s="516"/>
      <c r="F357" s="233">
        <v>82900</v>
      </c>
      <c r="G357" s="237">
        <v>107.5</v>
      </c>
      <c r="H357" s="252">
        <v>41262</v>
      </c>
      <c r="I357" s="523"/>
      <c r="J357" s="229"/>
    </row>
    <row r="358" spans="1:10" x14ac:dyDescent="0.25">
      <c r="A358" s="236">
        <v>2011</v>
      </c>
      <c r="B358" s="507"/>
      <c r="C358" s="510"/>
      <c r="D358" s="233">
        <v>37339</v>
      </c>
      <c r="E358" s="516"/>
      <c r="F358" s="233">
        <v>82900</v>
      </c>
      <c r="G358" s="237">
        <v>45</v>
      </c>
      <c r="H358" s="239"/>
      <c r="I358" s="523"/>
      <c r="J358" s="229"/>
    </row>
    <row r="359" spans="1:10" x14ac:dyDescent="0.25">
      <c r="A359" s="236">
        <v>2010</v>
      </c>
      <c r="B359" s="507"/>
      <c r="C359" s="510"/>
      <c r="D359" s="233">
        <v>86692</v>
      </c>
      <c r="E359" s="516"/>
      <c r="F359" s="233">
        <v>82900</v>
      </c>
      <c r="G359" s="237">
        <v>104.6</v>
      </c>
      <c r="H359" s="239"/>
      <c r="I359" s="523"/>
      <c r="J359" s="229"/>
    </row>
    <row r="360" spans="1:10" x14ac:dyDescent="0.25">
      <c r="A360" s="236">
        <v>2009</v>
      </c>
      <c r="B360" s="507"/>
      <c r="C360" s="510"/>
      <c r="D360" s="233">
        <v>75614</v>
      </c>
      <c r="E360" s="516"/>
      <c r="F360" s="233">
        <v>82900</v>
      </c>
      <c r="G360" s="237">
        <v>91.2</v>
      </c>
      <c r="H360" s="239"/>
      <c r="I360" s="523"/>
      <c r="J360" s="229"/>
    </row>
    <row r="361" spans="1:10" x14ac:dyDescent="0.25">
      <c r="A361" s="236">
        <v>2008</v>
      </c>
      <c r="B361" s="507"/>
      <c r="C361" s="510"/>
      <c r="D361" s="233">
        <v>72971</v>
      </c>
      <c r="E361" s="516"/>
      <c r="F361" s="233">
        <v>84000</v>
      </c>
      <c r="G361" s="237">
        <v>86.9</v>
      </c>
      <c r="H361" s="239"/>
      <c r="I361" s="523"/>
      <c r="J361" s="229"/>
    </row>
    <row r="362" spans="1:10" ht="15" customHeight="1" x14ac:dyDescent="0.25">
      <c r="A362" s="236">
        <v>2007</v>
      </c>
      <c r="B362" s="507"/>
      <c r="C362" s="510"/>
      <c r="D362" s="233">
        <v>112385</v>
      </c>
      <c r="E362" s="516"/>
      <c r="F362" s="233">
        <v>118000</v>
      </c>
      <c r="G362" s="237">
        <v>95.2</v>
      </c>
      <c r="H362" s="239"/>
      <c r="I362" s="523"/>
      <c r="J362" s="229"/>
    </row>
    <row r="363" spans="1:10" ht="16.5" customHeight="1" x14ac:dyDescent="0.25">
      <c r="A363" s="236">
        <v>2006</v>
      </c>
      <c r="B363" s="507"/>
      <c r="C363" s="510"/>
      <c r="D363" s="233">
        <v>214064</v>
      </c>
      <c r="E363" s="516"/>
      <c r="F363" s="233">
        <v>151000</v>
      </c>
      <c r="G363" s="237">
        <v>141.80000000000001</v>
      </c>
      <c r="H363" s="252">
        <v>39013</v>
      </c>
      <c r="I363" s="523"/>
      <c r="J363" s="229"/>
    </row>
    <row r="364" spans="1:10" ht="15" customHeight="1" x14ac:dyDescent="0.25">
      <c r="A364" s="236">
        <v>2005</v>
      </c>
      <c r="B364" s="507"/>
      <c r="C364" s="510"/>
      <c r="D364" s="233">
        <v>206636</v>
      </c>
      <c r="E364" s="516"/>
      <c r="F364" s="233">
        <v>344508</v>
      </c>
      <c r="G364" s="237">
        <v>60</v>
      </c>
      <c r="H364" s="239"/>
      <c r="I364" s="523"/>
      <c r="J364" s="229"/>
    </row>
    <row r="365" spans="1:10" x14ac:dyDescent="0.25">
      <c r="A365" s="236">
        <v>2004</v>
      </c>
      <c r="B365" s="508"/>
      <c r="C365" s="511"/>
      <c r="D365" s="233">
        <v>220958</v>
      </c>
      <c r="E365" s="517"/>
      <c r="F365" s="233">
        <v>344508</v>
      </c>
      <c r="G365" s="237">
        <v>64.099999999999994</v>
      </c>
      <c r="H365" s="239"/>
      <c r="I365" s="523"/>
      <c r="J365" s="229"/>
    </row>
    <row r="366" spans="1:10" x14ac:dyDescent="0.25">
      <c r="A366" s="243"/>
      <c r="B366" s="243"/>
      <c r="C366" s="243"/>
      <c r="D366" s="243"/>
      <c r="E366" s="243"/>
      <c r="F366" s="243"/>
      <c r="G366" s="243"/>
      <c r="H366" s="243"/>
      <c r="I366" s="247"/>
      <c r="J366" s="229"/>
    </row>
    <row r="367" spans="1:10" ht="15" customHeight="1" x14ac:dyDescent="0.25">
      <c r="A367" s="524" t="s">
        <v>192</v>
      </c>
      <c r="B367" s="524"/>
      <c r="C367" s="524"/>
      <c r="D367" s="524"/>
      <c r="E367" s="524"/>
      <c r="F367" s="524"/>
      <c r="G367" s="524"/>
      <c r="H367" s="524"/>
      <c r="I367" s="524"/>
      <c r="J367" s="280"/>
    </row>
    <row r="368" spans="1:10" ht="30" customHeight="1" x14ac:dyDescent="0.25">
      <c r="A368" s="231" t="s">
        <v>20</v>
      </c>
      <c r="B368" s="231" t="s">
        <v>232</v>
      </c>
      <c r="C368" s="231" t="s">
        <v>128</v>
      </c>
      <c r="D368" s="231" t="s">
        <v>129</v>
      </c>
      <c r="E368" s="231" t="s">
        <v>130</v>
      </c>
      <c r="F368" s="231" t="s">
        <v>131</v>
      </c>
      <c r="G368" s="231" t="s">
        <v>169</v>
      </c>
      <c r="H368" s="231" t="s">
        <v>133</v>
      </c>
      <c r="I368" s="231" t="s">
        <v>134</v>
      </c>
      <c r="J368" s="229"/>
    </row>
    <row r="369" spans="1:10" x14ac:dyDescent="0.25">
      <c r="A369" s="525" t="s">
        <v>241</v>
      </c>
      <c r="B369" s="251" t="s">
        <v>247</v>
      </c>
      <c r="C369" s="515" t="s">
        <v>140</v>
      </c>
      <c r="D369" s="233">
        <v>675020</v>
      </c>
      <c r="E369" s="515" t="s">
        <v>248</v>
      </c>
      <c r="F369" s="233">
        <v>662670</v>
      </c>
      <c r="G369" s="234">
        <f t="shared" ref="G369" si="4">(D369/F369)*100</f>
        <v>101.86367271794407</v>
      </c>
      <c r="H369" s="253">
        <v>43701</v>
      </c>
      <c r="I369" s="232"/>
      <c r="J369" s="229"/>
    </row>
    <row r="370" spans="1:10" x14ac:dyDescent="0.25">
      <c r="A370" s="544"/>
      <c r="B370" s="515" t="s">
        <v>250</v>
      </c>
      <c r="C370" s="516"/>
      <c r="D370" s="528">
        <v>596591</v>
      </c>
      <c r="E370" s="516"/>
      <c r="F370" s="233">
        <v>2667330</v>
      </c>
      <c r="G370" s="234">
        <f>(D370/F370)*100</f>
        <v>22.366598808546374</v>
      </c>
      <c r="H370" s="232"/>
      <c r="I370" s="232"/>
      <c r="J370" s="229"/>
    </row>
    <row r="371" spans="1:10" x14ac:dyDescent="0.25">
      <c r="A371" s="526"/>
      <c r="B371" s="517"/>
      <c r="C371" s="516"/>
      <c r="D371" s="529"/>
      <c r="E371" s="516"/>
      <c r="F371" s="233">
        <v>2417330</v>
      </c>
      <c r="G371" s="234">
        <f>(D370/F371)*100</f>
        <v>24.679749972076632</v>
      </c>
      <c r="H371" s="232"/>
      <c r="I371" s="232"/>
      <c r="J371" s="229"/>
    </row>
    <row r="372" spans="1:10" s="159" customFormat="1" ht="15" customHeight="1" x14ac:dyDescent="0.25">
      <c r="A372" s="525" t="s">
        <v>141</v>
      </c>
      <c r="B372" s="251" t="s">
        <v>247</v>
      </c>
      <c r="C372" s="516"/>
      <c r="D372" s="233">
        <v>693549</v>
      </c>
      <c r="E372" s="516"/>
      <c r="F372" s="233">
        <v>662670</v>
      </c>
      <c r="G372" s="234">
        <f t="shared" ref="G372:G376" si="5">(D372/F372)*100</f>
        <v>104.65978541355425</v>
      </c>
      <c r="H372" s="253">
        <v>43408</v>
      </c>
      <c r="I372" s="232"/>
      <c r="J372" s="257"/>
    </row>
    <row r="373" spans="1:10" s="159" customFormat="1" x14ac:dyDescent="0.25">
      <c r="A373" s="544"/>
      <c r="B373" s="515" t="s">
        <v>250</v>
      </c>
      <c r="C373" s="516"/>
      <c r="D373" s="528">
        <v>3283421</v>
      </c>
      <c r="E373" s="516"/>
      <c r="F373" s="233">
        <v>2667330</v>
      </c>
      <c r="G373" s="234">
        <f>(D373/F373)*100</f>
        <v>123.09766695534485</v>
      </c>
      <c r="H373" s="559">
        <v>43501</v>
      </c>
      <c r="I373" s="232"/>
      <c r="J373" s="257"/>
    </row>
    <row r="374" spans="1:10" s="159" customFormat="1" x14ac:dyDescent="0.25">
      <c r="A374" s="526"/>
      <c r="B374" s="517"/>
      <c r="C374" s="516"/>
      <c r="D374" s="529"/>
      <c r="E374" s="516"/>
      <c r="F374" s="233">
        <v>2417330</v>
      </c>
      <c r="G374" s="234">
        <f>(D373/F374)*100</f>
        <v>135.82841399395201</v>
      </c>
      <c r="H374" s="526"/>
      <c r="I374" s="232"/>
      <c r="J374" s="257"/>
    </row>
    <row r="375" spans="1:10" s="159" customFormat="1" x14ac:dyDescent="0.25">
      <c r="A375" s="525" t="s">
        <v>142</v>
      </c>
      <c r="B375" s="251" t="s">
        <v>247</v>
      </c>
      <c r="C375" s="516"/>
      <c r="D375" s="233">
        <v>741803</v>
      </c>
      <c r="E375" s="516"/>
      <c r="F375" s="233">
        <v>762670</v>
      </c>
      <c r="G375" s="234">
        <f t="shared" si="5"/>
        <v>97.263954265934146</v>
      </c>
      <c r="H375" s="253">
        <v>43411</v>
      </c>
      <c r="I375" s="232"/>
      <c r="J375" s="257"/>
    </row>
    <row r="376" spans="1:10" s="159" customFormat="1" x14ac:dyDescent="0.25">
      <c r="A376" s="544"/>
      <c r="B376" s="515" t="s">
        <v>250</v>
      </c>
      <c r="C376" s="516"/>
      <c r="D376" s="528">
        <v>2480029</v>
      </c>
      <c r="E376" s="516"/>
      <c r="F376" s="233">
        <v>2567330</v>
      </c>
      <c r="G376" s="234">
        <f t="shared" si="5"/>
        <v>96.599541157545005</v>
      </c>
      <c r="H376" s="232"/>
      <c r="I376" s="232"/>
      <c r="J376" s="257"/>
    </row>
    <row r="377" spans="1:10" s="159" customFormat="1" x14ac:dyDescent="0.25">
      <c r="A377" s="526"/>
      <c r="B377" s="517"/>
      <c r="C377" s="516"/>
      <c r="D377" s="529"/>
      <c r="E377" s="516"/>
      <c r="F377" s="233">
        <v>241733</v>
      </c>
      <c r="G377" s="234">
        <f>(D376/F377)*100</f>
        <v>1025.9372944529709</v>
      </c>
      <c r="H377" s="232"/>
      <c r="I377" s="232"/>
      <c r="J377" s="257"/>
    </row>
    <row r="378" spans="1:10" ht="15" customHeight="1" x14ac:dyDescent="0.25">
      <c r="A378" s="523" t="s">
        <v>144</v>
      </c>
      <c r="B378" s="251" t="s">
        <v>247</v>
      </c>
      <c r="C378" s="516"/>
      <c r="D378" s="233">
        <v>654096</v>
      </c>
      <c r="E378" s="516"/>
      <c r="F378" s="233">
        <v>662670</v>
      </c>
      <c r="G378" s="237">
        <v>98.7</v>
      </c>
      <c r="H378" s="239"/>
      <c r="I378" s="523" t="s">
        <v>249</v>
      </c>
      <c r="J378" s="229"/>
    </row>
    <row r="379" spans="1:10" ht="15" customHeight="1" x14ac:dyDescent="0.25">
      <c r="A379" s="523"/>
      <c r="B379" s="515" t="s">
        <v>250</v>
      </c>
      <c r="C379" s="516"/>
      <c r="D379" s="528">
        <v>2551274</v>
      </c>
      <c r="E379" s="516"/>
      <c r="F379" s="233">
        <v>2417330</v>
      </c>
      <c r="G379" s="237">
        <v>105.5</v>
      </c>
      <c r="H379" s="239"/>
      <c r="I379" s="523"/>
      <c r="J379" s="229"/>
    </row>
    <row r="380" spans="1:10" x14ac:dyDescent="0.25">
      <c r="A380" s="523"/>
      <c r="B380" s="517"/>
      <c r="C380" s="516"/>
      <c r="D380" s="529"/>
      <c r="E380" s="516"/>
      <c r="F380" s="233">
        <v>2667330</v>
      </c>
      <c r="G380" s="237">
        <v>95.6</v>
      </c>
      <c r="H380" s="239"/>
      <c r="I380" s="523"/>
      <c r="J380" s="229"/>
    </row>
    <row r="381" spans="1:10" ht="15" customHeight="1" x14ac:dyDescent="0.25">
      <c r="A381" s="523" t="s">
        <v>145</v>
      </c>
      <c r="B381" s="251" t="s">
        <v>247</v>
      </c>
      <c r="C381" s="516"/>
      <c r="D381" s="233">
        <v>581983</v>
      </c>
      <c r="E381" s="516"/>
      <c r="F381" s="233">
        <v>662670</v>
      </c>
      <c r="G381" s="237">
        <v>87.8</v>
      </c>
      <c r="H381" s="239"/>
      <c r="I381" s="523"/>
      <c r="J381" s="229"/>
    </row>
    <row r="382" spans="1:10" ht="15" customHeight="1" x14ac:dyDescent="0.25">
      <c r="A382" s="523"/>
      <c r="B382" s="515" t="s">
        <v>250</v>
      </c>
      <c r="C382" s="516"/>
      <c r="D382" s="528">
        <v>2103221</v>
      </c>
      <c r="E382" s="516"/>
      <c r="F382" s="233">
        <v>2667330</v>
      </c>
      <c r="G382" s="237">
        <v>78.900000000000006</v>
      </c>
      <c r="H382" s="239"/>
      <c r="I382" s="523"/>
      <c r="J382" s="229"/>
    </row>
    <row r="383" spans="1:10" x14ac:dyDescent="0.25">
      <c r="A383" s="523"/>
      <c r="B383" s="517"/>
      <c r="C383" s="516"/>
      <c r="D383" s="529"/>
      <c r="E383" s="516"/>
      <c r="F383" s="233">
        <v>2417330</v>
      </c>
      <c r="G383" s="237">
        <v>87</v>
      </c>
      <c r="H383" s="239"/>
      <c r="I383" s="523"/>
      <c r="J383" s="281"/>
    </row>
    <row r="384" spans="1:10" ht="15" customHeight="1" x14ac:dyDescent="0.25">
      <c r="A384" s="523" t="s">
        <v>146</v>
      </c>
      <c r="B384" s="523" t="s">
        <v>253</v>
      </c>
      <c r="C384" s="516"/>
      <c r="D384" s="528">
        <v>2898515</v>
      </c>
      <c r="E384" s="516"/>
      <c r="F384" s="233">
        <v>3330000</v>
      </c>
      <c r="G384" s="237">
        <v>87</v>
      </c>
      <c r="H384" s="239"/>
      <c r="I384" s="523" t="s">
        <v>229</v>
      </c>
      <c r="J384" s="280"/>
    </row>
    <row r="385" spans="1:9" x14ac:dyDescent="0.25">
      <c r="A385" s="523"/>
      <c r="B385" s="523"/>
      <c r="C385" s="516"/>
      <c r="D385" s="529"/>
      <c r="E385" s="516"/>
      <c r="F385" s="251" t="s">
        <v>273</v>
      </c>
      <c r="G385" s="237">
        <v>100.6</v>
      </c>
      <c r="H385" s="239"/>
      <c r="I385" s="523"/>
    </row>
    <row r="386" spans="1:9" ht="15" customHeight="1" x14ac:dyDescent="0.25">
      <c r="A386" s="523" t="s">
        <v>147</v>
      </c>
      <c r="B386" s="523"/>
      <c r="C386" s="516"/>
      <c r="D386" s="528">
        <v>3153244</v>
      </c>
      <c r="E386" s="516"/>
      <c r="F386" s="233">
        <v>3130000</v>
      </c>
      <c r="G386" s="237">
        <v>100.7</v>
      </c>
      <c r="H386" s="239"/>
      <c r="I386" s="523"/>
    </row>
    <row r="387" spans="1:9" x14ac:dyDescent="0.25">
      <c r="A387" s="523"/>
      <c r="B387" s="523"/>
      <c r="C387" s="516"/>
      <c r="D387" s="529"/>
      <c r="E387" s="516"/>
      <c r="F387" s="251" t="s">
        <v>273</v>
      </c>
      <c r="G387" s="237">
        <v>109.5</v>
      </c>
      <c r="H387" s="239"/>
      <c r="I387" s="523"/>
    </row>
    <row r="388" spans="1:9" ht="15" customHeight="1" x14ac:dyDescent="0.25">
      <c r="A388" s="523" t="s">
        <v>148</v>
      </c>
      <c r="B388" s="523"/>
      <c r="C388" s="516"/>
      <c r="D388" s="528">
        <v>3151602</v>
      </c>
      <c r="E388" s="516"/>
      <c r="F388" s="233">
        <v>3130000</v>
      </c>
      <c r="G388" s="237">
        <v>100.7</v>
      </c>
      <c r="H388" s="239"/>
      <c r="I388" s="523"/>
    </row>
    <row r="389" spans="1:9" x14ac:dyDescent="0.25">
      <c r="A389" s="523"/>
      <c r="B389" s="523"/>
      <c r="C389" s="516"/>
      <c r="D389" s="529"/>
      <c r="E389" s="516"/>
      <c r="F389" s="251" t="s">
        <v>273</v>
      </c>
      <c r="G389" s="237">
        <v>109.4</v>
      </c>
      <c r="H389" s="239"/>
      <c r="I389" s="523"/>
    </row>
    <row r="390" spans="1:9" ht="15" customHeight="1" x14ac:dyDescent="0.25">
      <c r="A390" s="523" t="s">
        <v>164</v>
      </c>
      <c r="B390" s="523"/>
      <c r="C390" s="516"/>
      <c r="D390" s="528">
        <v>4009822</v>
      </c>
      <c r="E390" s="516"/>
      <c r="F390" s="233">
        <v>3130000</v>
      </c>
      <c r="G390" s="237">
        <v>128.1</v>
      </c>
      <c r="H390" s="239"/>
      <c r="I390" s="523"/>
    </row>
    <row r="391" spans="1:9" x14ac:dyDescent="0.25">
      <c r="A391" s="523"/>
      <c r="B391" s="523"/>
      <c r="C391" s="516"/>
      <c r="D391" s="529"/>
      <c r="E391" s="516"/>
      <c r="F391" s="251" t="s">
        <v>273</v>
      </c>
      <c r="G391" s="237">
        <v>139.19999999999999</v>
      </c>
      <c r="H391" s="239"/>
      <c r="I391" s="523"/>
    </row>
    <row r="392" spans="1:9" ht="15" customHeight="1" x14ac:dyDescent="0.25">
      <c r="A392" s="251" t="s">
        <v>165</v>
      </c>
      <c r="B392" s="523"/>
      <c r="C392" s="516"/>
      <c r="D392" s="233">
        <v>4568511</v>
      </c>
      <c r="E392" s="516"/>
      <c r="F392" s="233">
        <v>3620000</v>
      </c>
      <c r="G392" s="237">
        <v>126.2</v>
      </c>
      <c r="H392" s="239"/>
      <c r="I392" s="523"/>
    </row>
    <row r="393" spans="1:9" ht="15" customHeight="1" x14ac:dyDescent="0.25">
      <c r="A393" s="251" t="s">
        <v>222</v>
      </c>
      <c r="B393" s="523"/>
      <c r="C393" s="516"/>
      <c r="D393" s="233">
        <v>4192116</v>
      </c>
      <c r="E393" s="516"/>
      <c r="F393" s="233">
        <v>3620000</v>
      </c>
      <c r="G393" s="237">
        <v>115.8</v>
      </c>
      <c r="H393" s="239"/>
      <c r="I393" s="523"/>
    </row>
    <row r="394" spans="1:9" ht="15" customHeight="1" x14ac:dyDescent="0.25">
      <c r="A394" s="251" t="s">
        <v>223</v>
      </c>
      <c r="B394" s="523"/>
      <c r="C394" s="516"/>
      <c r="D394" s="233">
        <v>3170622</v>
      </c>
      <c r="E394" s="516"/>
      <c r="F394" s="233">
        <v>3620000</v>
      </c>
      <c r="G394" s="237">
        <v>87.6</v>
      </c>
      <c r="H394" s="239"/>
      <c r="I394" s="523"/>
    </row>
    <row r="395" spans="1:9" ht="15" customHeight="1" x14ac:dyDescent="0.25">
      <c r="A395" s="251" t="s">
        <v>224</v>
      </c>
      <c r="B395" s="523"/>
      <c r="C395" s="516"/>
      <c r="D395" s="233">
        <v>3079133</v>
      </c>
      <c r="E395" s="516"/>
      <c r="F395" s="233">
        <v>3620000</v>
      </c>
      <c r="G395" s="237">
        <v>85.1</v>
      </c>
      <c r="H395" s="239"/>
      <c r="I395" s="523"/>
    </row>
    <row r="396" spans="1:9" ht="15" customHeight="1" x14ac:dyDescent="0.25">
      <c r="A396" s="251" t="s">
        <v>254</v>
      </c>
      <c r="B396" s="523"/>
      <c r="C396" s="516"/>
      <c r="D396" s="233">
        <v>3643179</v>
      </c>
      <c r="E396" s="516"/>
      <c r="F396" s="233">
        <v>3620000</v>
      </c>
      <c r="G396" s="237">
        <v>100.6</v>
      </c>
      <c r="H396" s="239"/>
      <c r="I396" s="523"/>
    </row>
    <row r="397" spans="1:9" ht="15" customHeight="1" x14ac:dyDescent="0.25">
      <c r="A397" s="251" t="s">
        <v>255</v>
      </c>
      <c r="B397" s="523"/>
      <c r="C397" s="517"/>
      <c r="D397" s="233">
        <v>3668183</v>
      </c>
      <c r="E397" s="516"/>
      <c r="F397" s="233">
        <v>3870000</v>
      </c>
      <c r="G397" s="237">
        <v>94.8</v>
      </c>
      <c r="H397" s="239"/>
      <c r="I397" s="523"/>
    </row>
    <row r="398" spans="1:9" ht="15" customHeight="1" x14ac:dyDescent="0.25">
      <c r="A398" s="251" t="s">
        <v>256</v>
      </c>
      <c r="B398" s="523"/>
      <c r="C398" s="523" t="s">
        <v>161</v>
      </c>
      <c r="D398" s="233">
        <v>3379347</v>
      </c>
      <c r="E398" s="516"/>
      <c r="F398" s="233">
        <v>3870000</v>
      </c>
      <c r="G398" s="237">
        <v>87.3</v>
      </c>
      <c r="H398" s="239"/>
      <c r="I398" s="523" t="s">
        <v>274</v>
      </c>
    </row>
    <row r="399" spans="1:9" ht="15" customHeight="1" x14ac:dyDescent="0.25">
      <c r="A399" s="251" t="s">
        <v>257</v>
      </c>
      <c r="B399" s="523"/>
      <c r="C399" s="523"/>
      <c r="D399" s="233">
        <v>3763769</v>
      </c>
      <c r="E399" s="516"/>
      <c r="F399" s="233">
        <v>3870000</v>
      </c>
      <c r="G399" s="237">
        <v>97.3</v>
      </c>
      <c r="H399" s="239"/>
      <c r="I399" s="523"/>
    </row>
    <row r="400" spans="1:9" ht="15" customHeight="1" x14ac:dyDescent="0.25">
      <c r="A400" s="251" t="s">
        <v>258</v>
      </c>
      <c r="B400" s="523"/>
      <c r="C400" s="523"/>
      <c r="D400" s="233">
        <v>3257807</v>
      </c>
      <c r="E400" s="516"/>
      <c r="F400" s="233">
        <v>3870000</v>
      </c>
      <c r="G400" s="237">
        <v>84.2</v>
      </c>
      <c r="H400" s="239"/>
      <c r="I400" s="523"/>
    </row>
    <row r="401" spans="1:11" ht="15" customHeight="1" x14ac:dyDescent="0.25">
      <c r="A401" s="251" t="s">
        <v>259</v>
      </c>
      <c r="B401" s="523"/>
      <c r="C401" s="523"/>
      <c r="D401" s="233">
        <v>3091117</v>
      </c>
      <c r="E401" s="516"/>
      <c r="F401" s="233">
        <v>3870000</v>
      </c>
      <c r="G401" s="237">
        <v>79.900000000000006</v>
      </c>
      <c r="H401" s="239"/>
      <c r="I401" s="523"/>
    </row>
    <row r="402" spans="1:11" ht="15" customHeight="1" x14ac:dyDescent="0.25">
      <c r="A402" s="251" t="s">
        <v>260</v>
      </c>
      <c r="B402" s="523"/>
      <c r="C402" s="523"/>
      <c r="D402" s="233">
        <v>2855805</v>
      </c>
      <c r="E402" s="517"/>
      <c r="F402" s="233">
        <v>3870000</v>
      </c>
      <c r="G402" s="237">
        <v>73.8</v>
      </c>
      <c r="H402" s="239"/>
      <c r="I402" s="523"/>
    </row>
    <row r="403" spans="1:11" ht="15" customHeight="1" x14ac:dyDescent="0.25">
      <c r="A403" s="522" t="s">
        <v>275</v>
      </c>
      <c r="B403" s="522"/>
      <c r="C403" s="522"/>
      <c r="D403" s="522"/>
      <c r="E403" s="522"/>
      <c r="F403" s="522"/>
      <c r="G403" s="522"/>
      <c r="H403" s="522"/>
      <c r="I403" s="522"/>
    </row>
    <row r="404" spans="1:11" ht="15" customHeight="1" x14ac:dyDescent="0.25">
      <c r="A404" s="522"/>
      <c r="B404" s="522"/>
      <c r="C404" s="522"/>
      <c r="D404" s="522"/>
      <c r="E404" s="522"/>
      <c r="F404" s="522"/>
      <c r="G404" s="522"/>
      <c r="H404" s="522"/>
      <c r="I404" s="522"/>
    </row>
    <row r="405" spans="1:11" ht="15" customHeight="1" x14ac:dyDescent="0.25">
      <c r="A405" s="522"/>
      <c r="B405" s="522"/>
      <c r="C405" s="522"/>
      <c r="D405" s="522"/>
      <c r="E405" s="522"/>
      <c r="F405" s="522"/>
      <c r="G405" s="522"/>
      <c r="H405" s="522"/>
      <c r="I405" s="522"/>
    </row>
    <row r="406" spans="1:11" x14ac:dyDescent="0.25">
      <c r="A406" s="243"/>
      <c r="B406" s="243"/>
      <c r="C406" s="243"/>
      <c r="D406" s="243"/>
      <c r="E406" s="243"/>
      <c r="F406" s="243"/>
      <c r="G406" s="243"/>
      <c r="H406" s="243"/>
      <c r="I406" s="247"/>
    </row>
    <row r="407" spans="1:11" ht="15" customHeight="1" x14ac:dyDescent="0.25">
      <c r="A407" s="524" t="s">
        <v>193</v>
      </c>
      <c r="B407" s="524"/>
      <c r="C407" s="524"/>
      <c r="D407" s="524"/>
      <c r="E407" s="524"/>
      <c r="F407" s="524"/>
      <c r="G407" s="524"/>
      <c r="H407" s="524"/>
      <c r="I407" s="524"/>
      <c r="J407" s="524"/>
      <c r="K407" s="524"/>
    </row>
    <row r="408" spans="1:11" ht="30" x14ac:dyDescent="0.25">
      <c r="A408" s="282" t="s">
        <v>20</v>
      </c>
      <c r="B408" s="282" t="s">
        <v>128</v>
      </c>
      <c r="C408" s="282" t="s">
        <v>130</v>
      </c>
      <c r="D408" s="282" t="s">
        <v>235</v>
      </c>
      <c r="E408" s="267" t="s">
        <v>246</v>
      </c>
      <c r="F408" s="283" t="s">
        <v>237</v>
      </c>
      <c r="G408" s="283" t="s">
        <v>133</v>
      </c>
      <c r="H408" s="283" t="s">
        <v>129</v>
      </c>
      <c r="I408" s="283" t="s">
        <v>131</v>
      </c>
      <c r="J408" s="282" t="s">
        <v>169</v>
      </c>
      <c r="K408" s="284" t="s">
        <v>134</v>
      </c>
    </row>
    <row r="409" spans="1:11" s="159" customFormat="1" x14ac:dyDescent="0.25">
      <c r="A409" s="570">
        <v>2019</v>
      </c>
      <c r="B409" s="285" t="s">
        <v>276</v>
      </c>
      <c r="C409" s="572" t="s">
        <v>137</v>
      </c>
      <c r="D409" s="286">
        <v>504644</v>
      </c>
      <c r="E409" s="233">
        <v>536860</v>
      </c>
      <c r="F409" s="287">
        <f>(D409/E409)*100</f>
        <v>93.999180419476218</v>
      </c>
      <c r="G409" s="288"/>
      <c r="H409" s="566">
        <f>D409+D410</f>
        <v>792398</v>
      </c>
      <c r="I409" s="560">
        <f>E409+E410</f>
        <v>1073720</v>
      </c>
      <c r="J409" s="576">
        <f>(H409/I409)*100</f>
        <v>73.799314532652843</v>
      </c>
      <c r="K409" s="235"/>
    </row>
    <row r="410" spans="1:11" s="159" customFormat="1" x14ac:dyDescent="0.25">
      <c r="A410" s="571"/>
      <c r="B410" s="285" t="s">
        <v>277</v>
      </c>
      <c r="C410" s="573"/>
      <c r="D410" s="286">
        <v>287754</v>
      </c>
      <c r="E410" s="233">
        <v>536860</v>
      </c>
      <c r="F410" s="287">
        <f t="shared" ref="F410:F412" si="6">(D410/E410)*100</f>
        <v>53.599448645829447</v>
      </c>
      <c r="G410" s="288"/>
      <c r="H410" s="575"/>
      <c r="I410" s="561"/>
      <c r="J410" s="577"/>
      <c r="K410" s="235"/>
    </row>
    <row r="411" spans="1:11" s="159" customFormat="1" x14ac:dyDescent="0.25">
      <c r="A411" s="570">
        <v>2018</v>
      </c>
      <c r="B411" s="285" t="s">
        <v>276</v>
      </c>
      <c r="C411" s="573"/>
      <c r="D411" s="286">
        <v>395346</v>
      </c>
      <c r="E411" s="233">
        <v>431460</v>
      </c>
      <c r="F411" s="287">
        <f t="shared" si="6"/>
        <v>91.629815046586003</v>
      </c>
      <c r="G411" s="288"/>
      <c r="H411" s="578">
        <f>D411+D412</f>
        <v>850569</v>
      </c>
      <c r="I411" s="560">
        <v>862920</v>
      </c>
      <c r="J411" s="562">
        <f>(H411/I411)*100</f>
        <v>98.568696982339034</v>
      </c>
      <c r="K411" s="235"/>
    </row>
    <row r="412" spans="1:11" s="159" customFormat="1" x14ac:dyDescent="0.25">
      <c r="A412" s="571"/>
      <c r="B412" s="285" t="s">
        <v>277</v>
      </c>
      <c r="C412" s="573"/>
      <c r="D412" s="286">
        <v>455223</v>
      </c>
      <c r="E412" s="233">
        <v>467574</v>
      </c>
      <c r="F412" s="287">
        <f t="shared" si="6"/>
        <v>97.358492987206304</v>
      </c>
      <c r="G412" s="288"/>
      <c r="H412" s="567"/>
      <c r="I412" s="561"/>
      <c r="J412" s="563"/>
      <c r="K412" s="235"/>
    </row>
    <row r="413" spans="1:11" ht="15" customHeight="1" x14ac:dyDescent="0.25">
      <c r="A413" s="564">
        <v>2017</v>
      </c>
      <c r="B413" s="285" t="s">
        <v>276</v>
      </c>
      <c r="C413" s="573"/>
      <c r="D413" s="289">
        <v>377482</v>
      </c>
      <c r="E413" s="233">
        <f>I413/2</f>
        <v>431460</v>
      </c>
      <c r="F413" s="290">
        <v>87.49</v>
      </c>
      <c r="G413" s="291">
        <v>42872</v>
      </c>
      <c r="H413" s="566">
        <v>806036</v>
      </c>
      <c r="I413" s="566">
        <v>862920</v>
      </c>
      <c r="J413" s="568">
        <v>93.41</v>
      </c>
      <c r="K413" s="515" t="s">
        <v>229</v>
      </c>
    </row>
    <row r="414" spans="1:11" ht="15" customHeight="1" x14ac:dyDescent="0.25">
      <c r="A414" s="565"/>
      <c r="B414" s="285" t="s">
        <v>277</v>
      </c>
      <c r="C414" s="573"/>
      <c r="D414" s="289">
        <v>428554</v>
      </c>
      <c r="E414" s="233">
        <f>I413/2</f>
        <v>431460</v>
      </c>
      <c r="F414" s="290">
        <v>94.78</v>
      </c>
      <c r="G414" s="291">
        <v>43025</v>
      </c>
      <c r="H414" s="567"/>
      <c r="I414" s="567"/>
      <c r="J414" s="569"/>
      <c r="K414" s="516"/>
    </row>
    <row r="415" spans="1:11" ht="15" customHeight="1" x14ac:dyDescent="0.25">
      <c r="A415" s="564">
        <v>2016</v>
      </c>
      <c r="B415" s="285" t="s">
        <v>276</v>
      </c>
      <c r="C415" s="573"/>
      <c r="D415" s="289">
        <v>393974</v>
      </c>
      <c r="E415" s="233">
        <f>I415/2</f>
        <v>431460</v>
      </c>
      <c r="F415" s="290">
        <v>91.31</v>
      </c>
      <c r="G415" s="291">
        <v>42458</v>
      </c>
      <c r="H415" s="566">
        <v>787481</v>
      </c>
      <c r="I415" s="566">
        <v>862920</v>
      </c>
      <c r="J415" s="568">
        <v>91.26</v>
      </c>
      <c r="K415" s="516"/>
    </row>
    <row r="416" spans="1:11" ht="51" customHeight="1" x14ac:dyDescent="0.25">
      <c r="A416" s="565"/>
      <c r="B416" s="285" t="s">
        <v>277</v>
      </c>
      <c r="C416" s="573"/>
      <c r="D416" s="289">
        <v>393507</v>
      </c>
      <c r="E416" s="233">
        <f>I415/2</f>
        <v>431460</v>
      </c>
      <c r="F416" s="290">
        <v>91.03</v>
      </c>
      <c r="G416" s="292" t="s">
        <v>278</v>
      </c>
      <c r="H416" s="567"/>
      <c r="I416" s="567"/>
      <c r="J416" s="569"/>
      <c r="K416" s="516"/>
    </row>
    <row r="417" spans="1:11" ht="15" customHeight="1" x14ac:dyDescent="0.25">
      <c r="A417" s="564">
        <v>2015</v>
      </c>
      <c r="B417" s="285" t="s">
        <v>276</v>
      </c>
      <c r="C417" s="573"/>
      <c r="D417" s="289">
        <v>431758</v>
      </c>
      <c r="E417" s="233">
        <f>I417/2</f>
        <v>438260</v>
      </c>
      <c r="F417" s="290">
        <v>98.52</v>
      </c>
      <c r="G417" s="291">
        <v>42109</v>
      </c>
      <c r="H417" s="566">
        <v>883561</v>
      </c>
      <c r="I417" s="566">
        <v>876520</v>
      </c>
      <c r="J417" s="568">
        <v>100.8</v>
      </c>
      <c r="K417" s="516"/>
    </row>
    <row r="418" spans="1:11" ht="15" customHeight="1" x14ac:dyDescent="0.25">
      <c r="A418" s="565"/>
      <c r="B418" s="285" t="s">
        <v>277</v>
      </c>
      <c r="C418" s="573"/>
      <c r="D418" s="289">
        <v>451803</v>
      </c>
      <c r="E418" s="233">
        <f>I417/2</f>
        <v>438260</v>
      </c>
      <c r="F418" s="290">
        <v>103.09</v>
      </c>
      <c r="G418" s="291">
        <v>42269</v>
      </c>
      <c r="H418" s="567"/>
      <c r="I418" s="567"/>
      <c r="J418" s="569"/>
      <c r="K418" s="516"/>
    </row>
    <row r="419" spans="1:11" ht="15" customHeight="1" x14ac:dyDescent="0.25">
      <c r="A419" s="564">
        <v>2014</v>
      </c>
      <c r="B419" s="285" t="s">
        <v>276</v>
      </c>
      <c r="C419" s="573"/>
      <c r="D419" s="289">
        <v>463880</v>
      </c>
      <c r="E419" s="233">
        <f>I419/2</f>
        <v>446080</v>
      </c>
      <c r="F419" s="290">
        <v>103.99</v>
      </c>
      <c r="G419" s="291">
        <v>41748</v>
      </c>
      <c r="H419" s="566">
        <v>925056</v>
      </c>
      <c r="I419" s="566">
        <v>892160</v>
      </c>
      <c r="J419" s="568">
        <v>103.69</v>
      </c>
      <c r="K419" s="516"/>
    </row>
    <row r="420" spans="1:11" ht="15" customHeight="1" x14ac:dyDescent="0.25">
      <c r="A420" s="565"/>
      <c r="B420" s="285" t="s">
        <v>277</v>
      </c>
      <c r="C420" s="573"/>
      <c r="D420" s="289">
        <v>461176</v>
      </c>
      <c r="E420" s="233">
        <f>I419/2</f>
        <v>446080</v>
      </c>
      <c r="F420" s="290">
        <v>103.38</v>
      </c>
      <c r="G420" s="291">
        <v>41894</v>
      </c>
      <c r="H420" s="567"/>
      <c r="I420" s="567"/>
      <c r="J420" s="569"/>
      <c r="K420" s="516"/>
    </row>
    <row r="421" spans="1:11" ht="15" customHeight="1" x14ac:dyDescent="0.25">
      <c r="A421" s="564">
        <v>2013</v>
      </c>
      <c r="B421" s="285" t="s">
        <v>276</v>
      </c>
      <c r="C421" s="573"/>
      <c r="D421" s="289">
        <v>312150</v>
      </c>
      <c r="E421" s="233">
        <f>I421/2</f>
        <v>466480</v>
      </c>
      <c r="F421" s="290">
        <v>66.92</v>
      </c>
      <c r="G421" s="291">
        <v>41318</v>
      </c>
      <c r="H421" s="566">
        <v>977763</v>
      </c>
      <c r="I421" s="566">
        <v>932960</v>
      </c>
      <c r="J421" s="568">
        <v>104.8</v>
      </c>
      <c r="K421" s="516"/>
    </row>
    <row r="422" spans="1:11" ht="15" customHeight="1" x14ac:dyDescent="0.25">
      <c r="A422" s="565"/>
      <c r="B422" s="285" t="s">
        <v>277</v>
      </c>
      <c r="C422" s="574"/>
      <c r="D422" s="289">
        <v>665613</v>
      </c>
      <c r="E422" s="233">
        <f>I421/2</f>
        <v>466480</v>
      </c>
      <c r="F422" s="290">
        <v>108.53</v>
      </c>
      <c r="G422" s="291">
        <v>41610</v>
      </c>
      <c r="H422" s="567"/>
      <c r="I422" s="567"/>
      <c r="J422" s="569"/>
      <c r="K422" s="516"/>
    </row>
    <row r="423" spans="1:11" ht="15" customHeight="1" x14ac:dyDescent="0.25">
      <c r="A423" s="564">
        <v>2012</v>
      </c>
      <c r="B423" s="285" t="s">
        <v>276</v>
      </c>
      <c r="C423" s="579" t="s">
        <v>158</v>
      </c>
      <c r="D423" s="289">
        <v>395733</v>
      </c>
      <c r="E423" s="233">
        <f>I423/2</f>
        <v>309023</v>
      </c>
      <c r="F423" s="290">
        <v>125.42</v>
      </c>
      <c r="G423" s="291">
        <v>40968</v>
      </c>
      <c r="H423" s="566">
        <v>895714</v>
      </c>
      <c r="I423" s="566">
        <v>618046</v>
      </c>
      <c r="J423" s="568">
        <v>144.93</v>
      </c>
      <c r="K423" s="516"/>
    </row>
    <row r="424" spans="1:11" ht="15" customHeight="1" x14ac:dyDescent="0.25">
      <c r="A424" s="565"/>
      <c r="B424" s="285" t="s">
        <v>277</v>
      </c>
      <c r="C424" s="580"/>
      <c r="D424" s="289">
        <v>499980</v>
      </c>
      <c r="E424" s="233">
        <f>I423/2</f>
        <v>309023</v>
      </c>
      <c r="F424" s="290">
        <v>165.27</v>
      </c>
      <c r="G424" s="291">
        <v>41180</v>
      </c>
      <c r="H424" s="567"/>
      <c r="I424" s="567"/>
      <c r="J424" s="569"/>
      <c r="K424" s="516"/>
    </row>
    <row r="425" spans="1:11" ht="60" x14ac:dyDescent="0.25">
      <c r="A425" s="564">
        <v>2011</v>
      </c>
      <c r="B425" s="285" t="s">
        <v>276</v>
      </c>
      <c r="C425" s="580"/>
      <c r="D425" s="289">
        <v>331418</v>
      </c>
      <c r="E425" s="233">
        <f>I425/2</f>
        <v>309023</v>
      </c>
      <c r="F425" s="290">
        <v>105.04</v>
      </c>
      <c r="G425" s="292" t="s">
        <v>279</v>
      </c>
      <c r="H425" s="566">
        <v>917160</v>
      </c>
      <c r="I425" s="566">
        <v>618046</v>
      </c>
      <c r="J425" s="568">
        <v>148.4</v>
      </c>
      <c r="K425" s="516"/>
    </row>
    <row r="426" spans="1:11" ht="15" customHeight="1" x14ac:dyDescent="0.25">
      <c r="A426" s="565"/>
      <c r="B426" s="285" t="s">
        <v>277</v>
      </c>
      <c r="C426" s="580"/>
      <c r="D426" s="289">
        <v>585742</v>
      </c>
      <c r="E426" s="233">
        <f>I425/2</f>
        <v>309023</v>
      </c>
      <c r="F426" s="290">
        <v>193.62</v>
      </c>
      <c r="G426" s="291">
        <v>40816</v>
      </c>
      <c r="H426" s="567"/>
      <c r="I426" s="567"/>
      <c r="J426" s="569"/>
      <c r="K426" s="516"/>
    </row>
    <row r="427" spans="1:11" ht="15" customHeight="1" x14ac:dyDescent="0.25">
      <c r="A427" s="564">
        <v>2010</v>
      </c>
      <c r="B427" s="285" t="s">
        <v>276</v>
      </c>
      <c r="C427" s="580"/>
      <c r="D427" s="289">
        <v>356823</v>
      </c>
      <c r="E427" s="233">
        <f>I427/2</f>
        <v>309023</v>
      </c>
      <c r="F427" s="290">
        <v>113.09</v>
      </c>
      <c r="G427" s="291">
        <v>40246</v>
      </c>
      <c r="H427" s="566">
        <v>876889</v>
      </c>
      <c r="I427" s="566">
        <v>618046</v>
      </c>
      <c r="J427" s="568">
        <v>141.88</v>
      </c>
      <c r="K427" s="516"/>
    </row>
    <row r="428" spans="1:11" ht="15" customHeight="1" x14ac:dyDescent="0.25">
      <c r="A428" s="565"/>
      <c r="B428" s="285" t="s">
        <v>277</v>
      </c>
      <c r="C428" s="580"/>
      <c r="D428" s="289">
        <v>520067</v>
      </c>
      <c r="E428" s="233">
        <f>I427/2</f>
        <v>309023</v>
      </c>
      <c r="F428" s="290">
        <v>171.91</v>
      </c>
      <c r="G428" s="291">
        <v>40457</v>
      </c>
      <c r="H428" s="567"/>
      <c r="I428" s="567"/>
      <c r="J428" s="569"/>
      <c r="K428" s="516"/>
    </row>
    <row r="429" spans="1:11" ht="15" customHeight="1" x14ac:dyDescent="0.25">
      <c r="A429" s="293">
        <v>2009</v>
      </c>
      <c r="B429" s="285" t="s">
        <v>276</v>
      </c>
      <c r="C429" s="580"/>
      <c r="D429" s="289">
        <v>421831</v>
      </c>
      <c r="E429" s="233">
        <f>I429/2</f>
        <v>309023</v>
      </c>
      <c r="F429" s="290">
        <v>133.69</v>
      </c>
      <c r="G429" s="294"/>
      <c r="H429" s="566">
        <v>827996</v>
      </c>
      <c r="I429" s="566">
        <v>618046</v>
      </c>
      <c r="J429" s="568">
        <v>133.97</v>
      </c>
      <c r="K429" s="516"/>
    </row>
    <row r="430" spans="1:11" ht="15" customHeight="1" x14ac:dyDescent="0.25">
      <c r="A430" s="295"/>
      <c r="B430" s="285" t="s">
        <v>277</v>
      </c>
      <c r="C430" s="580"/>
      <c r="D430" s="289">
        <v>406166</v>
      </c>
      <c r="E430" s="233">
        <f>I429/2</f>
        <v>309023</v>
      </c>
      <c r="F430" s="290">
        <v>134.26</v>
      </c>
      <c r="G430" s="291">
        <v>40074</v>
      </c>
      <c r="H430" s="567"/>
      <c r="I430" s="567"/>
      <c r="J430" s="569"/>
      <c r="K430" s="516"/>
    </row>
    <row r="431" spans="1:11" ht="15" customHeight="1" x14ac:dyDescent="0.25">
      <c r="A431" s="296">
        <v>2008</v>
      </c>
      <c r="B431" s="579" t="s">
        <v>136</v>
      </c>
      <c r="C431" s="580"/>
      <c r="D431" s="582"/>
      <c r="E431" s="585"/>
      <c r="F431" s="588"/>
      <c r="G431" s="294"/>
      <c r="H431" s="297">
        <v>1100812</v>
      </c>
      <c r="I431" s="297">
        <v>1100000</v>
      </c>
      <c r="J431" s="298">
        <v>100.1</v>
      </c>
      <c r="K431" s="516"/>
    </row>
    <row r="432" spans="1:11" x14ac:dyDescent="0.25">
      <c r="A432" s="296">
        <v>2007</v>
      </c>
      <c r="B432" s="580"/>
      <c r="C432" s="580"/>
      <c r="D432" s="583"/>
      <c r="E432" s="586"/>
      <c r="F432" s="589"/>
      <c r="G432" s="294"/>
      <c r="H432" s="297">
        <v>983909</v>
      </c>
      <c r="I432" s="297">
        <v>1100000</v>
      </c>
      <c r="J432" s="298">
        <v>89.4</v>
      </c>
      <c r="K432" s="516"/>
    </row>
    <row r="433" spans="1:11" x14ac:dyDescent="0.25">
      <c r="A433" s="296">
        <v>2006</v>
      </c>
      <c r="B433" s="580"/>
      <c r="C433" s="580"/>
      <c r="D433" s="583"/>
      <c r="E433" s="586"/>
      <c r="F433" s="589"/>
      <c r="G433" s="294"/>
      <c r="H433" s="297">
        <v>768193</v>
      </c>
      <c r="I433" s="297">
        <v>1100000</v>
      </c>
      <c r="J433" s="298">
        <v>69.8</v>
      </c>
      <c r="K433" s="516"/>
    </row>
    <row r="434" spans="1:11" ht="16.5" customHeight="1" x14ac:dyDescent="0.25">
      <c r="A434" s="296">
        <v>2005</v>
      </c>
      <c r="B434" s="580"/>
      <c r="C434" s="580"/>
      <c r="D434" s="583"/>
      <c r="E434" s="586"/>
      <c r="F434" s="589"/>
      <c r="G434" s="294"/>
      <c r="H434" s="297">
        <v>1019557</v>
      </c>
      <c r="I434" s="292" t="s">
        <v>263</v>
      </c>
      <c r="J434" s="299"/>
      <c r="K434" s="516"/>
    </row>
    <row r="435" spans="1:11" ht="15" customHeight="1" x14ac:dyDescent="0.25">
      <c r="A435" s="293">
        <v>2004</v>
      </c>
      <c r="B435" s="581"/>
      <c r="C435" s="581"/>
      <c r="D435" s="584"/>
      <c r="E435" s="587"/>
      <c r="F435" s="590"/>
      <c r="G435" s="300"/>
      <c r="H435" s="301">
        <v>1008714</v>
      </c>
      <c r="I435" s="302" t="s">
        <v>263</v>
      </c>
      <c r="J435" s="303"/>
      <c r="K435" s="517"/>
    </row>
    <row r="436" spans="1:11" ht="15" customHeight="1" x14ac:dyDescent="0.25">
      <c r="A436" s="522" t="s">
        <v>240</v>
      </c>
      <c r="B436" s="522"/>
      <c r="C436" s="522"/>
      <c r="D436" s="522"/>
      <c r="E436" s="522"/>
      <c r="F436" s="522"/>
      <c r="G436" s="522"/>
      <c r="H436" s="522"/>
      <c r="I436" s="522"/>
      <c r="J436" s="522"/>
      <c r="K436" s="522"/>
    </row>
    <row r="437" spans="1:11" ht="15" customHeight="1" x14ac:dyDescent="0.25">
      <c r="A437" s="261"/>
      <c r="B437" s="262"/>
      <c r="C437" s="262"/>
      <c r="D437" s="262"/>
      <c r="E437" s="262"/>
      <c r="F437" s="262"/>
      <c r="G437" s="262"/>
      <c r="H437" s="262"/>
      <c r="I437" s="262"/>
      <c r="J437" s="262"/>
      <c r="K437" s="262"/>
    </row>
    <row r="438" spans="1:11" x14ac:dyDescent="0.25">
      <c r="A438" s="270"/>
      <c r="B438" s="270"/>
      <c r="C438" s="270"/>
      <c r="D438" s="270"/>
      <c r="E438" s="270"/>
      <c r="F438" s="255"/>
      <c r="G438" s="255"/>
      <c r="H438" s="255"/>
      <c r="I438" s="255"/>
    </row>
    <row r="439" spans="1:11" x14ac:dyDescent="0.25">
      <c r="A439" s="520" t="s">
        <v>43</v>
      </c>
      <c r="B439" s="521"/>
      <c r="C439" s="521"/>
      <c r="D439" s="521"/>
      <c r="E439" s="521"/>
      <c r="F439" s="521"/>
      <c r="G439" s="521"/>
      <c r="H439" s="521"/>
      <c r="I439" s="521"/>
    </row>
    <row r="440" spans="1:11" ht="30" customHeight="1" x14ac:dyDescent="0.25">
      <c r="A440" s="304" t="s">
        <v>20</v>
      </c>
      <c r="B440" s="545" t="s">
        <v>128</v>
      </c>
      <c r="C440" s="591"/>
      <c r="D440" s="304" t="s">
        <v>129</v>
      </c>
      <c r="E440" s="271" t="s">
        <v>130</v>
      </c>
      <c r="F440" s="305" t="s">
        <v>131</v>
      </c>
      <c r="G440" s="305" t="s">
        <v>169</v>
      </c>
      <c r="H440" s="305" t="s">
        <v>133</v>
      </c>
      <c r="I440" s="304" t="s">
        <v>134</v>
      </c>
    </row>
    <row r="441" spans="1:11" x14ac:dyDescent="0.25">
      <c r="A441" s="306">
        <v>2019</v>
      </c>
      <c r="B441" s="523" t="s">
        <v>136</v>
      </c>
      <c r="C441" s="523"/>
      <c r="D441" s="307">
        <v>51171</v>
      </c>
      <c r="E441" s="523" t="s">
        <v>137</v>
      </c>
      <c r="F441" s="308">
        <v>70542</v>
      </c>
      <c r="G441" s="234">
        <f t="shared" ref="G441:G442" si="7">(D441/F441)*100</f>
        <v>72.539763545122057</v>
      </c>
      <c r="H441" s="232"/>
      <c r="I441" s="235"/>
    </row>
    <row r="442" spans="1:11" x14ac:dyDescent="0.25">
      <c r="A442" s="306">
        <v>2018</v>
      </c>
      <c r="B442" s="523"/>
      <c r="C442" s="523"/>
      <c r="D442" s="307">
        <v>50181</v>
      </c>
      <c r="E442" s="523"/>
      <c r="F442" s="308">
        <v>70542</v>
      </c>
      <c r="G442" s="234">
        <f t="shared" si="7"/>
        <v>71.136344305520112</v>
      </c>
      <c r="H442" s="232"/>
      <c r="I442" s="235"/>
    </row>
    <row r="443" spans="1:11" ht="15" customHeight="1" x14ac:dyDescent="0.25">
      <c r="A443" s="296">
        <v>2017</v>
      </c>
      <c r="B443" s="523"/>
      <c r="C443" s="523"/>
      <c r="D443" s="309">
        <v>67887</v>
      </c>
      <c r="E443" s="523"/>
      <c r="F443" s="308">
        <v>70542</v>
      </c>
      <c r="G443" s="310">
        <v>96.2</v>
      </c>
      <c r="H443" s="299"/>
      <c r="I443" s="523" t="s">
        <v>229</v>
      </c>
    </row>
    <row r="444" spans="1:11" x14ac:dyDescent="0.25">
      <c r="A444" s="296">
        <v>2016</v>
      </c>
      <c r="B444" s="523"/>
      <c r="C444" s="523"/>
      <c r="D444" s="309">
        <v>66488</v>
      </c>
      <c r="E444" s="523"/>
      <c r="F444" s="308">
        <v>70542</v>
      </c>
      <c r="G444" s="310">
        <v>94.3</v>
      </c>
      <c r="H444" s="299"/>
      <c r="I444" s="523"/>
    </row>
    <row r="445" spans="1:11" x14ac:dyDescent="0.25">
      <c r="A445" s="296">
        <v>2015</v>
      </c>
      <c r="B445" s="523"/>
      <c r="C445" s="523"/>
      <c r="D445" s="309">
        <v>63836</v>
      </c>
      <c r="E445" s="523"/>
      <c r="F445" s="308">
        <v>70542</v>
      </c>
      <c r="G445" s="310">
        <v>90.5</v>
      </c>
      <c r="H445" s="299"/>
      <c r="I445" s="523"/>
    </row>
    <row r="446" spans="1:11" ht="15" customHeight="1" x14ac:dyDescent="0.25">
      <c r="A446" s="296">
        <v>2014</v>
      </c>
      <c r="B446" s="523"/>
      <c r="C446" s="523"/>
      <c r="D446" s="309">
        <v>62458</v>
      </c>
      <c r="E446" s="523"/>
      <c r="F446" s="308">
        <v>70542</v>
      </c>
      <c r="G446" s="310">
        <v>88.5</v>
      </c>
      <c r="H446" s="299"/>
      <c r="I446" s="523"/>
    </row>
    <row r="447" spans="1:11" x14ac:dyDescent="0.25">
      <c r="A447" s="296">
        <v>2013</v>
      </c>
      <c r="B447" s="523"/>
      <c r="C447" s="523"/>
      <c r="D447" s="309">
        <v>65427</v>
      </c>
      <c r="E447" s="523"/>
      <c r="F447" s="308">
        <v>64147</v>
      </c>
      <c r="G447" s="310">
        <v>102</v>
      </c>
      <c r="H447" s="299"/>
      <c r="I447" s="523"/>
    </row>
    <row r="448" spans="1:11" x14ac:dyDescent="0.25">
      <c r="A448" s="296">
        <v>2012</v>
      </c>
      <c r="B448" s="523"/>
      <c r="C448" s="523"/>
      <c r="D448" s="309">
        <v>66209</v>
      </c>
      <c r="E448" s="523"/>
      <c r="F448" s="308">
        <v>64147</v>
      </c>
      <c r="G448" s="310">
        <v>103.2</v>
      </c>
      <c r="H448" s="311">
        <v>41262</v>
      </c>
      <c r="I448" s="523"/>
    </row>
    <row r="449" spans="1:9" x14ac:dyDescent="0.25">
      <c r="A449" s="312"/>
      <c r="B449" s="313"/>
      <c r="C449" s="313"/>
      <c r="D449" s="313"/>
      <c r="E449" s="313"/>
      <c r="F449" s="313"/>
      <c r="G449" s="250"/>
      <c r="H449" s="250"/>
      <c r="I449" s="250"/>
    </row>
    <row r="450" spans="1:9" x14ac:dyDescent="0.25">
      <c r="A450" s="524" t="s">
        <v>205</v>
      </c>
      <c r="B450" s="524"/>
      <c r="C450" s="524"/>
      <c r="D450" s="524"/>
      <c r="E450" s="524"/>
      <c r="F450" s="524"/>
      <c r="G450" s="524"/>
      <c r="H450" s="524"/>
      <c r="I450" s="524"/>
    </row>
    <row r="451" spans="1:9" ht="15" customHeight="1" x14ac:dyDescent="0.25">
      <c r="A451" s="231" t="s">
        <v>20</v>
      </c>
      <c r="B451" s="504" t="s">
        <v>128</v>
      </c>
      <c r="C451" s="505"/>
      <c r="D451" s="231" t="s">
        <v>129</v>
      </c>
      <c r="E451" s="231" t="s">
        <v>130</v>
      </c>
      <c r="F451" s="231" t="s">
        <v>131</v>
      </c>
      <c r="G451" s="231" t="s">
        <v>169</v>
      </c>
      <c r="H451" s="231" t="s">
        <v>133</v>
      </c>
      <c r="I451" s="231" t="s">
        <v>134</v>
      </c>
    </row>
    <row r="452" spans="1:9" ht="15" customHeight="1" x14ac:dyDescent="0.25">
      <c r="A452" s="232" t="s">
        <v>241</v>
      </c>
      <c r="B452" s="506" t="s">
        <v>206</v>
      </c>
      <c r="C452" s="509"/>
      <c r="D452" s="233">
        <v>264758</v>
      </c>
      <c r="E452" s="515" t="s">
        <v>137</v>
      </c>
      <c r="F452" s="233">
        <v>1596510</v>
      </c>
      <c r="G452" s="234">
        <f t="shared" ref="G452:G454" si="8">(D452/F452)*100</f>
        <v>16.583547863777863</v>
      </c>
      <c r="H452" s="232"/>
      <c r="I452" s="235"/>
    </row>
    <row r="453" spans="1:9" ht="15" customHeight="1" x14ac:dyDescent="0.25">
      <c r="A453" s="232" t="s">
        <v>141</v>
      </c>
      <c r="B453" s="507"/>
      <c r="C453" s="510"/>
      <c r="D453" s="233">
        <v>1621666</v>
      </c>
      <c r="E453" s="516"/>
      <c r="F453" s="233">
        <v>1596510</v>
      </c>
      <c r="G453" s="234">
        <f t="shared" si="8"/>
        <v>101.57568696719721</v>
      </c>
      <c r="H453" s="253">
        <v>43623</v>
      </c>
      <c r="I453" s="235"/>
    </row>
    <row r="454" spans="1:9" ht="15" customHeight="1" x14ac:dyDescent="0.25">
      <c r="A454" s="232" t="s">
        <v>142</v>
      </c>
      <c r="B454" s="507"/>
      <c r="C454" s="510"/>
      <c r="D454" s="233">
        <v>1671962</v>
      </c>
      <c r="E454" s="516"/>
      <c r="F454" s="233">
        <v>1596510</v>
      </c>
      <c r="G454" s="234">
        <f t="shared" si="8"/>
        <v>104.72605871557334</v>
      </c>
      <c r="H454" s="253">
        <v>43256</v>
      </c>
      <c r="I454" s="235"/>
    </row>
    <row r="455" spans="1:9" x14ac:dyDescent="0.25">
      <c r="A455" s="236" t="s">
        <v>144</v>
      </c>
      <c r="B455" s="508"/>
      <c r="C455" s="511"/>
      <c r="D455" s="233">
        <v>1810770</v>
      </c>
      <c r="E455" s="516"/>
      <c r="F455" s="233">
        <v>1596510</v>
      </c>
      <c r="G455" s="237">
        <v>113.4</v>
      </c>
      <c r="H455" s="314">
        <v>42889</v>
      </c>
      <c r="I455" s="523" t="s">
        <v>229</v>
      </c>
    </row>
    <row r="456" spans="1:9" x14ac:dyDescent="0.25">
      <c r="A456" s="236">
        <v>2016</v>
      </c>
      <c r="B456" s="523" t="s">
        <v>136</v>
      </c>
      <c r="C456" s="523"/>
      <c r="D456" s="233">
        <v>1353176</v>
      </c>
      <c r="E456" s="516"/>
      <c r="F456" s="233">
        <v>1596510</v>
      </c>
      <c r="G456" s="237">
        <v>84.8</v>
      </c>
      <c r="H456" s="239"/>
      <c r="I456" s="523"/>
    </row>
    <row r="457" spans="1:9" x14ac:dyDescent="0.25">
      <c r="A457" s="236">
        <v>2015</v>
      </c>
      <c r="B457" s="523"/>
      <c r="C457" s="523"/>
      <c r="D457" s="233">
        <v>1691718</v>
      </c>
      <c r="E457" s="516"/>
      <c r="F457" s="233">
        <v>1596510</v>
      </c>
      <c r="G457" s="237">
        <v>106</v>
      </c>
      <c r="H457" s="314">
        <v>42308</v>
      </c>
      <c r="I457" s="523"/>
    </row>
    <row r="458" spans="1:9" x14ac:dyDescent="0.25">
      <c r="A458" s="236">
        <v>2014</v>
      </c>
      <c r="B458" s="523"/>
      <c r="C458" s="523"/>
      <c r="D458" s="233">
        <v>1575640</v>
      </c>
      <c r="E458" s="516"/>
      <c r="F458" s="233">
        <v>1596510</v>
      </c>
      <c r="G458" s="237">
        <v>98.7</v>
      </c>
      <c r="H458" s="239"/>
      <c r="I458" s="523"/>
    </row>
    <row r="459" spans="1:9" x14ac:dyDescent="0.25">
      <c r="A459" s="236">
        <v>2013</v>
      </c>
      <c r="B459" s="523"/>
      <c r="C459" s="523"/>
      <c r="D459" s="233">
        <v>1328971</v>
      </c>
      <c r="E459" s="516"/>
      <c r="F459" s="233">
        <v>1596510</v>
      </c>
      <c r="G459" s="237">
        <v>83.2</v>
      </c>
      <c r="H459" s="239"/>
      <c r="I459" s="523"/>
    </row>
    <row r="460" spans="1:9" x14ac:dyDescent="0.25">
      <c r="A460" s="236">
        <v>2012</v>
      </c>
      <c r="B460" s="523"/>
      <c r="C460" s="523"/>
      <c r="D460" s="233">
        <v>1439585</v>
      </c>
      <c r="E460" s="517"/>
      <c r="F460" s="233">
        <v>1596510</v>
      </c>
      <c r="G460" s="237">
        <v>90.2</v>
      </c>
      <c r="H460" s="252"/>
      <c r="I460" s="523"/>
    </row>
    <row r="461" spans="1:9" x14ac:dyDescent="0.25">
      <c r="A461" s="522" t="s">
        <v>280</v>
      </c>
      <c r="B461" s="522"/>
      <c r="C461" s="522"/>
      <c r="D461" s="522"/>
      <c r="E461" s="522"/>
      <c r="F461" s="522"/>
      <c r="G461" s="522"/>
      <c r="H461" s="522"/>
      <c r="I461" s="522"/>
    </row>
    <row r="462" spans="1:9" ht="15" customHeight="1" x14ac:dyDescent="0.25">
      <c r="A462" s="522"/>
      <c r="B462" s="522"/>
      <c r="C462" s="522"/>
      <c r="D462" s="522"/>
      <c r="E462" s="522"/>
      <c r="F462" s="522"/>
      <c r="G462" s="522"/>
      <c r="H462" s="522"/>
      <c r="I462" s="522"/>
    </row>
    <row r="463" spans="1:9" ht="15" customHeight="1" x14ac:dyDescent="0.25">
      <c r="A463" s="230" t="s">
        <v>281</v>
      </c>
      <c r="B463" s="230"/>
      <c r="C463" s="230"/>
      <c r="D463" s="230"/>
      <c r="E463" s="230"/>
      <c r="F463" s="230"/>
      <c r="G463" s="230"/>
      <c r="H463" s="230"/>
      <c r="I463" s="230"/>
    </row>
  </sheetData>
  <mergeCells count="305">
    <mergeCell ref="B452:C455"/>
    <mergeCell ref="E452:E460"/>
    <mergeCell ref="I455:I460"/>
    <mergeCell ref="B456:C460"/>
    <mergeCell ref="A461:I462"/>
    <mergeCell ref="B440:C440"/>
    <mergeCell ref="B441:C448"/>
    <mergeCell ref="E441:E448"/>
    <mergeCell ref="I443:I448"/>
    <mergeCell ref="A450:I450"/>
    <mergeCell ref="B451:C451"/>
    <mergeCell ref="I425:I426"/>
    <mergeCell ref="J425:J426"/>
    <mergeCell ref="A427:A428"/>
    <mergeCell ref="B431:B435"/>
    <mergeCell ref="D431:D435"/>
    <mergeCell ref="E431:E435"/>
    <mergeCell ref="F431:F435"/>
    <mergeCell ref="A436:K436"/>
    <mergeCell ref="A439:I439"/>
    <mergeCell ref="H427:H428"/>
    <mergeCell ref="I427:I428"/>
    <mergeCell ref="J427:J428"/>
    <mergeCell ref="H429:H430"/>
    <mergeCell ref="I429:I430"/>
    <mergeCell ref="J429:J430"/>
    <mergeCell ref="H419:H420"/>
    <mergeCell ref="I419:I420"/>
    <mergeCell ref="J419:J420"/>
    <mergeCell ref="A421:A422"/>
    <mergeCell ref="H421:H422"/>
    <mergeCell ref="I421:I422"/>
    <mergeCell ref="J421:J422"/>
    <mergeCell ref="K413:K435"/>
    <mergeCell ref="A415:A416"/>
    <mergeCell ref="H415:H416"/>
    <mergeCell ref="I415:I416"/>
    <mergeCell ref="J415:J416"/>
    <mergeCell ref="A417:A418"/>
    <mergeCell ref="H417:H418"/>
    <mergeCell ref="I417:I418"/>
    <mergeCell ref="J417:J418"/>
    <mergeCell ref="A419:A420"/>
    <mergeCell ref="A423:A424"/>
    <mergeCell ref="C423:C435"/>
    <mergeCell ref="H423:H424"/>
    <mergeCell ref="I423:I424"/>
    <mergeCell ref="J423:J424"/>
    <mergeCell ref="A425:A426"/>
    <mergeCell ref="H425:H426"/>
    <mergeCell ref="I411:I412"/>
    <mergeCell ref="J411:J412"/>
    <mergeCell ref="A413:A414"/>
    <mergeCell ref="H413:H414"/>
    <mergeCell ref="I413:I414"/>
    <mergeCell ref="J413:J414"/>
    <mergeCell ref="I398:I402"/>
    <mergeCell ref="A403:I405"/>
    <mergeCell ref="A407:K407"/>
    <mergeCell ref="A409:A410"/>
    <mergeCell ref="C409:C422"/>
    <mergeCell ref="H409:H410"/>
    <mergeCell ref="I409:I410"/>
    <mergeCell ref="J409:J410"/>
    <mergeCell ref="A411:A412"/>
    <mergeCell ref="H411:H412"/>
    <mergeCell ref="B384:B402"/>
    <mergeCell ref="D384:D385"/>
    <mergeCell ref="I384:I397"/>
    <mergeCell ref="A386:A387"/>
    <mergeCell ref="D386:D387"/>
    <mergeCell ref="A388:A389"/>
    <mergeCell ref="D388:D389"/>
    <mergeCell ref="A390:A391"/>
    <mergeCell ref="H373:H374"/>
    <mergeCell ref="A375:A377"/>
    <mergeCell ref="B376:B377"/>
    <mergeCell ref="D376:D377"/>
    <mergeCell ref="A378:A380"/>
    <mergeCell ref="I378:I383"/>
    <mergeCell ref="B379:B380"/>
    <mergeCell ref="D379:D380"/>
    <mergeCell ref="A381:A383"/>
    <mergeCell ref="B382:B383"/>
    <mergeCell ref="A369:A371"/>
    <mergeCell ref="C369:C397"/>
    <mergeCell ref="E369:E402"/>
    <mergeCell ref="B370:B371"/>
    <mergeCell ref="D370:D371"/>
    <mergeCell ref="A372:A374"/>
    <mergeCell ref="B373:B374"/>
    <mergeCell ref="D373:D374"/>
    <mergeCell ref="D382:D383"/>
    <mergeCell ref="A384:A385"/>
    <mergeCell ref="D390:D391"/>
    <mergeCell ref="C398:C402"/>
    <mergeCell ref="A348:I348"/>
    <mergeCell ref="B349:C349"/>
    <mergeCell ref="B350:C365"/>
    <mergeCell ref="E350:E365"/>
    <mergeCell ref="I352:I365"/>
    <mergeCell ref="A367:I367"/>
    <mergeCell ref="A336:I336"/>
    <mergeCell ref="B337:C337"/>
    <mergeCell ref="B338:C345"/>
    <mergeCell ref="E338:E345"/>
    <mergeCell ref="I340:I345"/>
    <mergeCell ref="A346:I346"/>
    <mergeCell ref="A324:I324"/>
    <mergeCell ref="B326:B333"/>
    <mergeCell ref="C326:C333"/>
    <mergeCell ref="E326:E333"/>
    <mergeCell ref="I328:I333"/>
    <mergeCell ref="A335:I335"/>
    <mergeCell ref="A312:I312"/>
    <mergeCell ref="B314:B321"/>
    <mergeCell ref="C314:C321"/>
    <mergeCell ref="E314:E321"/>
    <mergeCell ref="I316:I321"/>
    <mergeCell ref="A323:I323"/>
    <mergeCell ref="B298:C298"/>
    <mergeCell ref="B299:C306"/>
    <mergeCell ref="E299:E306"/>
    <mergeCell ref="I301:I306"/>
    <mergeCell ref="A307:I308"/>
    <mergeCell ref="A309:I310"/>
    <mergeCell ref="B280:B295"/>
    <mergeCell ref="C280:C295"/>
    <mergeCell ref="E280:E285"/>
    <mergeCell ref="I282:I295"/>
    <mergeCell ref="E286:E295"/>
    <mergeCell ref="A297:I297"/>
    <mergeCell ref="A267:I267"/>
    <mergeCell ref="B269:B276"/>
    <mergeCell ref="C269:C276"/>
    <mergeCell ref="E269:E276"/>
    <mergeCell ref="I271:I276"/>
    <mergeCell ref="A278:I278"/>
    <mergeCell ref="A255:I255"/>
    <mergeCell ref="A256:I256"/>
    <mergeCell ref="B257:C257"/>
    <mergeCell ref="B258:C265"/>
    <mergeCell ref="E258:E265"/>
    <mergeCell ref="I260:I265"/>
    <mergeCell ref="A242:L242"/>
    <mergeCell ref="A244:I244"/>
    <mergeCell ref="B245:C245"/>
    <mergeCell ref="B246:C253"/>
    <mergeCell ref="E246:E253"/>
    <mergeCell ref="I248:I253"/>
    <mergeCell ref="A223:A224"/>
    <mergeCell ref="C223:C236"/>
    <mergeCell ref="H223:H224"/>
    <mergeCell ref="I223:I224"/>
    <mergeCell ref="J223:J224"/>
    <mergeCell ref="A225:A226"/>
    <mergeCell ref="H225:H226"/>
    <mergeCell ref="I225:I226"/>
    <mergeCell ref="J225:J226"/>
    <mergeCell ref="B227:B241"/>
    <mergeCell ref="I217:I219"/>
    <mergeCell ref="J217:J219"/>
    <mergeCell ref="B218:B219"/>
    <mergeCell ref="A220:A222"/>
    <mergeCell ref="H220:H222"/>
    <mergeCell ref="I220:I222"/>
    <mergeCell ref="J220:J222"/>
    <mergeCell ref="B221:B222"/>
    <mergeCell ref="A212:L212"/>
    <mergeCell ref="A214:A216"/>
    <mergeCell ref="E214:E241"/>
    <mergeCell ref="H214:H216"/>
    <mergeCell ref="I214:I216"/>
    <mergeCell ref="J214:J216"/>
    <mergeCell ref="L214:L226"/>
    <mergeCell ref="B215:B216"/>
    <mergeCell ref="A217:A219"/>
    <mergeCell ref="H217:H219"/>
    <mergeCell ref="L227:L241"/>
    <mergeCell ref="C237:C241"/>
    <mergeCell ref="A200:I200"/>
    <mergeCell ref="A201:I201"/>
    <mergeCell ref="B202:C202"/>
    <mergeCell ref="B203:C210"/>
    <mergeCell ref="E203:E210"/>
    <mergeCell ref="I205:I210"/>
    <mergeCell ref="B188:C190"/>
    <mergeCell ref="E188:E190"/>
    <mergeCell ref="A192:I192"/>
    <mergeCell ref="B193:C193"/>
    <mergeCell ref="B194:C198"/>
    <mergeCell ref="E194:E198"/>
    <mergeCell ref="I194:I198"/>
    <mergeCell ref="A180:I180"/>
    <mergeCell ref="B181:C181"/>
    <mergeCell ref="B182:C184"/>
    <mergeCell ref="E182:E184"/>
    <mergeCell ref="A186:I186"/>
    <mergeCell ref="B187:C187"/>
    <mergeCell ref="A168:I168"/>
    <mergeCell ref="A169:I169"/>
    <mergeCell ref="B170:C170"/>
    <mergeCell ref="B171:C178"/>
    <mergeCell ref="E171:E178"/>
    <mergeCell ref="I173:I178"/>
    <mergeCell ref="I144:I145"/>
    <mergeCell ref="J144:J145"/>
    <mergeCell ref="B146:B148"/>
    <mergeCell ref="A149:K149"/>
    <mergeCell ref="A152:I152"/>
    <mergeCell ref="B154:B159"/>
    <mergeCell ref="C154:C166"/>
    <mergeCell ref="E154:E159"/>
    <mergeCell ref="I157:I166"/>
    <mergeCell ref="B160:B166"/>
    <mergeCell ref="E160:E161"/>
    <mergeCell ref="E162:E166"/>
    <mergeCell ref="H138:H139"/>
    <mergeCell ref="I138:I139"/>
    <mergeCell ref="J138:J139"/>
    <mergeCell ref="A140:A141"/>
    <mergeCell ref="H140:H141"/>
    <mergeCell ref="I140:I141"/>
    <mergeCell ref="J140:J141"/>
    <mergeCell ref="A119:A120"/>
    <mergeCell ref="A121:A122"/>
    <mergeCell ref="B123:B132"/>
    <mergeCell ref="A134:K134"/>
    <mergeCell ref="A136:A137"/>
    <mergeCell ref="C136:C148"/>
    <mergeCell ref="H136:H137"/>
    <mergeCell ref="I136:I137"/>
    <mergeCell ref="J136:J137"/>
    <mergeCell ref="A138:A139"/>
    <mergeCell ref="K140:K148"/>
    <mergeCell ref="A142:A143"/>
    <mergeCell ref="H142:H143"/>
    <mergeCell ref="I142:I143"/>
    <mergeCell ref="J142:J143"/>
    <mergeCell ref="A144:A145"/>
    <mergeCell ref="H144:H145"/>
    <mergeCell ref="B106:C106"/>
    <mergeCell ref="B107:C107"/>
    <mergeCell ref="A109:I109"/>
    <mergeCell ref="A111:A112"/>
    <mergeCell ref="C111:C132"/>
    <mergeCell ref="E111:E132"/>
    <mergeCell ref="A113:A114"/>
    <mergeCell ref="A115:A116"/>
    <mergeCell ref="I115:I132"/>
    <mergeCell ref="A117:A118"/>
    <mergeCell ref="A91:I91"/>
    <mergeCell ref="B93:B103"/>
    <mergeCell ref="C93:C103"/>
    <mergeCell ref="E93:E103"/>
    <mergeCell ref="I95:I103"/>
    <mergeCell ref="A105:I105"/>
    <mergeCell ref="A77:I77"/>
    <mergeCell ref="A78:I78"/>
    <mergeCell ref="A80:I80"/>
    <mergeCell ref="B81:C81"/>
    <mergeCell ref="B82:C89"/>
    <mergeCell ref="E82:E89"/>
    <mergeCell ref="I84:I89"/>
    <mergeCell ref="A66:I66"/>
    <mergeCell ref="A67:I67"/>
    <mergeCell ref="B68:C68"/>
    <mergeCell ref="B69:C76"/>
    <mergeCell ref="E69:E76"/>
    <mergeCell ref="I71:I76"/>
    <mergeCell ref="A56:I56"/>
    <mergeCell ref="B57:C57"/>
    <mergeCell ref="B58:C63"/>
    <mergeCell ref="E58:E63"/>
    <mergeCell ref="I60:I63"/>
    <mergeCell ref="A64:I64"/>
    <mergeCell ref="B41:C41"/>
    <mergeCell ref="B42:C46"/>
    <mergeCell ref="E42:E48"/>
    <mergeCell ref="I44:I54"/>
    <mergeCell ref="B47:C47"/>
    <mergeCell ref="B48:C48"/>
    <mergeCell ref="B49:C49"/>
    <mergeCell ref="E49:E54"/>
    <mergeCell ref="B50:C54"/>
    <mergeCell ref="A40:I40"/>
    <mergeCell ref="B9:C16"/>
    <mergeCell ref="E9:E16"/>
    <mergeCell ref="I11:I16"/>
    <mergeCell ref="A18:I18"/>
    <mergeCell ref="B19:C19"/>
    <mergeCell ref="B20:C27"/>
    <mergeCell ref="E20:E27"/>
    <mergeCell ref="I22:I27"/>
    <mergeCell ref="A1:I1"/>
    <mergeCell ref="A2:I2"/>
    <mergeCell ref="A3:I4"/>
    <mergeCell ref="A5:I5"/>
    <mergeCell ref="A7:I7"/>
    <mergeCell ref="B8:C8"/>
    <mergeCell ref="A29:I29"/>
    <mergeCell ref="B31:B38"/>
    <mergeCell ref="C31:C38"/>
    <mergeCell ref="E31:E38"/>
    <mergeCell ref="I33:I3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8"/>
  <sheetViews>
    <sheetView tabSelected="1" topLeftCell="I1" zoomScale="90" zoomScaleNormal="90" workbookViewId="0">
      <selection activeCell="C43" sqref="C43:G44"/>
    </sheetView>
  </sheetViews>
  <sheetFormatPr defaultRowHeight="15" x14ac:dyDescent="0.25"/>
  <cols>
    <col min="1" max="1" width="8.85546875" style="17"/>
    <col min="3" max="3" width="12.28515625" customWidth="1"/>
    <col min="4" max="4" width="12.7109375" bestFit="1" customWidth="1"/>
    <col min="5" max="5" width="11.5703125" bestFit="1" customWidth="1"/>
    <col min="6" max="6" width="13.140625" customWidth="1"/>
    <col min="7" max="7" width="13" bestFit="1" customWidth="1"/>
    <col min="8" max="8" width="11.5703125" bestFit="1" customWidth="1"/>
    <col min="9" max="9" width="12" bestFit="1" customWidth="1"/>
    <col min="10" max="10" width="12.140625" bestFit="1" customWidth="1"/>
    <col min="13" max="13" width="24" bestFit="1" customWidth="1"/>
    <col min="14" max="14" width="9.7109375" bestFit="1" customWidth="1"/>
    <col min="15" max="15" width="10.7109375" bestFit="1" customWidth="1"/>
    <col min="23" max="23" width="10.28515625" bestFit="1" customWidth="1"/>
    <col min="26" max="26" width="14.7109375" bestFit="1" customWidth="1"/>
    <col min="27" max="27" width="10.85546875" customWidth="1"/>
    <col min="29" max="29" width="9.140625" customWidth="1"/>
    <col min="31" max="31" width="12.28515625" bestFit="1" customWidth="1"/>
  </cols>
  <sheetData>
    <row r="1" spans="1:10" x14ac:dyDescent="0.25">
      <c r="B1" t="s">
        <v>2</v>
      </c>
    </row>
    <row r="2" spans="1:10" x14ac:dyDescent="0.25">
      <c r="B2" s="17"/>
      <c r="I2" s="63"/>
      <c r="J2" s="64"/>
    </row>
    <row r="3" spans="1:10" x14ac:dyDescent="0.25">
      <c r="A3" s="17" t="s">
        <v>66</v>
      </c>
      <c r="B3" s="17" t="s">
        <v>311</v>
      </c>
      <c r="C3" s="1" t="s">
        <v>20</v>
      </c>
      <c r="D3" s="47" t="s">
        <v>307</v>
      </c>
      <c r="E3" s="10" t="s">
        <v>308</v>
      </c>
      <c r="F3" s="9" t="s">
        <v>1</v>
      </c>
      <c r="G3" s="8" t="s">
        <v>305</v>
      </c>
      <c r="H3" s="34" t="s">
        <v>306</v>
      </c>
      <c r="I3" s="65" t="s">
        <v>310</v>
      </c>
      <c r="J3" s="68" t="s">
        <v>309</v>
      </c>
    </row>
    <row r="4" spans="1:10" x14ac:dyDescent="0.25">
      <c r="B4" s="17"/>
      <c r="C4" s="1">
        <v>1986</v>
      </c>
      <c r="D4" s="41">
        <f>E4+F4</f>
        <v>799986.2186778899</v>
      </c>
      <c r="E4" s="22">
        <v>780637.2186778899</v>
      </c>
      <c r="F4" s="3">
        <v>19349</v>
      </c>
      <c r="G4" s="20">
        <f>F4+H4</f>
        <v>867472.70079889975</v>
      </c>
      <c r="H4" s="35">
        <v>848123.70079889975</v>
      </c>
      <c r="I4" s="66"/>
      <c r="J4" s="69"/>
    </row>
    <row r="5" spans="1:10" s="2" customFormat="1" x14ac:dyDescent="0.25">
      <c r="A5" s="23"/>
      <c r="B5" s="17"/>
      <c r="C5" s="1">
        <v>1987</v>
      </c>
      <c r="D5" s="41">
        <f t="shared" ref="D5:D35" si="0">E5+F5</f>
        <v>234696.17478251003</v>
      </c>
      <c r="E5" s="22">
        <v>213166.17478251003</v>
      </c>
      <c r="F5" s="3">
        <v>21530</v>
      </c>
      <c r="G5" s="20">
        <f t="shared" ref="G5:G35" si="1">F5+H5</f>
        <v>237512.15550850998</v>
      </c>
      <c r="H5" s="35">
        <v>215982.15550850998</v>
      </c>
      <c r="I5" s="66"/>
      <c r="J5" s="70"/>
    </row>
    <row r="6" spans="1:10" x14ac:dyDescent="0.25">
      <c r="B6" s="17"/>
      <c r="C6" s="1">
        <v>1988</v>
      </c>
      <c r="D6" s="41">
        <f t="shared" si="0"/>
        <v>904692.01305404003</v>
      </c>
      <c r="E6" s="22">
        <v>884891.01305404003</v>
      </c>
      <c r="F6" s="3">
        <v>19801</v>
      </c>
      <c r="G6" s="20">
        <f t="shared" si="1"/>
        <v>430987.12370220001</v>
      </c>
      <c r="H6" s="35">
        <v>411186.12370220001</v>
      </c>
      <c r="I6" s="66"/>
      <c r="J6" s="71"/>
    </row>
    <row r="7" spans="1:10" x14ac:dyDescent="0.25">
      <c r="B7" s="17"/>
      <c r="C7" s="1">
        <v>1989</v>
      </c>
      <c r="D7" s="41">
        <f t="shared" si="0"/>
        <v>264521.05617355899</v>
      </c>
      <c r="E7" s="22">
        <v>241558.05617355899</v>
      </c>
      <c r="F7" s="3">
        <v>22963</v>
      </c>
      <c r="G7" s="20">
        <f t="shared" si="1"/>
        <v>402656.41971081891</v>
      </c>
      <c r="H7" s="35">
        <v>379693.41971081891</v>
      </c>
      <c r="I7" s="66"/>
      <c r="J7" s="71"/>
    </row>
    <row r="8" spans="1:10" x14ac:dyDescent="0.25">
      <c r="B8" s="17"/>
      <c r="C8" s="1">
        <v>1990</v>
      </c>
      <c r="D8" s="41">
        <f t="shared" si="0"/>
        <v>404489.00020713394</v>
      </c>
      <c r="E8" s="22">
        <v>388011.00020713394</v>
      </c>
      <c r="F8" s="3">
        <v>16478</v>
      </c>
      <c r="G8" s="20">
        <f t="shared" si="1"/>
        <v>386261.31592813897</v>
      </c>
      <c r="H8" s="35">
        <v>369783.31592813897</v>
      </c>
      <c r="I8" s="66"/>
      <c r="J8" s="71"/>
    </row>
    <row r="9" spans="1:10" s="6" customFormat="1" x14ac:dyDescent="0.25">
      <c r="A9" s="17"/>
      <c r="B9" s="17"/>
      <c r="C9" s="1">
        <v>1991</v>
      </c>
      <c r="D9" s="41">
        <f t="shared" si="0"/>
        <v>405214.28919985011</v>
      </c>
      <c r="E9" s="22">
        <v>374787.28919985011</v>
      </c>
      <c r="F9" s="3">
        <v>30427</v>
      </c>
      <c r="G9" s="20">
        <f t="shared" si="1"/>
        <v>408885.93285009009</v>
      </c>
      <c r="H9" s="35">
        <v>378458.93285009009</v>
      </c>
      <c r="I9" s="66"/>
      <c r="J9" s="71"/>
    </row>
    <row r="10" spans="1:10" x14ac:dyDescent="0.25">
      <c r="B10" s="17"/>
      <c r="C10" s="1">
        <v>1992</v>
      </c>
      <c r="D10" s="41">
        <f t="shared" si="0"/>
        <v>674889.27557613014</v>
      </c>
      <c r="E10" s="22">
        <v>650380.27557613014</v>
      </c>
      <c r="F10" s="3">
        <v>24509</v>
      </c>
      <c r="G10" s="20">
        <f t="shared" si="1"/>
        <v>893781.2833650501</v>
      </c>
      <c r="H10" s="35">
        <v>869272.2833650501</v>
      </c>
      <c r="I10" s="66"/>
      <c r="J10" s="71"/>
    </row>
    <row r="11" spans="1:10" x14ac:dyDescent="0.25">
      <c r="B11" s="17"/>
      <c r="C11" s="1">
        <v>1993</v>
      </c>
      <c r="D11" s="41">
        <f t="shared" si="0"/>
        <v>1070322.7128289002</v>
      </c>
      <c r="E11" s="22">
        <v>1042994.7128289002</v>
      </c>
      <c r="F11" s="3">
        <v>27328</v>
      </c>
      <c r="G11" s="20">
        <f t="shared" si="1"/>
        <v>1016883.0073949002</v>
      </c>
      <c r="H11" s="35">
        <v>989555.0073949002</v>
      </c>
      <c r="I11" s="66"/>
      <c r="J11" s="71"/>
    </row>
    <row r="12" spans="1:10" x14ac:dyDescent="0.25">
      <c r="B12" s="17"/>
      <c r="C12" s="1">
        <v>1994</v>
      </c>
      <c r="D12" s="41">
        <f t="shared" si="0"/>
        <v>826088.61507139972</v>
      </c>
      <c r="E12" s="22">
        <v>795414.61507139972</v>
      </c>
      <c r="F12" s="3">
        <v>30674</v>
      </c>
      <c r="G12" s="20">
        <f t="shared" si="1"/>
        <v>806645.06726375979</v>
      </c>
      <c r="H12" s="35">
        <v>775971.06726375979</v>
      </c>
      <c r="I12" s="66"/>
      <c r="J12" s="71"/>
    </row>
    <row r="13" spans="1:10" x14ac:dyDescent="0.25">
      <c r="B13" s="17"/>
      <c r="C13" s="1">
        <v>1995</v>
      </c>
      <c r="D13" s="41">
        <f t="shared" si="0"/>
        <v>890984.01286073984</v>
      </c>
      <c r="E13" s="22">
        <v>838547.01286073984</v>
      </c>
      <c r="F13" s="3">
        <v>52437</v>
      </c>
      <c r="G13" s="20">
        <f t="shared" si="1"/>
        <v>878920.69030102983</v>
      </c>
      <c r="H13" s="35">
        <v>826483.69030102983</v>
      </c>
      <c r="I13" s="66"/>
      <c r="J13" s="71"/>
    </row>
    <row r="14" spans="1:10" x14ac:dyDescent="0.25">
      <c r="B14" s="17"/>
      <c r="C14" s="1">
        <v>1996</v>
      </c>
      <c r="D14" s="41">
        <f t="shared" si="0"/>
        <v>637417.50533585018</v>
      </c>
      <c r="E14" s="22">
        <v>574494.50533585018</v>
      </c>
      <c r="F14" s="3">
        <v>62923</v>
      </c>
      <c r="G14" s="20">
        <f t="shared" si="1"/>
        <v>722512.25898853049</v>
      </c>
      <c r="H14" s="35">
        <v>659589.25898853049</v>
      </c>
      <c r="I14" s="66"/>
      <c r="J14" s="71"/>
    </row>
    <row r="15" spans="1:10" x14ac:dyDescent="0.25">
      <c r="B15" s="17"/>
      <c r="C15" s="1">
        <v>1997</v>
      </c>
      <c r="D15" s="41">
        <f t="shared" si="0"/>
        <v>925543.2031375902</v>
      </c>
      <c r="E15" s="22">
        <v>859320.2031375902</v>
      </c>
      <c r="F15" s="3">
        <v>66223</v>
      </c>
      <c r="G15" s="20">
        <f t="shared" si="1"/>
        <v>897031.62327695009</v>
      </c>
      <c r="H15" s="35">
        <v>830808.62327695009</v>
      </c>
      <c r="I15" s="66"/>
      <c r="J15" s="71"/>
    </row>
    <row r="16" spans="1:10" x14ac:dyDescent="0.25">
      <c r="B16" s="17"/>
      <c r="C16" s="1">
        <v>1998</v>
      </c>
      <c r="D16" s="41">
        <f t="shared" si="0"/>
        <v>718827.8357033201</v>
      </c>
      <c r="E16" s="22">
        <v>673665.8357033201</v>
      </c>
      <c r="F16" s="3">
        <v>45162</v>
      </c>
      <c r="G16" s="20">
        <f t="shared" si="1"/>
        <v>717811.84020892985</v>
      </c>
      <c r="H16" s="35">
        <v>672649.84020892985</v>
      </c>
      <c r="I16" s="66"/>
      <c r="J16" s="71"/>
    </row>
    <row r="17" spans="1:11" x14ac:dyDescent="0.25">
      <c r="A17" s="17">
        <f>_xlfn.RANK.AVG(D17,$D$17:$D$25)</f>
        <v>3</v>
      </c>
      <c r="B17" s="17">
        <f>_xlfn.RANK.AVG(G17,$G$17:$G$25)</f>
        <v>2</v>
      </c>
      <c r="C17" s="1">
        <v>1999</v>
      </c>
      <c r="D17" s="41">
        <f t="shared" si="0"/>
        <v>1016657.610147409</v>
      </c>
      <c r="E17" s="22">
        <v>977329.61014740902</v>
      </c>
      <c r="F17" s="3">
        <v>39328</v>
      </c>
      <c r="G17" s="20">
        <f t="shared" si="1"/>
        <v>1073094.9696777593</v>
      </c>
      <c r="H17" s="35">
        <v>1033766.9696777592</v>
      </c>
      <c r="I17" s="66"/>
      <c r="J17" s="71"/>
      <c r="K17" s="17">
        <v>1999</v>
      </c>
    </row>
    <row r="18" spans="1:11" s="6" customFormat="1" x14ac:dyDescent="0.25">
      <c r="A18" s="17">
        <f t="shared" ref="A18:A25" si="2">_xlfn.RANK.AVG(D18,$D$17:$D$25)</f>
        <v>4</v>
      </c>
      <c r="B18" s="17">
        <f t="shared" ref="B18:B25" si="3">_xlfn.RANK.AVG(G18,$G$17:$G$25)</f>
        <v>4</v>
      </c>
      <c r="C18" s="1">
        <v>2000</v>
      </c>
      <c r="D18" s="41">
        <f t="shared" si="0"/>
        <v>936224.66505469999</v>
      </c>
      <c r="E18" s="22">
        <v>877217.66505469999</v>
      </c>
      <c r="F18" s="3">
        <v>59007</v>
      </c>
      <c r="G18" s="20">
        <f t="shared" si="1"/>
        <v>990242.67552726006</v>
      </c>
      <c r="H18" s="35">
        <v>931235.67552726006</v>
      </c>
      <c r="I18" s="66"/>
      <c r="J18" s="71"/>
      <c r="K18" s="17">
        <v>2000</v>
      </c>
    </row>
    <row r="19" spans="1:11" x14ac:dyDescent="0.25">
      <c r="A19" s="17">
        <f t="shared" si="2"/>
        <v>2</v>
      </c>
      <c r="B19" s="17">
        <f t="shared" si="3"/>
        <v>1</v>
      </c>
      <c r="C19" s="1">
        <v>2001</v>
      </c>
      <c r="D19" s="41">
        <f t="shared" si="0"/>
        <v>1118793.8968728716</v>
      </c>
      <c r="E19" s="22">
        <v>1067341.8968728716</v>
      </c>
      <c r="F19" s="3">
        <v>51452</v>
      </c>
      <c r="G19" s="20">
        <f t="shared" si="1"/>
        <v>1081688.1712453109</v>
      </c>
      <c r="H19" s="35">
        <v>1030236.171245311</v>
      </c>
      <c r="I19" s="66"/>
      <c r="J19" s="71"/>
      <c r="K19" s="17">
        <v>2001</v>
      </c>
    </row>
    <row r="20" spans="1:11" x14ac:dyDescent="0.25">
      <c r="A20" s="17">
        <f t="shared" si="2"/>
        <v>1</v>
      </c>
      <c r="B20" s="17">
        <f t="shared" si="3"/>
        <v>5</v>
      </c>
      <c r="C20" s="1">
        <v>2002</v>
      </c>
      <c r="D20" s="41">
        <f t="shared" si="0"/>
        <v>1646747.5841152712</v>
      </c>
      <c r="E20" s="22">
        <v>1598802.5841152712</v>
      </c>
      <c r="F20" s="3">
        <v>47945</v>
      </c>
      <c r="G20" s="20">
        <f t="shared" si="1"/>
        <v>941539.58255214978</v>
      </c>
      <c r="H20" s="35">
        <v>893594.58255214978</v>
      </c>
      <c r="I20" s="66"/>
      <c r="J20" s="71"/>
      <c r="K20" s="17">
        <v>2002</v>
      </c>
    </row>
    <row r="21" spans="1:11" x14ac:dyDescent="0.25">
      <c r="A21" s="17">
        <f t="shared" si="2"/>
        <v>5</v>
      </c>
      <c r="B21" s="17">
        <f t="shared" si="3"/>
        <v>3</v>
      </c>
      <c r="C21" s="1">
        <v>2003</v>
      </c>
      <c r="D21" s="41">
        <f t="shared" si="0"/>
        <v>809203.46537677001</v>
      </c>
      <c r="E21" s="22">
        <v>767405.46537677001</v>
      </c>
      <c r="F21" s="3">
        <v>41798</v>
      </c>
      <c r="G21" s="20">
        <f t="shared" si="1"/>
        <v>1052662.8264524401</v>
      </c>
      <c r="H21" s="35">
        <v>1010864.82645244</v>
      </c>
      <c r="I21" s="66"/>
      <c r="J21" s="71"/>
      <c r="K21" s="17">
        <v>2003</v>
      </c>
    </row>
    <row r="22" spans="1:11" x14ac:dyDescent="0.25">
      <c r="A22" s="17">
        <f t="shared" si="2"/>
        <v>9</v>
      </c>
      <c r="B22" s="17">
        <f t="shared" si="3"/>
        <v>9</v>
      </c>
      <c r="C22" s="1">
        <v>2004</v>
      </c>
      <c r="D22" s="41">
        <f t="shared" si="0"/>
        <v>205472.39917210003</v>
      </c>
      <c r="E22" s="22">
        <v>152595.39917210003</v>
      </c>
      <c r="F22" s="3">
        <v>52877</v>
      </c>
      <c r="G22" s="20">
        <f t="shared" si="1"/>
        <v>278178.62386070006</v>
      </c>
      <c r="H22" s="35">
        <v>225301.62386070003</v>
      </c>
      <c r="I22" s="66"/>
      <c r="J22" s="71"/>
      <c r="K22" s="17">
        <v>2004</v>
      </c>
    </row>
    <row r="23" spans="1:11" x14ac:dyDescent="0.25">
      <c r="A23" s="17">
        <f t="shared" si="2"/>
        <v>8</v>
      </c>
      <c r="B23" s="17">
        <f t="shared" si="3"/>
        <v>8</v>
      </c>
      <c r="C23" s="1">
        <v>2005</v>
      </c>
      <c r="D23" s="41">
        <f t="shared" si="0"/>
        <v>234322.75791027502</v>
      </c>
      <c r="E23" s="22">
        <v>188005.75791027502</v>
      </c>
      <c r="F23" s="3">
        <v>46317</v>
      </c>
      <c r="G23" s="20">
        <f t="shared" si="1"/>
        <v>280864.01555687498</v>
      </c>
      <c r="H23" s="35">
        <v>234547.01555687498</v>
      </c>
      <c r="I23" s="66"/>
      <c r="J23" s="71"/>
      <c r="K23" s="17">
        <v>2005</v>
      </c>
    </row>
    <row r="24" spans="1:11" x14ac:dyDescent="0.25">
      <c r="A24" s="17">
        <f t="shared" si="2"/>
        <v>7</v>
      </c>
      <c r="B24" s="17">
        <f t="shared" si="3"/>
        <v>7</v>
      </c>
      <c r="C24" s="1">
        <v>2006</v>
      </c>
      <c r="D24" s="41">
        <f t="shared" si="0"/>
        <v>462495.87617857993</v>
      </c>
      <c r="E24" s="22">
        <v>428233.87617857993</v>
      </c>
      <c r="F24" s="3">
        <v>34262</v>
      </c>
      <c r="G24" s="20">
        <f t="shared" si="1"/>
        <v>505715.75705140992</v>
      </c>
      <c r="H24" s="35">
        <v>471453.75705140992</v>
      </c>
      <c r="I24" s="66"/>
      <c r="J24" s="71"/>
      <c r="K24" s="17">
        <v>2006</v>
      </c>
    </row>
    <row r="25" spans="1:11" x14ac:dyDescent="0.25">
      <c r="A25" s="17">
        <f t="shared" si="2"/>
        <v>6</v>
      </c>
      <c r="B25" s="17">
        <f t="shared" si="3"/>
        <v>6</v>
      </c>
      <c r="C25" s="1">
        <v>2007</v>
      </c>
      <c r="D25" s="41">
        <f t="shared" si="0"/>
        <v>620686.04364256014</v>
      </c>
      <c r="E25" s="22">
        <v>591092.04364256014</v>
      </c>
      <c r="F25" s="3">
        <v>29594</v>
      </c>
      <c r="G25" s="20">
        <f t="shared" si="1"/>
        <v>691302.32464310015</v>
      </c>
      <c r="H25" s="35">
        <v>661708.32464310015</v>
      </c>
      <c r="I25" s="66"/>
      <c r="J25" s="71"/>
      <c r="K25" s="17">
        <v>2007</v>
      </c>
    </row>
    <row r="26" spans="1:11" x14ac:dyDescent="0.25">
      <c r="B26" s="17"/>
      <c r="C26" s="1">
        <v>2008</v>
      </c>
      <c r="D26" s="41">
        <f t="shared" si="0"/>
        <v>617578.04964047961</v>
      </c>
      <c r="E26" s="22">
        <v>594616.04964047961</v>
      </c>
      <c r="F26" s="3">
        <v>22962</v>
      </c>
      <c r="G26" s="20">
        <f t="shared" si="1"/>
        <v>636976.85951145936</v>
      </c>
      <c r="H26" s="35">
        <v>614014.85951145936</v>
      </c>
      <c r="I26" s="66"/>
      <c r="J26" s="71"/>
    </row>
    <row r="27" spans="1:11" x14ac:dyDescent="0.25">
      <c r="B27" s="17"/>
      <c r="C27" s="1">
        <v>2009</v>
      </c>
      <c r="D27" s="41">
        <f t="shared" si="0"/>
        <v>780714.60906358727</v>
      </c>
      <c r="E27" s="22">
        <v>746579.60906358727</v>
      </c>
      <c r="F27" s="3">
        <v>34135</v>
      </c>
      <c r="G27" s="20">
        <f t="shared" si="1"/>
        <v>578813.36186510732</v>
      </c>
      <c r="H27" s="35">
        <v>544678.36186510732</v>
      </c>
      <c r="I27" s="66"/>
      <c r="J27" s="71"/>
    </row>
    <row r="28" spans="1:11" x14ac:dyDescent="0.25">
      <c r="B28" s="17"/>
      <c r="C28" s="1">
        <v>2010</v>
      </c>
      <c r="D28" s="41">
        <f t="shared" si="0"/>
        <v>1522686.1562669398</v>
      </c>
      <c r="E28" s="22">
        <v>1496637.1562669398</v>
      </c>
      <c r="F28" s="3">
        <v>26049</v>
      </c>
      <c r="G28" s="20">
        <f t="shared" si="1"/>
        <v>1462944.86756202</v>
      </c>
      <c r="H28" s="35">
        <v>1436895.86756202</v>
      </c>
      <c r="I28" s="66"/>
      <c r="J28" s="71"/>
    </row>
    <row r="29" spans="1:11" x14ac:dyDescent="0.25">
      <c r="B29" s="17"/>
      <c r="C29" s="1">
        <v>2011</v>
      </c>
      <c r="D29" s="41">
        <f t="shared" si="0"/>
        <v>218470.01476784993</v>
      </c>
      <c r="E29" s="22">
        <v>194336.01476784993</v>
      </c>
      <c r="F29" s="3">
        <v>24134</v>
      </c>
      <c r="G29" s="20">
        <f t="shared" si="1"/>
        <v>208999.79216110491</v>
      </c>
      <c r="H29" s="35">
        <v>184865.79216110491</v>
      </c>
      <c r="I29" s="66"/>
      <c r="J29" s="71"/>
    </row>
    <row r="30" spans="1:11" x14ac:dyDescent="0.25">
      <c r="B30" s="17"/>
      <c r="C30" s="18">
        <v>2012</v>
      </c>
      <c r="D30" s="41">
        <f t="shared" si="0"/>
        <v>279817.45306961704</v>
      </c>
      <c r="E30" s="22">
        <v>252399.45306961704</v>
      </c>
      <c r="F30" s="21">
        <v>27418</v>
      </c>
      <c r="G30" s="20">
        <f t="shared" si="1"/>
        <v>285414.95643334696</v>
      </c>
      <c r="H30" s="35">
        <v>257996.95643334699</v>
      </c>
      <c r="I30" s="67">
        <f>VLOOKUP(VLOOKUP(3,$A$17:$C$25,3,FALSE),$C$17:$D$25,2,FALSE)</f>
        <v>1016657.610147409</v>
      </c>
      <c r="J30" s="72">
        <f>VLOOKUP(VLOOKUP(3,$B$17:$C$25,2,FALSE),$C$17:$G$25,5,FALSE)</f>
        <v>1052662.8264524401</v>
      </c>
    </row>
    <row r="31" spans="1:11" x14ac:dyDescent="0.25">
      <c r="B31" s="17"/>
      <c r="C31" s="18">
        <v>2013</v>
      </c>
      <c r="D31" s="41">
        <f t="shared" si="0"/>
        <v>259849.10692592</v>
      </c>
      <c r="E31" s="22">
        <v>236250.10692592</v>
      </c>
      <c r="F31" s="21">
        <v>23599</v>
      </c>
      <c r="G31" s="20">
        <f t="shared" si="1"/>
        <v>204532.78026919003</v>
      </c>
      <c r="H31" s="35">
        <v>180933.78026919003</v>
      </c>
      <c r="I31" s="67">
        <f t="shared" ref="I31:I32" si="4">VLOOKUP(VLOOKUP(3,$A$17:$C$25,3,FALSE),$C$17:$D$25,2,FALSE)</f>
        <v>1016657.610147409</v>
      </c>
      <c r="J31" s="72">
        <f t="shared" ref="J31:J32" si="5">VLOOKUP(VLOOKUP(3,$B$17:$C$25,2,FALSE),$C$17:$G$25,5,FALSE)</f>
        <v>1052662.8264524401</v>
      </c>
    </row>
    <row r="32" spans="1:11" x14ac:dyDescent="0.25">
      <c r="B32" s="17"/>
      <c r="C32" s="18">
        <v>2014</v>
      </c>
      <c r="D32" s="41">
        <f t="shared" si="0"/>
        <v>1602882.8500904306</v>
      </c>
      <c r="E32" s="22">
        <v>1576244.8500904306</v>
      </c>
      <c r="F32" s="21">
        <v>26638</v>
      </c>
      <c r="G32" s="20">
        <f t="shared" si="1"/>
        <v>3827435.9661587398</v>
      </c>
      <c r="H32" s="35">
        <v>3800797.9661587398</v>
      </c>
      <c r="I32" s="67">
        <f t="shared" si="4"/>
        <v>1016657.610147409</v>
      </c>
      <c r="J32" s="72">
        <f t="shared" si="5"/>
        <v>1052662.8264524401</v>
      </c>
    </row>
    <row r="33" spans="2:32" x14ac:dyDescent="0.25">
      <c r="B33" s="17"/>
      <c r="C33" s="18">
        <v>2015</v>
      </c>
      <c r="D33" s="41">
        <f t="shared" si="0"/>
        <v>603473.33676759992</v>
      </c>
      <c r="E33" s="22">
        <v>582798.33676759992</v>
      </c>
      <c r="F33" s="21">
        <v>20675</v>
      </c>
      <c r="G33" s="20">
        <f t="shared" si="1"/>
        <v>1698539.2625120007</v>
      </c>
      <c r="H33" s="35">
        <v>1677864.2625120007</v>
      </c>
      <c r="I33" s="67">
        <f>$N$41</f>
        <v>1976097.1009383255</v>
      </c>
      <c r="J33" s="72">
        <f>$O$41</f>
        <v>1298025.8054943732</v>
      </c>
      <c r="M33" s="365" t="s">
        <v>74</v>
      </c>
      <c r="N33" s="365"/>
      <c r="O33" s="365"/>
    </row>
    <row r="34" spans="2:32" s="17" customFormat="1" x14ac:dyDescent="0.25">
      <c r="C34" s="18">
        <v>2016</v>
      </c>
      <c r="D34" s="41">
        <f t="shared" si="0"/>
        <v>119005.74475593997</v>
      </c>
      <c r="E34" s="22">
        <v>98576.744755939973</v>
      </c>
      <c r="F34" s="21">
        <v>20429</v>
      </c>
      <c r="G34" s="20">
        <f t="shared" si="1"/>
        <v>132113.40932104999</v>
      </c>
      <c r="H34" s="35">
        <v>111684.40932104999</v>
      </c>
      <c r="I34" s="67">
        <f t="shared" ref="I34:I35" si="6">$N$41</f>
        <v>1976097.1009383255</v>
      </c>
      <c r="J34" s="72">
        <f t="shared" ref="J34:J35" si="7">$O$41</f>
        <v>1298025.8054943732</v>
      </c>
      <c r="M34" s="62" t="s">
        <v>56</v>
      </c>
      <c r="N34" s="62" t="s">
        <v>75</v>
      </c>
      <c r="O34" s="62" t="s">
        <v>76</v>
      </c>
    </row>
    <row r="35" spans="2:32" s="17" customFormat="1" x14ac:dyDescent="0.25">
      <c r="C35" s="18">
        <v>2017</v>
      </c>
      <c r="D35" s="41">
        <f t="shared" si="0"/>
        <v>407050.31574049796</v>
      </c>
      <c r="E35" s="22">
        <v>380312.31574049796</v>
      </c>
      <c r="F35" s="21">
        <v>26738</v>
      </c>
      <c r="G35" s="20">
        <f t="shared" si="1"/>
        <v>660306.05269400787</v>
      </c>
      <c r="H35" s="35">
        <v>633568.05269400787</v>
      </c>
      <c r="I35" s="67">
        <f t="shared" si="6"/>
        <v>1976097.1009383255</v>
      </c>
      <c r="J35" s="72">
        <f t="shared" si="7"/>
        <v>1298025.8054943732</v>
      </c>
      <c r="M35" s="49" t="s">
        <v>57</v>
      </c>
      <c r="N35" s="49" t="s">
        <v>78</v>
      </c>
      <c r="O35" s="49" t="s">
        <v>78</v>
      </c>
      <c r="R35" s="88" t="s">
        <v>20</v>
      </c>
      <c r="S35" s="88" t="s">
        <v>94</v>
      </c>
      <c r="T35" s="88" t="s">
        <v>95</v>
      </c>
      <c r="U35" s="88" t="s">
        <v>96</v>
      </c>
      <c r="V35" s="88" t="s">
        <v>116</v>
      </c>
      <c r="W35" s="88" t="s">
        <v>101</v>
      </c>
      <c r="X35" s="99" t="s">
        <v>49</v>
      </c>
      <c r="Y35" s="93" t="s">
        <v>50</v>
      </c>
      <c r="Z35" s="88" t="s">
        <v>117</v>
      </c>
      <c r="AA35" s="88" t="s">
        <v>97</v>
      </c>
      <c r="AB35" s="50" t="s">
        <v>100</v>
      </c>
      <c r="AC35" s="88" t="s">
        <v>45</v>
      </c>
      <c r="AD35" s="88" t="s">
        <v>98</v>
      </c>
      <c r="AE35" s="88" t="s">
        <v>102</v>
      </c>
    </row>
    <row r="36" spans="2:32" s="17" customFormat="1" x14ac:dyDescent="0.25">
      <c r="C36" s="55" t="s">
        <v>71</v>
      </c>
      <c r="D36" s="5">
        <f>AVERAGE(D17:D25)</f>
        <v>783400.47760783741</v>
      </c>
      <c r="E36" s="19"/>
      <c r="F36" s="5"/>
      <c r="G36" s="5">
        <f>AVERAGE(G17:G25)</f>
        <v>766143.21628522291</v>
      </c>
      <c r="H36" s="5"/>
      <c r="I36" s="63"/>
      <c r="J36" s="63"/>
      <c r="M36" s="49" t="s">
        <v>52</v>
      </c>
      <c r="N36" s="49">
        <v>1.5</v>
      </c>
      <c r="O36" s="49">
        <f>VLOOKUP(O35,'ORCS Categories'!$A$5:$C$9,2,FALSE)</f>
        <v>1.5</v>
      </c>
      <c r="R36" s="61">
        <v>1986</v>
      </c>
      <c r="S36" s="5">
        <v>165</v>
      </c>
      <c r="T36" s="5">
        <v>7</v>
      </c>
      <c r="U36" s="5">
        <v>172</v>
      </c>
      <c r="V36" s="5">
        <v>264865.28778922616</v>
      </c>
      <c r="W36" s="5">
        <v>710199.84414457716</v>
      </c>
      <c r="X36" s="22">
        <v>169392.01545994999</v>
      </c>
      <c r="Y36" s="35">
        <v>848123.70079889975</v>
      </c>
      <c r="Z36" s="5">
        <v>841311.34129530005</v>
      </c>
      <c r="AA36" s="5">
        <f>Z36-W36</f>
        <v>131111.49715072289</v>
      </c>
      <c r="AB36" s="102">
        <f>AA36/W36</f>
        <v>0.18461211760563578</v>
      </c>
      <c r="AC36" s="5">
        <f t="shared" ref="AC36:AC67" si="8">Y36-Z36</f>
        <v>6812.3595035996987</v>
      </c>
      <c r="AD36" s="5">
        <f t="shared" ref="AD36:AD67" si="9">W36+AC36</f>
        <v>717012.20364817686</v>
      </c>
      <c r="AE36" s="92">
        <f>AA36/$AD$68</f>
        <v>0.20482424395721843</v>
      </c>
    </row>
    <row r="37" spans="2:32" x14ac:dyDescent="0.25">
      <c r="B37" s="17"/>
      <c r="C37" s="55" t="s">
        <v>47</v>
      </c>
      <c r="D37" s="5">
        <f>AVERAGE(D30:D32)</f>
        <v>714183.13669532258</v>
      </c>
      <c r="F37" s="5"/>
      <c r="G37" s="5">
        <f>AVERAGE(G30:G32)</f>
        <v>1439127.9009537587</v>
      </c>
      <c r="H37" s="5"/>
      <c r="J37" s="17"/>
      <c r="M37" s="49" t="s">
        <v>53</v>
      </c>
      <c r="N37" s="49" t="s">
        <v>54</v>
      </c>
      <c r="O37" s="49" t="s">
        <v>54</v>
      </c>
      <c r="R37" s="61">
        <v>1987</v>
      </c>
      <c r="S37" s="5">
        <v>101</v>
      </c>
      <c r="T37" s="5">
        <v>4</v>
      </c>
      <c r="U37" s="5">
        <v>105</v>
      </c>
      <c r="V37" s="5">
        <v>139275.10544186368</v>
      </c>
      <c r="W37" s="5">
        <v>272131.32840893383</v>
      </c>
      <c r="X37" s="22">
        <v>40511.732586106998</v>
      </c>
      <c r="Y37" s="35">
        <v>215982.15550850998</v>
      </c>
      <c r="Z37" s="5">
        <v>212296.85575990996</v>
      </c>
      <c r="AA37" s="5">
        <f t="shared" ref="AA37:AA67" si="10">Z37-W37</f>
        <v>-59834.472649023868</v>
      </c>
      <c r="AB37" s="102">
        <f t="shared" ref="AB37:AB67" si="11">AA37/W37</f>
        <v>-0.21987351841795352</v>
      </c>
      <c r="AC37" s="5">
        <f t="shared" si="8"/>
        <v>3685.299748600024</v>
      </c>
      <c r="AD37" s="5">
        <f t="shared" si="9"/>
        <v>275816.62815753382</v>
      </c>
      <c r="AE37" s="92">
        <f t="shared" ref="AE37:AE67" si="12">AA37/$AD$68</f>
        <v>-9.3474263426543497E-2</v>
      </c>
    </row>
    <row r="38" spans="2:32" ht="14.45" customHeight="1" x14ac:dyDescent="0.25">
      <c r="C38" s="363" t="s">
        <v>69</v>
      </c>
      <c r="D38" s="364">
        <f>D37/D36</f>
        <v>0.91164501057763669</v>
      </c>
      <c r="G38" s="364">
        <f>G37/G36</f>
        <v>1.8784058520176132</v>
      </c>
      <c r="M38" s="49" t="s">
        <v>58</v>
      </c>
      <c r="N38" s="49">
        <f>VLOOKUP(N39,D17:K25,8,FALSE)</f>
        <v>2002</v>
      </c>
      <c r="O38" s="49">
        <f>VLOOKUP(O39,G17:K25,5,FALSE)</f>
        <v>2001</v>
      </c>
      <c r="R38" s="61">
        <v>1988</v>
      </c>
      <c r="S38" s="5">
        <v>84</v>
      </c>
      <c r="T38" s="5">
        <v>6</v>
      </c>
      <c r="U38" s="5">
        <v>90</v>
      </c>
      <c r="V38" s="5">
        <v>68106.698343116761</v>
      </c>
      <c r="W38" s="5">
        <v>44152.955398266015</v>
      </c>
      <c r="X38" s="22">
        <v>100729.7971047</v>
      </c>
      <c r="Y38" s="35">
        <v>411186.12370220001</v>
      </c>
      <c r="Z38" s="5">
        <v>395728.53552859998</v>
      </c>
      <c r="AA38" s="5"/>
      <c r="AB38" s="102">
        <f t="shared" si="11"/>
        <v>0</v>
      </c>
      <c r="AC38" s="5">
        <f t="shared" si="8"/>
        <v>15457.58817360003</v>
      </c>
      <c r="AD38" s="5"/>
      <c r="AE38" s="92">
        <f t="shared" si="12"/>
        <v>0</v>
      </c>
      <c r="AF38" t="s">
        <v>108</v>
      </c>
    </row>
    <row r="39" spans="2:32" x14ac:dyDescent="0.25">
      <c r="C39" s="363"/>
      <c r="D39" s="364"/>
      <c r="E39" s="38"/>
      <c r="G39" s="364"/>
      <c r="M39" s="49" t="s">
        <v>55</v>
      </c>
      <c r="N39" s="24">
        <f>MAX(D17:D25)</f>
        <v>1646747.5841152712</v>
      </c>
      <c r="O39" s="24">
        <f>MAX(G17:G25)</f>
        <v>1081688.1712453109</v>
      </c>
      <c r="R39" s="61">
        <v>1989</v>
      </c>
      <c r="S39" s="5">
        <v>47</v>
      </c>
      <c r="T39" s="5">
        <v>12</v>
      </c>
      <c r="U39" s="5">
        <v>59</v>
      </c>
      <c r="V39" s="5">
        <v>49901.488945270961</v>
      </c>
      <c r="W39" s="5">
        <v>212906.08767442722</v>
      </c>
      <c r="X39" s="22">
        <v>90695.055590549979</v>
      </c>
      <c r="Y39" s="35">
        <v>379693.41971081891</v>
      </c>
      <c r="Z39" s="5">
        <v>335057.33765841898</v>
      </c>
      <c r="AA39" s="5">
        <f t="shared" si="10"/>
        <v>122151.24998399176</v>
      </c>
      <c r="AB39" s="102">
        <f t="shared" si="11"/>
        <v>0.57373300744121325</v>
      </c>
      <c r="AC39" s="5">
        <f t="shared" si="8"/>
        <v>44636.082052399928</v>
      </c>
      <c r="AD39" s="5">
        <f t="shared" si="9"/>
        <v>257542.16972682715</v>
      </c>
      <c r="AE39" s="92">
        <f t="shared" si="12"/>
        <v>0.1908264185072831</v>
      </c>
    </row>
    <row r="40" spans="2:32" x14ac:dyDescent="0.25">
      <c r="C40" s="5" t="s">
        <v>71</v>
      </c>
      <c r="D40" s="5">
        <f>AVERAGE(D17:D25)</f>
        <v>783400.47760783741</v>
      </c>
      <c r="E40" s="5"/>
      <c r="G40" s="5">
        <f>AVERAGE(G17:G25)</f>
        <v>766143.21628522291</v>
      </c>
      <c r="M40" s="49" t="s">
        <v>59</v>
      </c>
      <c r="N40" s="49">
        <v>0.8</v>
      </c>
      <c r="O40" s="49">
        <f>VLOOKUP(O35,'ORCS Categories'!$A$5:$C$9,3,FALSE)</f>
        <v>0.8</v>
      </c>
      <c r="R40" s="61">
        <v>1990</v>
      </c>
      <c r="S40" s="5">
        <v>59</v>
      </c>
      <c r="T40" s="5">
        <v>21</v>
      </c>
      <c r="U40" s="5">
        <v>80</v>
      </c>
      <c r="V40" s="5">
        <v>71275.470817108842</v>
      </c>
      <c r="W40" s="5">
        <v>404434.85414479562</v>
      </c>
      <c r="X40" s="22">
        <v>39384.012258688002</v>
      </c>
      <c r="Y40" s="35">
        <v>369783.31592813897</v>
      </c>
      <c r="Z40" s="5">
        <v>366396.43304013903</v>
      </c>
      <c r="AA40" s="5">
        <f t="shared" si="10"/>
        <v>-38038.421104656591</v>
      </c>
      <c r="AB40" s="102">
        <f t="shared" si="11"/>
        <v>-9.4053271410277833E-2</v>
      </c>
      <c r="AC40" s="5">
        <f t="shared" si="8"/>
        <v>3386.8828879999346</v>
      </c>
      <c r="AD40" s="5">
        <f t="shared" si="9"/>
        <v>407821.73703279556</v>
      </c>
      <c r="AE40" s="92">
        <f t="shared" si="12"/>
        <v>-5.942416197971568E-2</v>
      </c>
    </row>
    <row r="41" spans="2:32" x14ac:dyDescent="0.25">
      <c r="C41" s="5" t="s">
        <v>68</v>
      </c>
      <c r="D41" s="5">
        <f>AVERAGE(D33:D35)</f>
        <v>376509.7990880126</v>
      </c>
      <c r="E41" s="5"/>
      <c r="G41" s="5">
        <f>AVERAGE(G33:G35)</f>
        <v>830319.57484235289</v>
      </c>
      <c r="M41" s="49" t="s">
        <v>41</v>
      </c>
      <c r="N41" s="24">
        <f>N39*N36*N40</f>
        <v>1976097.1009383255</v>
      </c>
      <c r="O41" s="24">
        <f>O39*O36*O40</f>
        <v>1298025.8054943732</v>
      </c>
      <c r="R41" s="61">
        <v>1991</v>
      </c>
      <c r="S41" s="5">
        <v>148</v>
      </c>
      <c r="T41" s="5">
        <v>25</v>
      </c>
      <c r="U41" s="5">
        <v>173</v>
      </c>
      <c r="V41" s="5">
        <v>172222.30181426168</v>
      </c>
      <c r="W41" s="5">
        <v>392761.37666248041</v>
      </c>
      <c r="X41" s="22">
        <v>142016.79469278597</v>
      </c>
      <c r="Y41" s="35">
        <v>378458.93285009009</v>
      </c>
      <c r="Z41" s="5">
        <v>375749.58968008996</v>
      </c>
      <c r="AA41" s="5">
        <f t="shared" si="10"/>
        <v>-17011.786982390448</v>
      </c>
      <c r="AB41" s="102">
        <f t="shared" si="11"/>
        <v>-4.3313288915904608E-2</v>
      </c>
      <c r="AC41" s="5">
        <f t="shared" si="8"/>
        <v>2709.3431700001238</v>
      </c>
      <c r="AD41" s="5">
        <f t="shared" si="9"/>
        <v>395470.71983248054</v>
      </c>
      <c r="AE41" s="92">
        <f t="shared" si="12"/>
        <v>-2.657605536319789E-2</v>
      </c>
    </row>
    <row r="42" spans="2:32" x14ac:dyDescent="0.25">
      <c r="C42" t="s">
        <v>72</v>
      </c>
      <c r="D42" s="73">
        <f>D41/D40</f>
        <v>0.48060961136723956</v>
      </c>
      <c r="G42" s="73">
        <f>G41/G40</f>
        <v>1.0837654856076389</v>
      </c>
      <c r="R42" s="61">
        <v>1992</v>
      </c>
      <c r="S42" s="5">
        <v>150</v>
      </c>
      <c r="T42" s="5">
        <v>13</v>
      </c>
      <c r="U42" s="5">
        <v>163</v>
      </c>
      <c r="V42" s="5">
        <v>175176.7654200485</v>
      </c>
      <c r="W42" s="5">
        <v>515283.56166933133</v>
      </c>
      <c r="X42" s="22">
        <v>270747.16834321001</v>
      </c>
      <c r="Y42" s="35">
        <v>869272.2833650501</v>
      </c>
      <c r="Z42" s="5">
        <v>866550.94717104989</v>
      </c>
      <c r="AA42" s="5"/>
      <c r="AB42" s="102">
        <f t="shared" si="11"/>
        <v>0</v>
      </c>
      <c r="AC42" s="5">
        <f t="shared" si="8"/>
        <v>2721.3361940002069</v>
      </c>
      <c r="AD42" s="5"/>
      <c r="AE42" s="92">
        <f t="shared" si="12"/>
        <v>0</v>
      </c>
      <c r="AF42" t="s">
        <v>108</v>
      </c>
    </row>
    <row r="43" spans="2:32" x14ac:dyDescent="0.25">
      <c r="C43" s="363" t="s">
        <v>334</v>
      </c>
      <c r="D43" s="364">
        <f>I30/D36</f>
        <v>1.2977495408885082</v>
      </c>
      <c r="E43" s="17"/>
      <c r="F43" s="17"/>
      <c r="G43" s="364">
        <f>J30/G36</f>
        <v>1.3739765674053173</v>
      </c>
      <c r="R43" s="61">
        <v>1993</v>
      </c>
      <c r="S43" s="5">
        <v>480</v>
      </c>
      <c r="T43" s="5">
        <v>71</v>
      </c>
      <c r="U43" s="5">
        <v>551</v>
      </c>
      <c r="V43" s="5">
        <v>365343.42404063168</v>
      </c>
      <c r="W43" s="5">
        <v>1034184.7000627173</v>
      </c>
      <c r="X43" s="22">
        <v>211510.95347698999</v>
      </c>
      <c r="Y43" s="35">
        <v>989555.0073949002</v>
      </c>
      <c r="Z43" s="5">
        <v>987570.07373890001</v>
      </c>
      <c r="AA43" s="5">
        <f t="shared" si="10"/>
        <v>-46614.626323817298</v>
      </c>
      <c r="AB43" s="102">
        <f t="shared" si="11"/>
        <v>-4.5073792254894496E-2</v>
      </c>
      <c r="AC43" s="5">
        <f t="shared" si="8"/>
        <v>1984.933656000183</v>
      </c>
      <c r="AD43" s="5">
        <f t="shared" si="9"/>
        <v>1036169.6337187175</v>
      </c>
      <c r="AE43" s="92">
        <f t="shared" si="12"/>
        <v>-7.2822031641879462E-2</v>
      </c>
    </row>
    <row r="44" spans="2:32" x14ac:dyDescent="0.25">
      <c r="C44" s="363"/>
      <c r="D44" s="364"/>
      <c r="E44" s="141"/>
      <c r="F44" s="17"/>
      <c r="G44" s="364"/>
      <c r="R44" s="61">
        <v>1994</v>
      </c>
      <c r="S44" s="5">
        <v>226</v>
      </c>
      <c r="T44" s="5">
        <v>48</v>
      </c>
      <c r="U44" s="5">
        <v>274</v>
      </c>
      <c r="V44" s="5">
        <v>220479.94240561308</v>
      </c>
      <c r="W44" s="5">
        <v>838732.8778368535</v>
      </c>
      <c r="X44" s="22">
        <v>134309.16159599999</v>
      </c>
      <c r="Y44" s="35">
        <v>775971.06726375979</v>
      </c>
      <c r="Z44" s="5">
        <v>774435.25471976004</v>
      </c>
      <c r="AA44" s="5">
        <f t="shared" si="10"/>
        <v>-64297.623117093462</v>
      </c>
      <c r="AB44" s="102">
        <f t="shared" si="11"/>
        <v>-7.6660430056016415E-2</v>
      </c>
      <c r="AC44" s="5">
        <f t="shared" si="8"/>
        <v>1535.812543999753</v>
      </c>
      <c r="AD44" s="5">
        <f t="shared" si="9"/>
        <v>840268.69038085325</v>
      </c>
      <c r="AE44" s="92">
        <f t="shared" si="12"/>
        <v>-0.10044666050960602</v>
      </c>
    </row>
    <row r="45" spans="2:32" x14ac:dyDescent="0.25">
      <c r="R45" s="61">
        <v>1995</v>
      </c>
      <c r="S45" s="5">
        <v>185</v>
      </c>
      <c r="T45" s="5">
        <v>96</v>
      </c>
      <c r="U45" s="5">
        <v>281</v>
      </c>
      <c r="V45" s="5">
        <v>232492.35653908539</v>
      </c>
      <c r="W45" s="5">
        <v>980742.43172371702</v>
      </c>
      <c r="X45" s="22">
        <v>155389.07756464998</v>
      </c>
      <c r="Y45" s="35">
        <v>826483.69030102983</v>
      </c>
      <c r="Z45" s="5">
        <v>823733.60612302995</v>
      </c>
      <c r="AA45" s="5">
        <f t="shared" si="10"/>
        <v>-157008.82560068707</v>
      </c>
      <c r="AB45" s="102">
        <f t="shared" si="11"/>
        <v>-0.16009180445546145</v>
      </c>
      <c r="AC45" s="5">
        <f t="shared" si="8"/>
        <v>2750.0841779998736</v>
      </c>
      <c r="AD45" s="5">
        <f t="shared" si="9"/>
        <v>983492.51590171689</v>
      </c>
      <c r="AE45" s="92">
        <f t="shared" si="12"/>
        <v>-0.24528141846555201</v>
      </c>
    </row>
    <row r="46" spans="2:32" x14ac:dyDescent="0.25">
      <c r="R46" s="61">
        <v>1996</v>
      </c>
      <c r="S46" s="5">
        <v>173</v>
      </c>
      <c r="T46" s="5">
        <v>53</v>
      </c>
      <c r="U46" s="5">
        <v>226</v>
      </c>
      <c r="V46" s="5">
        <v>184415.81771292342</v>
      </c>
      <c r="W46" s="5">
        <v>540928.47809096123</v>
      </c>
      <c r="X46" s="22">
        <v>143433.80427943004</v>
      </c>
      <c r="Y46" s="35">
        <v>659589.25898853049</v>
      </c>
      <c r="Z46" s="5">
        <v>659076.60130453017</v>
      </c>
      <c r="AA46" s="5">
        <f t="shared" si="10"/>
        <v>118148.12321356894</v>
      </c>
      <c r="AB46" s="102">
        <f t="shared" si="11"/>
        <v>0.2184172732604798</v>
      </c>
      <c r="AC46" s="5">
        <f t="shared" si="8"/>
        <v>512.65768400032539</v>
      </c>
      <c r="AD46" s="5">
        <f t="shared" si="9"/>
        <v>541441.13577496156</v>
      </c>
      <c r="AE46" s="92">
        <f t="shared" si="12"/>
        <v>0.18457267698167018</v>
      </c>
    </row>
    <row r="47" spans="2:32" x14ac:dyDescent="0.25">
      <c r="R47" s="61">
        <v>1997</v>
      </c>
      <c r="S47" s="5">
        <v>254</v>
      </c>
      <c r="T47" s="5">
        <v>58</v>
      </c>
      <c r="U47" s="5">
        <v>312</v>
      </c>
      <c r="V47" s="5">
        <v>270447.49203729822</v>
      </c>
      <c r="W47" s="5">
        <v>908477.48853029707</v>
      </c>
      <c r="X47" s="22">
        <v>149221.42474319998</v>
      </c>
      <c r="Y47" s="35">
        <v>830808.62327695009</v>
      </c>
      <c r="Z47" s="5">
        <v>830024.82183894992</v>
      </c>
      <c r="AA47" s="5">
        <f t="shared" si="10"/>
        <v>-78452.666691347142</v>
      </c>
      <c r="AB47" s="102">
        <f t="shared" si="11"/>
        <v>-8.6356203298185302E-2</v>
      </c>
      <c r="AC47" s="5">
        <f t="shared" si="8"/>
        <v>783.80143800016958</v>
      </c>
      <c r="AD47" s="5">
        <f t="shared" si="9"/>
        <v>909261.28996829723</v>
      </c>
      <c r="AE47" s="92">
        <f t="shared" si="12"/>
        <v>-0.12255987072598411</v>
      </c>
    </row>
    <row r="48" spans="2:32" x14ac:dyDescent="0.25">
      <c r="R48" s="61">
        <v>1998</v>
      </c>
      <c r="S48" s="5">
        <v>130</v>
      </c>
      <c r="T48" s="5">
        <v>11</v>
      </c>
      <c r="U48" s="5">
        <v>141</v>
      </c>
      <c r="V48" s="5">
        <v>158280.40546984275</v>
      </c>
      <c r="W48" s="5">
        <v>708769.14196975413</v>
      </c>
      <c r="X48" s="22">
        <v>105777.91811184997</v>
      </c>
      <c r="Y48" s="35">
        <v>672649.84020892985</v>
      </c>
      <c r="Z48" s="5">
        <v>671758.29996892984</v>
      </c>
      <c r="AA48" s="5">
        <f t="shared" si="10"/>
        <v>-37010.842000824283</v>
      </c>
      <c r="AB48" s="102">
        <f t="shared" si="11"/>
        <v>-5.2218472573406248E-2</v>
      </c>
      <c r="AC48" s="5">
        <f t="shared" si="8"/>
        <v>891.54024000000209</v>
      </c>
      <c r="AD48" s="5">
        <f t="shared" si="9"/>
        <v>709660.68220975413</v>
      </c>
      <c r="AE48" s="92">
        <f t="shared" si="12"/>
        <v>-5.7818863301700177E-2</v>
      </c>
    </row>
    <row r="49" spans="16:31" x14ac:dyDescent="0.25">
      <c r="R49" s="61">
        <v>1999</v>
      </c>
      <c r="S49" s="5">
        <v>233</v>
      </c>
      <c r="T49" s="5">
        <v>91</v>
      </c>
      <c r="U49" s="5">
        <v>324</v>
      </c>
      <c r="V49" s="5">
        <v>213650.58212273879</v>
      </c>
      <c r="W49" s="5">
        <v>970290.87661742826</v>
      </c>
      <c r="X49" s="22">
        <v>147334.08146425997</v>
      </c>
      <c r="Y49" s="35">
        <v>1033766.9696777592</v>
      </c>
      <c r="Z49" s="5">
        <v>1033089.1874537593</v>
      </c>
      <c r="AA49" s="5">
        <f t="shared" si="10"/>
        <v>62798.310836330988</v>
      </c>
      <c r="AB49" s="102">
        <f t="shared" si="11"/>
        <v>6.4721118532264074E-2</v>
      </c>
      <c r="AC49" s="5">
        <f t="shared" si="8"/>
        <v>677.78222399996594</v>
      </c>
      <c r="AD49" s="5">
        <f t="shared" si="9"/>
        <v>970968.65884142823</v>
      </c>
      <c r="AE49" s="92">
        <f t="shared" si="12"/>
        <v>9.8104413559211456E-2</v>
      </c>
    </row>
    <row r="50" spans="16:31" x14ac:dyDescent="0.25">
      <c r="R50" s="61">
        <v>2000</v>
      </c>
      <c r="S50" s="5">
        <v>232</v>
      </c>
      <c r="T50" s="5">
        <v>24</v>
      </c>
      <c r="U50" s="5">
        <v>256</v>
      </c>
      <c r="V50" s="5">
        <v>199968.24573189835</v>
      </c>
      <c r="W50" s="5">
        <v>912498.85445063876</v>
      </c>
      <c r="X50" s="22">
        <v>130457.72701801</v>
      </c>
      <c r="Y50" s="35">
        <v>931235.67552726006</v>
      </c>
      <c r="Z50" s="5">
        <v>930508.7527692602</v>
      </c>
      <c r="AA50" s="5">
        <f t="shared" si="10"/>
        <v>18009.898318621446</v>
      </c>
      <c r="AB50" s="102">
        <f t="shared" si="11"/>
        <v>1.9736899647358062E-2</v>
      </c>
      <c r="AC50" s="5">
        <f t="shared" si="8"/>
        <v>726.92275799985509</v>
      </c>
      <c r="AD50" s="5">
        <f t="shared" si="9"/>
        <v>913225.77720863861</v>
      </c>
      <c r="AE50" s="92">
        <f t="shared" si="12"/>
        <v>2.8135319075926504E-2</v>
      </c>
    </row>
    <row r="51" spans="16:31" x14ac:dyDescent="0.25">
      <c r="R51" s="61">
        <v>2001</v>
      </c>
      <c r="S51" s="5">
        <v>366</v>
      </c>
      <c r="T51" s="5">
        <v>69</v>
      </c>
      <c r="U51" s="5">
        <v>435</v>
      </c>
      <c r="V51" s="5">
        <v>492442.45420973614</v>
      </c>
      <c r="W51" s="5">
        <v>1051432.4177969205</v>
      </c>
      <c r="X51" s="22">
        <v>220676.05956146002</v>
      </c>
      <c r="Y51" s="35">
        <v>1030236.171245311</v>
      </c>
      <c r="Z51" s="5">
        <v>1029558.6976653109</v>
      </c>
      <c r="AA51" s="5">
        <f t="shared" si="10"/>
        <v>-21873.720131609589</v>
      </c>
      <c r="AB51" s="102">
        <f t="shared" si="11"/>
        <v>-2.0803733802921796E-2</v>
      </c>
      <c r="AC51" s="5">
        <f t="shared" si="8"/>
        <v>677.47358000010718</v>
      </c>
      <c r="AD51" s="5">
        <f t="shared" si="9"/>
        <v>1052109.8913769205</v>
      </c>
      <c r="AE51" s="92">
        <f t="shared" si="12"/>
        <v>-3.4171436417496669E-2</v>
      </c>
    </row>
    <row r="52" spans="16:31" x14ac:dyDescent="0.25">
      <c r="R52" s="103">
        <v>2002</v>
      </c>
      <c r="S52" s="97">
        <v>158</v>
      </c>
      <c r="T52" s="97">
        <v>103</v>
      </c>
      <c r="U52" s="97">
        <v>261</v>
      </c>
      <c r="V52" s="97">
        <v>198382.62167419039</v>
      </c>
      <c r="W52" s="97">
        <v>1550379.6545323695</v>
      </c>
      <c r="X52" s="97">
        <v>66839.800234250011</v>
      </c>
      <c r="Y52" s="97">
        <v>893594.58255214978</v>
      </c>
      <c r="Z52" s="97">
        <v>893237.54758215009</v>
      </c>
      <c r="AA52" s="97">
        <f t="shared" si="10"/>
        <v>-657142.10695021937</v>
      </c>
      <c r="AB52" s="98">
        <f t="shared" si="11"/>
        <v>-0.42385883033819138</v>
      </c>
      <c r="AC52" s="97">
        <f t="shared" si="8"/>
        <v>357.03496999968775</v>
      </c>
      <c r="AD52" s="97">
        <f t="shared" si="9"/>
        <v>1550736.6895023691</v>
      </c>
      <c r="AE52" s="98">
        <f t="shared" si="12"/>
        <v>-1.0265967375370646</v>
      </c>
    </row>
    <row r="53" spans="16:31" x14ac:dyDescent="0.25">
      <c r="R53" s="103">
        <v>2003</v>
      </c>
      <c r="S53" s="97">
        <v>149</v>
      </c>
      <c r="T53" s="97">
        <v>56</v>
      </c>
      <c r="U53" s="97">
        <v>205</v>
      </c>
      <c r="V53" s="97">
        <v>158946.22588001145</v>
      </c>
      <c r="W53" s="97">
        <v>602947.66011544026</v>
      </c>
      <c r="X53" s="97">
        <v>209407.20575480995</v>
      </c>
      <c r="Y53" s="97">
        <v>1010864.82645244</v>
      </c>
      <c r="Z53" s="97">
        <v>1006358.20517844</v>
      </c>
      <c r="AA53" s="97">
        <f t="shared" si="10"/>
        <v>403410.54506299971</v>
      </c>
      <c r="AB53" s="98">
        <f t="shared" si="11"/>
        <v>0.66906395322234569</v>
      </c>
      <c r="AC53" s="97">
        <f t="shared" si="8"/>
        <v>4506.6212740000337</v>
      </c>
      <c r="AD53" s="97">
        <f t="shared" si="9"/>
        <v>607454.28138944029</v>
      </c>
      <c r="AE53" s="98">
        <f t="shared" si="12"/>
        <v>0.63021368600429206</v>
      </c>
    </row>
    <row r="54" spans="16:31" x14ac:dyDescent="0.25">
      <c r="P54" s="44"/>
      <c r="Q54" s="89"/>
      <c r="R54" s="61">
        <v>2004</v>
      </c>
      <c r="S54" s="5">
        <v>61</v>
      </c>
      <c r="T54" s="5">
        <v>8</v>
      </c>
      <c r="U54" s="5">
        <v>69</v>
      </c>
      <c r="V54" s="5">
        <v>130885.43378575375</v>
      </c>
      <c r="W54" s="5">
        <v>151813.2402633263</v>
      </c>
      <c r="X54" s="22">
        <v>66376.32508592002</v>
      </c>
      <c r="Y54" s="35">
        <v>225301.62386070003</v>
      </c>
      <c r="Z54" s="5">
        <v>224647.05607469997</v>
      </c>
      <c r="AA54" s="5">
        <f t="shared" si="10"/>
        <v>72833.815811373672</v>
      </c>
      <c r="AB54" s="102">
        <f t="shared" si="11"/>
        <v>0.47975931272555955</v>
      </c>
      <c r="AC54" s="5">
        <f t="shared" si="8"/>
        <v>654.56778600005782</v>
      </c>
      <c r="AD54" s="5">
        <f t="shared" si="9"/>
        <v>152467.80804932636</v>
      </c>
      <c r="AE54" s="92">
        <f t="shared" si="12"/>
        <v>0.11378202203681924</v>
      </c>
    </row>
    <row r="55" spans="16:31" x14ac:dyDescent="0.25">
      <c r="P55" s="44"/>
      <c r="Q55" s="89"/>
      <c r="R55" s="61">
        <v>2005</v>
      </c>
      <c r="S55" s="5">
        <v>53</v>
      </c>
      <c r="T55" s="5">
        <v>28</v>
      </c>
      <c r="U55" s="5">
        <v>81</v>
      </c>
      <c r="V55" s="5">
        <v>89820.898270323989</v>
      </c>
      <c r="W55" s="5">
        <v>283843.37249080802</v>
      </c>
      <c r="X55" s="22">
        <v>104294.18156142</v>
      </c>
      <c r="Y55" s="35">
        <v>234547.01555687498</v>
      </c>
      <c r="Z55" s="5">
        <v>234176.86321687498</v>
      </c>
      <c r="AA55" s="5">
        <f t="shared" si="10"/>
        <v>-49666.509273933043</v>
      </c>
      <c r="AB55" s="102">
        <f t="shared" si="11"/>
        <v>-0.17497857652301338</v>
      </c>
      <c r="AC55" s="5">
        <f t="shared" si="8"/>
        <v>370.15234000000055</v>
      </c>
      <c r="AD55" s="5">
        <f t="shared" si="9"/>
        <v>284213.52483080805</v>
      </c>
      <c r="AE55" s="92">
        <f t="shared" si="12"/>
        <v>-7.7589726554132515E-2</v>
      </c>
    </row>
    <row r="56" spans="16:31" x14ac:dyDescent="0.25">
      <c r="P56" s="44"/>
      <c r="Q56" s="89"/>
      <c r="R56" s="61">
        <v>2006</v>
      </c>
      <c r="S56" s="5">
        <v>124</v>
      </c>
      <c r="T56" s="5">
        <v>44</v>
      </c>
      <c r="U56" s="5">
        <v>168</v>
      </c>
      <c r="V56" s="5">
        <v>140985.16944391359</v>
      </c>
      <c r="W56" s="5">
        <v>434306.39689381991</v>
      </c>
      <c r="X56" s="22">
        <v>152037.7752231</v>
      </c>
      <c r="Y56" s="35">
        <v>471453.75705140992</v>
      </c>
      <c r="Z56" s="5">
        <v>471024.08051141002</v>
      </c>
      <c r="AA56" s="5">
        <f t="shared" si="10"/>
        <v>36717.683617590112</v>
      </c>
      <c r="AB56" s="102">
        <f t="shared" si="11"/>
        <v>8.4543271478837834E-2</v>
      </c>
      <c r="AC56" s="5">
        <f t="shared" si="8"/>
        <v>429.67653999989852</v>
      </c>
      <c r="AD56" s="5">
        <f t="shared" si="9"/>
        <v>434736.07343381981</v>
      </c>
      <c r="AE56" s="92">
        <f t="shared" si="12"/>
        <v>5.7360887109599863E-2</v>
      </c>
    </row>
    <row r="57" spans="16:31" x14ac:dyDescent="0.25">
      <c r="P57" s="44"/>
      <c r="Q57" s="89"/>
      <c r="R57" s="61">
        <v>2007</v>
      </c>
      <c r="S57" s="5">
        <v>121</v>
      </c>
      <c r="T57" s="5">
        <v>20</v>
      </c>
      <c r="U57" s="5">
        <v>141</v>
      </c>
      <c r="V57" s="5">
        <v>195029.7354333399</v>
      </c>
      <c r="W57" s="5">
        <v>654039.10991317476</v>
      </c>
      <c r="X57" s="22">
        <v>158998.11917366998</v>
      </c>
      <c r="Y57" s="35">
        <v>661708.32464310015</v>
      </c>
      <c r="Z57" s="5">
        <v>661626.26722649985</v>
      </c>
      <c r="AA57" s="5">
        <f t="shared" si="10"/>
        <v>7587.1573133250931</v>
      </c>
      <c r="AB57" s="102">
        <f t="shared" si="11"/>
        <v>1.1600464251032795E-2</v>
      </c>
      <c r="AC57" s="5">
        <f t="shared" si="8"/>
        <v>82.057416600291617</v>
      </c>
      <c r="AD57" s="5">
        <f t="shared" si="9"/>
        <v>654121.16732977505</v>
      </c>
      <c r="AE57" s="92">
        <f t="shared" si="12"/>
        <v>1.1852764969191144E-2</v>
      </c>
    </row>
    <row r="58" spans="16:31" x14ac:dyDescent="0.25">
      <c r="P58" s="44"/>
      <c r="Q58" s="89"/>
      <c r="R58" s="61">
        <v>2008</v>
      </c>
      <c r="S58" s="5">
        <v>140</v>
      </c>
      <c r="T58" s="5">
        <v>12</v>
      </c>
      <c r="U58" s="5">
        <v>152</v>
      </c>
      <c r="V58" s="5">
        <v>213922.53342139215</v>
      </c>
      <c r="W58" s="5">
        <v>470195.37931972061</v>
      </c>
      <c r="X58" s="22">
        <v>147442.39879024</v>
      </c>
      <c r="Y58" s="35">
        <v>614014.85951145936</v>
      </c>
      <c r="Z58" s="5">
        <v>613850.67854025983</v>
      </c>
      <c r="AA58" s="5">
        <f t="shared" si="10"/>
        <v>143655.29922053922</v>
      </c>
      <c r="AB58" s="102">
        <f t="shared" si="11"/>
        <v>0.305522566870776</v>
      </c>
      <c r="AC58" s="5">
        <f t="shared" si="8"/>
        <v>164.18097119953018</v>
      </c>
      <c r="AD58" s="5">
        <f t="shared" si="9"/>
        <v>470359.56029092014</v>
      </c>
      <c r="AE58" s="92">
        <f t="shared" si="12"/>
        <v>0.22442034979945086</v>
      </c>
    </row>
    <row r="59" spans="16:31" x14ac:dyDescent="0.25">
      <c r="P59" s="44"/>
      <c r="Q59" s="89"/>
      <c r="R59" s="61">
        <v>2009</v>
      </c>
      <c r="S59" s="5">
        <v>232</v>
      </c>
      <c r="T59" s="5">
        <v>25</v>
      </c>
      <c r="U59" s="5">
        <v>257</v>
      </c>
      <c r="V59" s="5">
        <v>307675.21494286536</v>
      </c>
      <c r="W59" s="5">
        <v>693332.93532289506</v>
      </c>
      <c r="X59" s="22">
        <v>213230.58136692099</v>
      </c>
      <c r="Y59" s="35">
        <v>544678.36186510732</v>
      </c>
      <c r="Z59" s="5">
        <v>543891.69444710703</v>
      </c>
      <c r="AA59" s="5">
        <f t="shared" si="10"/>
        <v>-149441.24087578803</v>
      </c>
      <c r="AB59" s="102">
        <f t="shared" si="11"/>
        <v>-0.21554037499486609</v>
      </c>
      <c r="AC59" s="5">
        <f t="shared" si="8"/>
        <v>786.66741800028831</v>
      </c>
      <c r="AD59" s="5">
        <f t="shared" si="9"/>
        <v>694119.60274089535</v>
      </c>
      <c r="AE59" s="92">
        <f t="shared" si="12"/>
        <v>-0.23345923007212863</v>
      </c>
    </row>
    <row r="60" spans="16:31" x14ac:dyDescent="0.25">
      <c r="P60" s="44"/>
      <c r="Q60" s="89"/>
      <c r="R60" s="61">
        <v>2010</v>
      </c>
      <c r="S60" s="5">
        <v>211</v>
      </c>
      <c r="T60" s="5">
        <v>95</v>
      </c>
      <c r="U60" s="5">
        <v>306</v>
      </c>
      <c r="V60" s="5">
        <v>449905.9137288981</v>
      </c>
      <c r="W60" s="5">
        <v>1498280.4158158521</v>
      </c>
      <c r="X60" s="22">
        <v>449117.37144354993</v>
      </c>
      <c r="Y60" s="35">
        <v>1436895.86756202</v>
      </c>
      <c r="Z60" s="5">
        <v>1435828.8565942198</v>
      </c>
      <c r="AA60" s="5">
        <f t="shared" si="10"/>
        <v>-62451.559221632313</v>
      </c>
      <c r="AB60" s="102">
        <f t="shared" si="11"/>
        <v>-4.1682156799483921E-2</v>
      </c>
      <c r="AC60" s="5">
        <f t="shared" si="8"/>
        <v>1067.0109678001609</v>
      </c>
      <c r="AD60" s="5">
        <f t="shared" si="9"/>
        <v>1499347.4267836523</v>
      </c>
      <c r="AE60" s="92">
        <f t="shared" si="12"/>
        <v>-9.7562713259351758E-2</v>
      </c>
    </row>
    <row r="61" spans="16:31" x14ac:dyDescent="0.25">
      <c r="P61" s="44"/>
      <c r="Q61" s="89"/>
      <c r="R61" s="61">
        <v>2011</v>
      </c>
      <c r="S61" s="5">
        <v>105</v>
      </c>
      <c r="T61" s="5">
        <v>10</v>
      </c>
      <c r="U61" s="5">
        <v>115</v>
      </c>
      <c r="V61" s="5">
        <v>22465.573365240223</v>
      </c>
      <c r="W61" s="5">
        <v>153325.08863318738</v>
      </c>
      <c r="X61" s="22">
        <v>99503.331488745011</v>
      </c>
      <c r="Y61" s="35">
        <v>184865.79216110491</v>
      </c>
      <c r="Z61" s="5">
        <v>184709.547749905</v>
      </c>
      <c r="AA61" s="5">
        <f t="shared" si="10"/>
        <v>31384.459116717626</v>
      </c>
      <c r="AB61" s="102">
        <f t="shared" si="11"/>
        <v>0.20469226136761826</v>
      </c>
      <c r="AC61" s="5">
        <f t="shared" si="8"/>
        <v>156.24441119990661</v>
      </c>
      <c r="AD61" s="5">
        <f t="shared" si="9"/>
        <v>153481.33304438728</v>
      </c>
      <c r="AE61" s="92">
        <f t="shared" si="12"/>
        <v>4.9029248008647858E-2</v>
      </c>
    </row>
    <row r="62" spans="16:31" x14ac:dyDescent="0.25">
      <c r="P62" s="44"/>
      <c r="Q62" s="89"/>
      <c r="R62" s="61">
        <v>2012</v>
      </c>
      <c r="S62" s="5">
        <v>142</v>
      </c>
      <c r="T62" s="5">
        <v>40</v>
      </c>
      <c r="U62" s="5">
        <v>182</v>
      </c>
      <c r="V62" s="5">
        <v>83134.350869746602</v>
      </c>
      <c r="W62" s="5">
        <v>193919.73949896259</v>
      </c>
      <c r="X62" s="22">
        <v>56006.638821425004</v>
      </c>
      <c r="Y62" s="35">
        <v>257996.95643334699</v>
      </c>
      <c r="Z62" s="5">
        <v>257788.64377934698</v>
      </c>
      <c r="AA62" s="5">
        <f t="shared" si="10"/>
        <v>63868.904280384391</v>
      </c>
      <c r="AB62" s="102">
        <f t="shared" si="11"/>
        <v>0.32935741583298728</v>
      </c>
      <c r="AC62" s="5">
        <f t="shared" si="8"/>
        <v>208.31265400000848</v>
      </c>
      <c r="AD62" s="5">
        <f t="shared" si="9"/>
        <v>194128.0521529626</v>
      </c>
      <c r="AE62" s="92">
        <f t="shared" si="12"/>
        <v>9.977690985075871E-2</v>
      </c>
    </row>
    <row r="63" spans="16:31" x14ac:dyDescent="0.25">
      <c r="P63" s="44"/>
      <c r="Q63" s="89"/>
      <c r="R63" s="61">
        <v>2013</v>
      </c>
      <c r="S63" s="5">
        <v>58</v>
      </c>
      <c r="T63" s="5">
        <v>17</v>
      </c>
      <c r="U63" s="5">
        <v>75</v>
      </c>
      <c r="V63" s="5">
        <v>41776.856905934619</v>
      </c>
      <c r="W63" s="5">
        <v>170470.65058017801</v>
      </c>
      <c r="X63" s="22">
        <v>53878.161799009999</v>
      </c>
      <c r="Y63" s="35">
        <v>180933.78026919003</v>
      </c>
      <c r="Z63" s="5">
        <v>180638.98997559003</v>
      </c>
      <c r="AA63" s="5">
        <f t="shared" si="10"/>
        <v>10168.339395412011</v>
      </c>
      <c r="AB63" s="102">
        <f t="shared" si="11"/>
        <v>5.9648621981585638E-2</v>
      </c>
      <c r="AC63" s="5">
        <f t="shared" si="8"/>
        <v>294.79029360000277</v>
      </c>
      <c r="AD63" s="5">
        <f t="shared" si="9"/>
        <v>170765.44087377802</v>
      </c>
      <c r="AE63" s="92">
        <f t="shared" si="12"/>
        <v>1.588512429670003E-2</v>
      </c>
    </row>
    <row r="64" spans="16:31" x14ac:dyDescent="0.25">
      <c r="P64" s="90"/>
      <c r="Q64" s="91"/>
      <c r="R64" s="104">
        <v>2014</v>
      </c>
      <c r="S64" s="101">
        <v>140</v>
      </c>
      <c r="T64" s="101">
        <v>23</v>
      </c>
      <c r="U64" s="101">
        <v>163</v>
      </c>
      <c r="V64" s="101">
        <v>331629.97576387419</v>
      </c>
      <c r="W64" s="101">
        <v>1282309.5558906598</v>
      </c>
      <c r="X64" s="101">
        <v>703296.27866106993</v>
      </c>
      <c r="Y64" s="101">
        <v>3800797.9661587398</v>
      </c>
      <c r="Z64" s="101">
        <v>3800499.4037945401</v>
      </c>
      <c r="AA64" s="105">
        <f t="shared" si="10"/>
        <v>2518189.8479038803</v>
      </c>
      <c r="AB64" s="106">
        <f t="shared" si="11"/>
        <v>1.9637924683130115</v>
      </c>
      <c r="AC64" s="101">
        <f t="shared" si="8"/>
        <v>298.56236419966444</v>
      </c>
      <c r="AD64" s="101">
        <f t="shared" si="9"/>
        <v>1282608.1182548595</v>
      </c>
      <c r="AE64" s="106">
        <f t="shared" si="12"/>
        <v>3.9339519641417757</v>
      </c>
    </row>
    <row r="65" spans="16:31" x14ac:dyDescent="0.25">
      <c r="P65" s="90"/>
      <c r="Q65" s="91"/>
      <c r="R65" s="104">
        <v>2015</v>
      </c>
      <c r="S65" s="101">
        <v>45</v>
      </c>
      <c r="T65" s="101">
        <v>18</v>
      </c>
      <c r="U65" s="101">
        <v>63</v>
      </c>
      <c r="V65" s="101">
        <v>110610.18012237066</v>
      </c>
      <c r="W65" s="101">
        <v>586086.78605066263</v>
      </c>
      <c r="X65" s="101">
        <v>226200.40988708002</v>
      </c>
      <c r="Y65" s="101">
        <v>1677864.2625120007</v>
      </c>
      <c r="Z65" s="101">
        <v>1677035.0066312</v>
      </c>
      <c r="AA65" s="105">
        <f t="shared" si="10"/>
        <v>1090948.2205805373</v>
      </c>
      <c r="AB65" s="106">
        <f t="shared" si="11"/>
        <v>1.8614107100620305</v>
      </c>
      <c r="AC65" s="101">
        <f t="shared" si="8"/>
        <v>829.25588080077432</v>
      </c>
      <c r="AD65" s="101">
        <f t="shared" si="9"/>
        <v>586916.04193146341</v>
      </c>
      <c r="AE65" s="106">
        <f t="shared" si="12"/>
        <v>1.7042948126814927</v>
      </c>
    </row>
    <row r="66" spans="16:31" x14ac:dyDescent="0.25">
      <c r="P66" s="44"/>
      <c r="Q66" s="89"/>
      <c r="R66" s="61">
        <v>2016</v>
      </c>
      <c r="S66" s="5">
        <v>39</v>
      </c>
      <c r="T66" s="5">
        <v>8</v>
      </c>
      <c r="U66" s="5">
        <v>47</v>
      </c>
      <c r="V66" s="5">
        <v>20326.821823260423</v>
      </c>
      <c r="W66" s="5">
        <v>114700.55344475806</v>
      </c>
      <c r="X66" s="22">
        <v>27766.573638410002</v>
      </c>
      <c r="Y66" s="35">
        <v>111684.40932104999</v>
      </c>
      <c r="Z66" s="5">
        <v>109981.80776405</v>
      </c>
      <c r="AA66" s="5">
        <f t="shared" si="10"/>
        <v>-4718.7456807080598</v>
      </c>
      <c r="AB66" s="102">
        <f t="shared" si="11"/>
        <v>-4.1139694090322733E-2</v>
      </c>
      <c r="AC66" s="5">
        <f t="shared" si="8"/>
        <v>1702.6015569999872</v>
      </c>
      <c r="AD66" s="5">
        <f t="shared" si="9"/>
        <v>116403.15500175804</v>
      </c>
      <c r="AE66" s="92">
        <f t="shared" si="12"/>
        <v>-7.3716915562815647E-3</v>
      </c>
    </row>
    <row r="67" spans="16:31" x14ac:dyDescent="0.25">
      <c r="R67" s="103">
        <v>2017</v>
      </c>
      <c r="S67" s="97">
        <v>133</v>
      </c>
      <c r="T67" s="97">
        <v>19</v>
      </c>
      <c r="U67" s="97">
        <v>152</v>
      </c>
      <c r="V67" s="97">
        <v>140097.62604053144</v>
      </c>
      <c r="W67" s="97">
        <v>340469.85589144687</v>
      </c>
      <c r="X67" s="97">
        <v>127046.66740264399</v>
      </c>
      <c r="Y67" s="97">
        <v>633568.05269400787</v>
      </c>
      <c r="Z67" s="97">
        <v>632645.48932280787</v>
      </c>
      <c r="AA67" s="97">
        <f t="shared" si="10"/>
        <v>292175.633431361</v>
      </c>
      <c r="AB67" s="98">
        <f t="shared" si="11"/>
        <v>0.85815419008640903</v>
      </c>
      <c r="AC67" s="97">
        <f t="shared" si="8"/>
        <v>922.56337119999807</v>
      </c>
      <c r="AD67" s="97">
        <f t="shared" si="9"/>
        <v>341392.41926264687</v>
      </c>
      <c r="AE67" s="98">
        <f t="shared" si="12"/>
        <v>0.45644092639338729</v>
      </c>
    </row>
    <row r="68" spans="16:31" x14ac:dyDescent="0.25">
      <c r="AD68" s="5">
        <f>AVERAGE(AD36:AD67)</f>
        <v>640117.08095506555</v>
      </c>
    </row>
  </sheetData>
  <mergeCells count="7">
    <mergeCell ref="C38:C39"/>
    <mergeCell ref="D38:D39"/>
    <mergeCell ref="G38:G39"/>
    <mergeCell ref="M33:O33"/>
    <mergeCell ref="C43:C44"/>
    <mergeCell ref="D43:D44"/>
    <mergeCell ref="G43:G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7"/>
  <sheetViews>
    <sheetView topLeftCell="J1" workbookViewId="0">
      <selection activeCell="C43" sqref="C43:G44"/>
    </sheetView>
  </sheetViews>
  <sheetFormatPr defaultRowHeight="15" x14ac:dyDescent="0.25"/>
  <cols>
    <col min="1" max="2" width="8.85546875" style="17"/>
    <col min="3" max="3" width="11.5703125" style="17" bestFit="1" customWidth="1"/>
    <col min="4" max="4" width="12.28515625" style="17" bestFit="1" customWidth="1"/>
    <col min="5" max="5" width="11.5703125" style="17" bestFit="1" customWidth="1"/>
    <col min="6" max="6" width="13.140625" style="17" customWidth="1"/>
    <col min="7" max="7" width="12.28515625" style="17" bestFit="1" customWidth="1"/>
    <col min="8" max="9" width="11.42578125" style="17" bestFit="1" customWidth="1"/>
    <col min="10" max="10" width="11.5703125" style="17" bestFit="1" customWidth="1"/>
    <col min="13" max="13" width="24" bestFit="1" customWidth="1"/>
    <col min="14" max="14" width="9.7109375" bestFit="1" customWidth="1"/>
    <col min="15" max="15" width="10.7109375" bestFit="1" customWidth="1"/>
    <col min="29" max="29" width="10.85546875" bestFit="1" customWidth="1"/>
    <col min="30" max="30" width="11.7109375" customWidth="1"/>
  </cols>
  <sheetData>
    <row r="1" spans="1:10" x14ac:dyDescent="0.25">
      <c r="B1" s="17" t="s">
        <v>39</v>
      </c>
    </row>
    <row r="2" spans="1:10" x14ac:dyDescent="0.25">
      <c r="I2" s="63"/>
      <c r="J2" s="64"/>
    </row>
    <row r="3" spans="1:10" x14ac:dyDescent="0.25">
      <c r="A3" s="17" t="s">
        <v>66</v>
      </c>
      <c r="B3" s="17" t="s">
        <v>311</v>
      </c>
      <c r="C3" s="18" t="s">
        <v>20</v>
      </c>
      <c r="D3" s="47" t="s">
        <v>316</v>
      </c>
      <c r="E3" s="10" t="s">
        <v>322</v>
      </c>
      <c r="F3" s="9" t="s">
        <v>1</v>
      </c>
      <c r="G3" s="8" t="s">
        <v>305</v>
      </c>
      <c r="H3" s="34" t="s">
        <v>306</v>
      </c>
      <c r="I3" s="65" t="s">
        <v>317</v>
      </c>
      <c r="J3" s="68" t="s">
        <v>309</v>
      </c>
    </row>
    <row r="4" spans="1:10" s="17" customFormat="1" x14ac:dyDescent="0.25">
      <c r="C4" s="18">
        <v>1986</v>
      </c>
      <c r="D4" s="41">
        <f t="shared" ref="D4:D35" si="0">E4+F4</f>
        <v>337452.12597887998</v>
      </c>
      <c r="E4" s="22">
        <v>337452.12597887998</v>
      </c>
      <c r="F4" s="21"/>
      <c r="G4" s="20">
        <f t="shared" ref="G4:G35" si="1">F4+H4</f>
        <v>336689.22376253002</v>
      </c>
      <c r="H4" s="35">
        <v>336689.22376253002</v>
      </c>
      <c r="I4" s="66"/>
      <c r="J4" s="69"/>
    </row>
    <row r="5" spans="1:10" x14ac:dyDescent="0.25">
      <c r="C5" s="18">
        <v>1987</v>
      </c>
      <c r="D5" s="41">
        <f t="shared" si="0"/>
        <v>10694.389373652</v>
      </c>
      <c r="E5" s="22">
        <v>10694.389373652</v>
      </c>
      <c r="F5" s="21"/>
      <c r="G5" s="20">
        <f t="shared" si="1"/>
        <v>7133.9755762660016</v>
      </c>
      <c r="H5" s="35">
        <v>7133.9755762660016</v>
      </c>
      <c r="I5" s="66"/>
      <c r="J5" s="70"/>
    </row>
    <row r="6" spans="1:10" x14ac:dyDescent="0.25">
      <c r="C6" s="18">
        <v>1988</v>
      </c>
      <c r="D6" s="41">
        <f t="shared" si="0"/>
        <v>572.70215473499991</v>
      </c>
      <c r="E6" s="22">
        <v>572.70215473499991</v>
      </c>
      <c r="F6" s="21"/>
      <c r="G6" s="20">
        <f t="shared" si="1"/>
        <v>572.00086714899999</v>
      </c>
      <c r="H6" s="35">
        <v>572.00086714899999</v>
      </c>
      <c r="I6" s="66"/>
      <c r="J6" s="71"/>
    </row>
    <row r="7" spans="1:10" x14ac:dyDescent="0.25">
      <c r="C7" s="18">
        <v>1989</v>
      </c>
      <c r="D7" s="41">
        <f t="shared" si="0"/>
        <v>116067.91357132999</v>
      </c>
      <c r="E7" s="22">
        <v>116067.91357132999</v>
      </c>
      <c r="F7" s="21"/>
      <c r="G7" s="20">
        <f t="shared" si="1"/>
        <v>155074.47161339998</v>
      </c>
      <c r="H7" s="35">
        <v>155074.47161339998</v>
      </c>
      <c r="I7" s="66"/>
      <c r="J7" s="71"/>
    </row>
    <row r="8" spans="1:10" x14ac:dyDescent="0.25">
      <c r="C8" s="18">
        <v>1990</v>
      </c>
      <c r="D8" s="41">
        <f t="shared" si="0"/>
        <v>111169.57975139997</v>
      </c>
      <c r="E8" s="22">
        <v>111169.57975139997</v>
      </c>
      <c r="F8" s="21"/>
      <c r="G8" s="20">
        <f t="shared" si="1"/>
        <v>110918.65838929998</v>
      </c>
      <c r="H8" s="35">
        <v>110918.65838929998</v>
      </c>
      <c r="I8" s="66"/>
      <c r="J8" s="71"/>
    </row>
    <row r="9" spans="1:10" x14ac:dyDescent="0.25">
      <c r="C9" s="18">
        <v>1991</v>
      </c>
      <c r="D9" s="41">
        <f t="shared" si="0"/>
        <v>6736.2905814000014</v>
      </c>
      <c r="E9" s="22">
        <v>6736.2905814000014</v>
      </c>
      <c r="F9" s="21"/>
      <c r="G9" s="20">
        <f t="shared" si="1"/>
        <v>6721.7134702000021</v>
      </c>
      <c r="H9" s="35">
        <v>6721.7134702000021</v>
      </c>
      <c r="I9" s="66"/>
      <c r="J9" s="71"/>
    </row>
    <row r="10" spans="1:10" x14ac:dyDescent="0.25">
      <c r="C10" s="18">
        <v>1992</v>
      </c>
      <c r="D10" s="41">
        <f t="shared" si="0"/>
        <v>4833.1696160600004</v>
      </c>
      <c r="E10" s="22">
        <v>4826.1696160600004</v>
      </c>
      <c r="F10" s="21">
        <v>7</v>
      </c>
      <c r="G10" s="20">
        <f t="shared" si="1"/>
        <v>4829.30233486</v>
      </c>
      <c r="H10" s="35">
        <v>4822.30233486</v>
      </c>
      <c r="I10" s="66"/>
      <c r="J10" s="71"/>
    </row>
    <row r="11" spans="1:10" x14ac:dyDescent="0.25">
      <c r="C11" s="18">
        <v>1993</v>
      </c>
      <c r="D11" s="41">
        <f t="shared" si="0"/>
        <v>29921.479935815009</v>
      </c>
      <c r="E11" s="22">
        <v>29819.479935815009</v>
      </c>
      <c r="F11" s="21">
        <v>102</v>
      </c>
      <c r="G11" s="20">
        <f t="shared" si="1"/>
        <v>37053.960211379977</v>
      </c>
      <c r="H11" s="35">
        <v>36951.960211379977</v>
      </c>
      <c r="I11" s="66"/>
      <c r="J11" s="71"/>
    </row>
    <row r="12" spans="1:10" x14ac:dyDescent="0.25">
      <c r="C12" s="18">
        <v>1994</v>
      </c>
      <c r="D12" s="41">
        <f t="shared" si="0"/>
        <v>33381.386580529987</v>
      </c>
      <c r="E12" s="22">
        <v>32303.38658052999</v>
      </c>
      <c r="F12" s="21">
        <v>1078</v>
      </c>
      <c r="G12" s="20">
        <f t="shared" si="1"/>
        <v>37738.070234129984</v>
      </c>
      <c r="H12" s="35">
        <v>36660.070234129984</v>
      </c>
      <c r="I12" s="66"/>
      <c r="J12" s="71"/>
    </row>
    <row r="13" spans="1:10" x14ac:dyDescent="0.25">
      <c r="C13" s="18">
        <v>1995</v>
      </c>
      <c r="D13" s="41">
        <f t="shared" si="0"/>
        <v>5810.7741000000005</v>
      </c>
      <c r="E13" s="22">
        <v>514.7741000000002</v>
      </c>
      <c r="F13" s="21">
        <v>5296</v>
      </c>
      <c r="G13" s="20">
        <f t="shared" si="1"/>
        <v>5810.7741000000005</v>
      </c>
      <c r="H13" s="35">
        <v>514.7741000000002</v>
      </c>
      <c r="I13" s="66"/>
      <c r="J13" s="71"/>
    </row>
    <row r="14" spans="1:10" x14ac:dyDescent="0.25">
      <c r="C14" s="18">
        <v>1996</v>
      </c>
      <c r="D14" s="41">
        <f t="shared" si="0"/>
        <v>7478.2411384360003</v>
      </c>
      <c r="E14" s="22">
        <v>3160.2411384360003</v>
      </c>
      <c r="F14" s="21">
        <v>4318</v>
      </c>
      <c r="G14" s="20">
        <f t="shared" si="1"/>
        <v>7472.7766101400002</v>
      </c>
      <c r="H14" s="35">
        <v>3154.7766101400002</v>
      </c>
      <c r="I14" s="66"/>
      <c r="J14" s="71"/>
    </row>
    <row r="15" spans="1:10" x14ac:dyDescent="0.25">
      <c r="C15" s="18">
        <v>1997</v>
      </c>
      <c r="D15" s="41">
        <f t="shared" si="0"/>
        <v>60187.901046070001</v>
      </c>
      <c r="E15" s="22">
        <v>57448.901046070001</v>
      </c>
      <c r="F15" s="21">
        <v>2739</v>
      </c>
      <c r="G15" s="20">
        <f t="shared" si="1"/>
        <v>65060.124329409999</v>
      </c>
      <c r="H15" s="35">
        <v>62321.124329409999</v>
      </c>
      <c r="I15" s="66"/>
      <c r="J15" s="71"/>
    </row>
    <row r="16" spans="1:10" x14ac:dyDescent="0.25">
      <c r="C16" s="18">
        <v>1998</v>
      </c>
      <c r="D16" s="41">
        <f t="shared" si="0"/>
        <v>27221.778905127001</v>
      </c>
      <c r="E16" s="22">
        <v>26040.778905127001</v>
      </c>
      <c r="F16" s="21">
        <v>1181</v>
      </c>
      <c r="G16" s="20">
        <f t="shared" si="1"/>
        <v>27166.953514713001</v>
      </c>
      <c r="H16" s="35">
        <v>25985.953514713001</v>
      </c>
      <c r="I16" s="66"/>
      <c r="J16" s="71"/>
    </row>
    <row r="17" spans="1:11" x14ac:dyDescent="0.25">
      <c r="A17" s="17">
        <f>_xlfn.RANK.AVG(D17,$D$17:$D$25)</f>
        <v>4</v>
      </c>
      <c r="B17" s="17">
        <f>_xlfn.RANK.AVG(G17,$G$17:$G$25)</f>
        <v>3</v>
      </c>
      <c r="C17" s="18">
        <v>1999</v>
      </c>
      <c r="D17" s="41">
        <f t="shared" si="0"/>
        <v>38269.148918909996</v>
      </c>
      <c r="E17" s="22">
        <v>36318.148918909996</v>
      </c>
      <c r="F17" s="21">
        <v>1951</v>
      </c>
      <c r="G17" s="20">
        <f t="shared" si="1"/>
        <v>42919.286830629993</v>
      </c>
      <c r="H17" s="35">
        <v>40968.286830629993</v>
      </c>
      <c r="I17" s="66"/>
      <c r="J17" s="71"/>
      <c r="K17" s="17">
        <v>1999</v>
      </c>
    </row>
    <row r="18" spans="1:11" x14ac:dyDescent="0.25">
      <c r="A18" s="17">
        <f t="shared" ref="A18:A25" si="2">_xlfn.RANK.AVG(D18,$D$17:$D$25)</f>
        <v>3</v>
      </c>
      <c r="B18" s="17">
        <f t="shared" ref="B18:B25" si="3">_xlfn.RANK.AVG(G18,$G$17:$G$25)</f>
        <v>4</v>
      </c>
      <c r="C18" s="18">
        <v>2000</v>
      </c>
      <c r="D18" s="41">
        <f t="shared" si="0"/>
        <v>38799.849663230001</v>
      </c>
      <c r="E18" s="22">
        <v>35958.849663230001</v>
      </c>
      <c r="F18" s="21">
        <v>2841</v>
      </c>
      <c r="G18" s="20">
        <f t="shared" si="1"/>
        <v>38719.668889300003</v>
      </c>
      <c r="H18" s="35">
        <v>35878.668889300003</v>
      </c>
      <c r="I18" s="66"/>
      <c r="J18" s="71"/>
      <c r="K18" s="17">
        <v>2000</v>
      </c>
    </row>
    <row r="19" spans="1:11" x14ac:dyDescent="0.25">
      <c r="A19" s="17">
        <f t="shared" si="2"/>
        <v>2</v>
      </c>
      <c r="B19" s="17">
        <f t="shared" si="3"/>
        <v>2</v>
      </c>
      <c r="C19" s="18">
        <v>2001</v>
      </c>
      <c r="D19" s="41">
        <f t="shared" si="0"/>
        <v>39015.978897199013</v>
      </c>
      <c r="E19" s="22">
        <v>32761.978897199013</v>
      </c>
      <c r="F19" s="21">
        <v>6254</v>
      </c>
      <c r="G19" s="20">
        <f t="shared" si="1"/>
        <v>44331.230833782975</v>
      </c>
      <c r="H19" s="35">
        <v>38077.230833782975</v>
      </c>
      <c r="I19" s="66"/>
      <c r="J19" s="71"/>
      <c r="K19" s="17">
        <v>2001</v>
      </c>
    </row>
    <row r="20" spans="1:11" x14ac:dyDescent="0.25">
      <c r="A20" s="17">
        <f t="shared" si="2"/>
        <v>7</v>
      </c>
      <c r="B20" s="17">
        <f t="shared" si="3"/>
        <v>7</v>
      </c>
      <c r="C20" s="18">
        <v>2002</v>
      </c>
      <c r="D20" s="41">
        <f t="shared" si="0"/>
        <v>10810.570479535001</v>
      </c>
      <c r="E20" s="22">
        <v>6759.5704795350011</v>
      </c>
      <c r="F20" s="21">
        <v>4051</v>
      </c>
      <c r="G20" s="20">
        <f t="shared" si="1"/>
        <v>10799.897909579</v>
      </c>
      <c r="H20" s="35">
        <v>6748.897909579</v>
      </c>
      <c r="I20" s="66"/>
      <c r="J20" s="71"/>
      <c r="K20" s="17">
        <v>2002</v>
      </c>
    </row>
    <row r="21" spans="1:11" x14ac:dyDescent="0.25">
      <c r="A21" s="17">
        <f t="shared" si="2"/>
        <v>9</v>
      </c>
      <c r="B21" s="17">
        <f t="shared" si="3"/>
        <v>9</v>
      </c>
      <c r="C21" s="18">
        <v>2003</v>
      </c>
      <c r="D21" s="41">
        <f t="shared" si="0"/>
        <v>4156.4035410199995</v>
      </c>
      <c r="E21" s="22">
        <v>1119.4035410199999</v>
      </c>
      <c r="F21" s="21">
        <v>3037</v>
      </c>
      <c r="G21" s="20">
        <f t="shared" si="1"/>
        <v>4154.7973668499999</v>
      </c>
      <c r="H21" s="35">
        <v>1117.7973668499999</v>
      </c>
      <c r="I21" s="66"/>
      <c r="J21" s="71"/>
      <c r="K21" s="17">
        <v>2003</v>
      </c>
    </row>
    <row r="22" spans="1:11" x14ac:dyDescent="0.25">
      <c r="A22" s="17">
        <f t="shared" si="2"/>
        <v>5</v>
      </c>
      <c r="B22" s="17">
        <f t="shared" si="3"/>
        <v>5</v>
      </c>
      <c r="C22" s="18">
        <v>2004</v>
      </c>
      <c r="D22" s="41">
        <f t="shared" si="0"/>
        <v>16428.624959013003</v>
      </c>
      <c r="E22" s="22">
        <v>8598.624959013001</v>
      </c>
      <c r="F22" s="21">
        <v>7830</v>
      </c>
      <c r="G22" s="20">
        <f t="shared" si="1"/>
        <v>16409.873001971002</v>
      </c>
      <c r="H22" s="35">
        <v>8579.8730019710019</v>
      </c>
      <c r="I22" s="66"/>
      <c r="J22" s="71"/>
      <c r="K22" s="17">
        <v>2004</v>
      </c>
    </row>
    <row r="23" spans="1:11" x14ac:dyDescent="0.25">
      <c r="A23" s="17">
        <f t="shared" si="2"/>
        <v>1</v>
      </c>
      <c r="B23" s="17">
        <f t="shared" si="3"/>
        <v>1</v>
      </c>
      <c r="C23" s="18">
        <v>2005</v>
      </c>
      <c r="D23" s="41">
        <f t="shared" si="0"/>
        <v>58534.792987823996</v>
      </c>
      <c r="E23" s="22">
        <v>55070.792987823996</v>
      </c>
      <c r="F23" s="21">
        <v>3464</v>
      </c>
      <c r="G23" s="20">
        <f t="shared" si="1"/>
        <v>47150.381569555997</v>
      </c>
      <c r="H23" s="35">
        <v>43686.381569555997</v>
      </c>
      <c r="I23" s="66"/>
      <c r="J23" s="71"/>
      <c r="K23" s="17">
        <v>2005</v>
      </c>
    </row>
    <row r="24" spans="1:11" x14ac:dyDescent="0.25">
      <c r="A24" s="17">
        <f t="shared" si="2"/>
        <v>8</v>
      </c>
      <c r="B24" s="17">
        <f t="shared" si="3"/>
        <v>8</v>
      </c>
      <c r="C24" s="18">
        <v>2006</v>
      </c>
      <c r="D24" s="41">
        <f t="shared" si="0"/>
        <v>5482.573750945</v>
      </c>
      <c r="E24" s="22">
        <v>1431.5737509450003</v>
      </c>
      <c r="F24" s="21">
        <v>4051</v>
      </c>
      <c r="G24" s="20">
        <f t="shared" si="1"/>
        <v>5480.2806982510001</v>
      </c>
      <c r="H24" s="35">
        <v>1429.2806982510003</v>
      </c>
      <c r="I24" s="66"/>
      <c r="J24" s="71"/>
      <c r="K24" s="17">
        <v>2006</v>
      </c>
    </row>
    <row r="25" spans="1:11" x14ac:dyDescent="0.25">
      <c r="A25" s="17">
        <f t="shared" si="2"/>
        <v>6</v>
      </c>
      <c r="B25" s="17">
        <f t="shared" si="3"/>
        <v>6</v>
      </c>
      <c r="C25" s="18">
        <v>2007</v>
      </c>
      <c r="D25" s="41">
        <f t="shared" si="0"/>
        <v>14950.2879801</v>
      </c>
      <c r="E25" s="22">
        <v>8198.2879800999999</v>
      </c>
      <c r="F25" s="21">
        <v>6752</v>
      </c>
      <c r="G25" s="20">
        <f t="shared" si="1"/>
        <v>14932.319400200002</v>
      </c>
      <c r="H25" s="35">
        <v>8180.3194002000009</v>
      </c>
      <c r="I25" s="66"/>
      <c r="J25" s="71"/>
      <c r="K25" s="17">
        <v>2007</v>
      </c>
    </row>
    <row r="26" spans="1:11" x14ac:dyDescent="0.25">
      <c r="C26" s="18">
        <v>2008</v>
      </c>
      <c r="D26" s="41">
        <f t="shared" si="0"/>
        <v>6931.1878523639989</v>
      </c>
      <c r="E26" s="22">
        <v>2921.1878523639994</v>
      </c>
      <c r="F26" s="21">
        <v>4010</v>
      </c>
      <c r="G26" s="20">
        <f t="shared" si="1"/>
        <v>6924.7333260259993</v>
      </c>
      <c r="H26" s="35">
        <v>2914.7333260259993</v>
      </c>
      <c r="I26" s="66"/>
      <c r="J26" s="71"/>
    </row>
    <row r="27" spans="1:11" x14ac:dyDescent="0.25">
      <c r="C27" s="18">
        <v>2009</v>
      </c>
      <c r="D27" s="41">
        <f t="shared" si="0"/>
        <v>22169.334280600007</v>
      </c>
      <c r="E27" s="22">
        <v>17804.334280600007</v>
      </c>
      <c r="F27" s="21">
        <v>4365</v>
      </c>
      <c r="G27" s="20">
        <f t="shared" si="1"/>
        <v>22129.872192600007</v>
      </c>
      <c r="H27" s="35">
        <v>17764.872192600007</v>
      </c>
      <c r="I27" s="66"/>
      <c r="J27" s="71"/>
    </row>
    <row r="28" spans="1:11" x14ac:dyDescent="0.25">
      <c r="C28" s="18">
        <v>2010</v>
      </c>
      <c r="D28" s="41">
        <f t="shared" si="0"/>
        <v>3789.8110876000001</v>
      </c>
      <c r="E28" s="22">
        <v>372.81108760000001</v>
      </c>
      <c r="F28" s="21">
        <v>3417</v>
      </c>
      <c r="G28" s="20">
        <f t="shared" si="1"/>
        <v>3789.8110876000001</v>
      </c>
      <c r="H28" s="35">
        <v>372.81108760000001</v>
      </c>
      <c r="I28" s="66"/>
      <c r="J28" s="71"/>
    </row>
    <row r="29" spans="1:11" x14ac:dyDescent="0.25">
      <c r="C29" s="18">
        <v>2011</v>
      </c>
      <c r="D29" s="41">
        <f t="shared" si="0"/>
        <v>66540.380477900006</v>
      </c>
      <c r="E29" s="22">
        <v>61781.380477899998</v>
      </c>
      <c r="F29" s="21">
        <v>4759</v>
      </c>
      <c r="G29" s="20">
        <f t="shared" si="1"/>
        <v>122834.21331019999</v>
      </c>
      <c r="H29" s="35">
        <v>118075.21331019999</v>
      </c>
      <c r="I29" s="66"/>
      <c r="J29" s="71"/>
    </row>
    <row r="30" spans="1:11" x14ac:dyDescent="0.25">
      <c r="C30" s="18">
        <v>2012</v>
      </c>
      <c r="D30" s="41">
        <f t="shared" si="0"/>
        <v>6641.7834869300004</v>
      </c>
      <c r="E30" s="22">
        <v>2569.78348693</v>
      </c>
      <c r="F30" s="21">
        <v>4072</v>
      </c>
      <c r="G30" s="20">
        <f t="shared" si="1"/>
        <v>6638.0010975499999</v>
      </c>
      <c r="H30" s="35">
        <v>2566.0010975499999</v>
      </c>
      <c r="I30" s="67">
        <f>VLOOKUP(VLOOKUP(3,$A$17:$C$25,3,FALSE),$C$17:$D$25,2,FALSE)</f>
        <v>38799.849663230001</v>
      </c>
      <c r="J30" s="72">
        <f>VLOOKUP(VLOOKUP(3,$B$17:$C$25,2,FALSE),$C$17:$G$25,5,FALSE)</f>
        <v>42919.286830629993</v>
      </c>
    </row>
    <row r="31" spans="1:11" s="17" customFormat="1" x14ac:dyDescent="0.25">
      <c r="C31" s="18">
        <v>2013</v>
      </c>
      <c r="D31" s="41">
        <f t="shared" si="0"/>
        <v>11189.332449900001</v>
      </c>
      <c r="E31" s="22">
        <v>5499.3324499000009</v>
      </c>
      <c r="F31" s="21">
        <v>5690</v>
      </c>
      <c r="G31" s="20">
        <f t="shared" si="1"/>
        <v>11178.961884100001</v>
      </c>
      <c r="H31" s="35">
        <v>5488.961884100001</v>
      </c>
      <c r="I31" s="67">
        <f t="shared" ref="I31:I32" si="4">VLOOKUP(VLOOKUP(3,$A$17:$C$25,3,FALSE),$C$17:$D$25,2,FALSE)</f>
        <v>38799.849663230001</v>
      </c>
      <c r="J31" s="72">
        <f t="shared" ref="J31:J32" si="5">VLOOKUP(VLOOKUP(3,$B$17:$C$25,2,FALSE),$C$17:$G$25,5,FALSE)</f>
        <v>42919.286830629993</v>
      </c>
    </row>
    <row r="32" spans="1:11" x14ac:dyDescent="0.25">
      <c r="C32" s="18">
        <v>2014</v>
      </c>
      <c r="D32" s="41">
        <f t="shared" si="0"/>
        <v>7940.6339698499978</v>
      </c>
      <c r="E32" s="22">
        <v>3137.6339698499974</v>
      </c>
      <c r="F32" s="21">
        <v>4803</v>
      </c>
      <c r="G32" s="20">
        <f t="shared" si="1"/>
        <v>7935.8632690299974</v>
      </c>
      <c r="H32" s="35">
        <v>3132.8632690299974</v>
      </c>
      <c r="I32" s="67">
        <f t="shared" si="4"/>
        <v>38799.849663230001</v>
      </c>
      <c r="J32" s="72">
        <f t="shared" si="5"/>
        <v>42919.286830629993</v>
      </c>
    </row>
    <row r="33" spans="3:31" s="17" customFormat="1" x14ac:dyDescent="0.25">
      <c r="C33" s="18">
        <v>2015</v>
      </c>
      <c r="D33" s="41">
        <f t="shared" si="0"/>
        <v>20883.357029899998</v>
      </c>
      <c r="E33" s="22">
        <v>17996.357029899998</v>
      </c>
      <c r="F33" s="21">
        <v>2887</v>
      </c>
      <c r="G33" s="20">
        <f t="shared" si="1"/>
        <v>20843.817648099997</v>
      </c>
      <c r="H33" s="35">
        <v>17956.817648099997</v>
      </c>
      <c r="I33" s="67">
        <f>$N$41</f>
        <v>105362.6273780832</v>
      </c>
      <c r="J33" s="72">
        <f>$O$41</f>
        <v>84870.686825200799</v>
      </c>
      <c r="M33" s="365" t="s">
        <v>74</v>
      </c>
      <c r="N33" s="365"/>
      <c r="O33" s="365"/>
    </row>
    <row r="34" spans="3:31" s="17" customFormat="1" x14ac:dyDescent="0.25">
      <c r="C34" s="18">
        <v>2016</v>
      </c>
      <c r="D34" s="41">
        <f t="shared" si="0"/>
        <v>7415.9084897599987</v>
      </c>
      <c r="E34" s="22">
        <v>5533.9084897599987</v>
      </c>
      <c r="F34" s="21">
        <v>1882</v>
      </c>
      <c r="G34" s="20">
        <f t="shared" si="1"/>
        <v>7403.7318729299986</v>
      </c>
      <c r="H34" s="35">
        <v>5521.7318729299986</v>
      </c>
      <c r="I34" s="67">
        <f t="shared" ref="I34:I35" si="6">$N$41</f>
        <v>105362.6273780832</v>
      </c>
      <c r="J34" s="72">
        <f t="shared" ref="J34:J35" si="7">$O$41</f>
        <v>84870.686825200799</v>
      </c>
      <c r="M34" s="62" t="s">
        <v>56</v>
      </c>
      <c r="N34" s="62" t="s">
        <v>75</v>
      </c>
      <c r="O34" s="62" t="s">
        <v>76</v>
      </c>
      <c r="S34" s="88" t="s">
        <v>20</v>
      </c>
      <c r="T34" s="88" t="s">
        <v>94</v>
      </c>
      <c r="U34" s="88" t="s">
        <v>95</v>
      </c>
      <c r="V34" s="142" t="s">
        <v>116</v>
      </c>
      <c r="W34" s="142" t="s">
        <v>101</v>
      </c>
      <c r="X34" s="99" t="s">
        <v>49</v>
      </c>
      <c r="Y34" s="93" t="s">
        <v>50</v>
      </c>
      <c r="Z34" s="88" t="s">
        <v>45</v>
      </c>
      <c r="AA34" s="88" t="s">
        <v>98</v>
      </c>
      <c r="AB34" s="88" t="s">
        <v>97</v>
      </c>
      <c r="AC34" s="88" t="s">
        <v>99</v>
      </c>
      <c r="AD34" s="88" t="s">
        <v>102</v>
      </c>
    </row>
    <row r="35" spans="3:31" x14ac:dyDescent="0.25">
      <c r="C35" s="18">
        <v>2017</v>
      </c>
      <c r="D35" s="41">
        <f t="shared" si="0"/>
        <v>61879.397924599973</v>
      </c>
      <c r="E35" s="22">
        <v>61139.397924599973</v>
      </c>
      <c r="F35" s="21">
        <v>740</v>
      </c>
      <c r="G35" s="20">
        <f t="shared" si="1"/>
        <v>61741.747967199975</v>
      </c>
      <c r="H35" s="35">
        <v>61001.747967199975</v>
      </c>
      <c r="I35" s="67">
        <f t="shared" si="6"/>
        <v>105362.6273780832</v>
      </c>
      <c r="J35" s="72">
        <f t="shared" si="7"/>
        <v>84870.686825200799</v>
      </c>
      <c r="M35" s="49" t="s">
        <v>57</v>
      </c>
      <c r="N35" s="49" t="s">
        <v>77</v>
      </c>
      <c r="O35" s="49" t="s">
        <v>77</v>
      </c>
      <c r="S35" s="95">
        <v>1986</v>
      </c>
      <c r="T35" s="100">
        <v>2</v>
      </c>
      <c r="U35" s="100">
        <v>13</v>
      </c>
      <c r="V35" s="96">
        <v>197777.63393204345</v>
      </c>
      <c r="W35" s="96">
        <v>374911.67119823117</v>
      </c>
      <c r="X35" s="97">
        <v>235503.39197060003</v>
      </c>
      <c r="Y35" s="97">
        <v>336689.22376253002</v>
      </c>
      <c r="Z35" s="97">
        <v>525.32972480000001</v>
      </c>
      <c r="AA35" s="97">
        <f>W35+Z35</f>
        <v>375437.00092303118</v>
      </c>
      <c r="AB35" s="97">
        <f>Y35-AA35</f>
        <v>-38747.777160501166</v>
      </c>
      <c r="AC35" s="98">
        <f>AB35/AA35</f>
        <v>-0.10320713479288872</v>
      </c>
      <c r="AD35" s="98">
        <f>AB35/$AA$67</f>
        <v>-1.072077040191161</v>
      </c>
    </row>
    <row r="36" spans="3:31" s="17" customFormat="1" x14ac:dyDescent="0.25">
      <c r="C36" s="61" t="s">
        <v>71</v>
      </c>
      <c r="D36" s="5">
        <f>AVERAGE(D17:D25)</f>
        <v>25160.914575308445</v>
      </c>
      <c r="E36" s="19"/>
      <c r="F36" s="5"/>
      <c r="G36" s="5">
        <f>AVERAGE(G17:G25)</f>
        <v>24988.637388902218</v>
      </c>
      <c r="H36" s="5"/>
      <c r="I36" s="63"/>
      <c r="J36" s="63"/>
      <c r="M36" s="49" t="s">
        <v>52</v>
      </c>
      <c r="N36" s="49">
        <v>2</v>
      </c>
      <c r="O36" s="49">
        <f>VLOOKUP(O35,'ORCS Categories'!$A$5:$C$9,2,FALSE)</f>
        <v>2</v>
      </c>
      <c r="S36" s="39">
        <v>1987</v>
      </c>
      <c r="T36" s="33">
        <v>45</v>
      </c>
      <c r="U36" s="33">
        <v>0</v>
      </c>
      <c r="V36" s="26">
        <v>10131.443994078647</v>
      </c>
      <c r="W36" s="26">
        <v>6779.3776147037916</v>
      </c>
      <c r="X36" s="22">
        <v>13473.44043853</v>
      </c>
      <c r="Y36" s="35">
        <v>7133.9755762660016</v>
      </c>
      <c r="Z36" s="5">
        <v>1102.884219</v>
      </c>
      <c r="AA36" s="5">
        <f t="shared" ref="AA36:AA66" si="8">W36+Z36</f>
        <v>7882.2618337037911</v>
      </c>
      <c r="AB36" s="5">
        <f t="shared" ref="AB36:AB66" si="9">Y36-AA36</f>
        <v>-748.28625743778957</v>
      </c>
      <c r="AC36" s="92">
        <f t="shared" ref="AC36:AC66" si="10">AB36/AA36</f>
        <v>-9.4932935904030707E-2</v>
      </c>
      <c r="AD36" s="92">
        <f t="shared" ref="AD36:AD66" si="11">AB36/$AA$67</f>
        <v>-2.0703652567388993E-2</v>
      </c>
    </row>
    <row r="37" spans="3:31" ht="14.45" customHeight="1" x14ac:dyDescent="0.25">
      <c r="C37" s="61" t="s">
        <v>47</v>
      </c>
      <c r="D37" s="5">
        <f>AVERAGE(D30:D32)</f>
        <v>8590.5833022266652</v>
      </c>
      <c r="F37" s="5"/>
      <c r="G37" s="5">
        <f>AVERAGE(G30:G32)</f>
        <v>8584.2754168933334</v>
      </c>
      <c r="H37" s="5"/>
      <c r="M37" s="49" t="s">
        <v>53</v>
      </c>
      <c r="N37" s="49" t="s">
        <v>54</v>
      </c>
      <c r="O37" s="49" t="s">
        <v>54</v>
      </c>
      <c r="S37" s="39">
        <v>1988</v>
      </c>
      <c r="T37" s="33">
        <v>8</v>
      </c>
      <c r="U37" s="33">
        <v>0</v>
      </c>
      <c r="V37" s="26">
        <v>0</v>
      </c>
      <c r="W37" s="26">
        <v>0</v>
      </c>
      <c r="X37" s="22">
        <v>4637.1391613400001</v>
      </c>
      <c r="Y37" s="35">
        <v>572.00086714899999</v>
      </c>
      <c r="Z37" s="5">
        <v>262.98673400000001</v>
      </c>
      <c r="AA37" s="5"/>
      <c r="AB37" s="5"/>
      <c r="AC37" s="92" t="e">
        <f t="shared" si="10"/>
        <v>#DIV/0!</v>
      </c>
      <c r="AD37" s="92">
        <f t="shared" si="11"/>
        <v>0</v>
      </c>
      <c r="AE37" t="s">
        <v>113</v>
      </c>
    </row>
    <row r="38" spans="3:31" ht="15" customHeight="1" x14ac:dyDescent="0.25">
      <c r="C38" s="363" t="s">
        <v>69</v>
      </c>
      <c r="D38" s="364">
        <f>D37/D36</f>
        <v>0.34142571711828779</v>
      </c>
      <c r="G38" s="364">
        <f>G37/G36</f>
        <v>0.34352715129260003</v>
      </c>
      <c r="M38" s="49" t="s">
        <v>58</v>
      </c>
      <c r="N38" s="49">
        <f>VLOOKUP(N39,D17:K25,8,FALSE)</f>
        <v>2005</v>
      </c>
      <c r="O38" s="49">
        <f>VLOOKUP(O39,G17:K25,5,FALSE)</f>
        <v>2005</v>
      </c>
      <c r="S38" s="39">
        <v>1989</v>
      </c>
      <c r="T38" s="33">
        <v>7</v>
      </c>
      <c r="U38" s="33">
        <v>10</v>
      </c>
      <c r="V38" s="26">
        <v>50222.199713267873</v>
      </c>
      <c r="W38" s="26">
        <v>152225.29833132995</v>
      </c>
      <c r="X38" s="22">
        <v>82440.379462450001</v>
      </c>
      <c r="Y38" s="35">
        <v>155074.47161339998</v>
      </c>
      <c r="Z38" s="5">
        <v>530.27243799999997</v>
      </c>
      <c r="AA38" s="5">
        <f t="shared" si="8"/>
        <v>152755.57076932996</v>
      </c>
      <c r="AB38" s="5">
        <f t="shared" si="9"/>
        <v>2318.9008440700127</v>
      </c>
      <c r="AC38" s="92">
        <f t="shared" si="10"/>
        <v>1.5180466626462294E-2</v>
      </c>
      <c r="AD38" s="92">
        <f t="shared" si="11"/>
        <v>6.4159560511295385E-2</v>
      </c>
    </row>
    <row r="39" spans="3:31" x14ac:dyDescent="0.25">
      <c r="C39" s="363"/>
      <c r="D39" s="364"/>
      <c r="E39" s="61"/>
      <c r="G39" s="364"/>
      <c r="M39" s="49" t="s">
        <v>55</v>
      </c>
      <c r="N39" s="24">
        <f>MAX(D17:D25)</f>
        <v>58534.792987823996</v>
      </c>
      <c r="O39" s="24">
        <f>MAX(G17:G25)</f>
        <v>47150.381569555997</v>
      </c>
      <c r="S39" s="95">
        <v>1990</v>
      </c>
      <c r="T39" s="100">
        <v>4</v>
      </c>
      <c r="U39" s="100">
        <v>0</v>
      </c>
      <c r="V39" s="96">
        <v>7822.0800623476098</v>
      </c>
      <c r="W39" s="96">
        <v>76547.491632806777</v>
      </c>
      <c r="X39" s="97">
        <v>15305.435633899999</v>
      </c>
      <c r="Y39" s="97">
        <v>110918.65838929998</v>
      </c>
      <c r="Z39" s="97">
        <v>353.11078199999997</v>
      </c>
      <c r="AA39" s="97">
        <f t="shared" si="8"/>
        <v>76900.602414806781</v>
      </c>
      <c r="AB39" s="97">
        <f t="shared" si="9"/>
        <v>34018.055974493196</v>
      </c>
      <c r="AC39" s="98">
        <f t="shared" si="10"/>
        <v>0.44236397253428028</v>
      </c>
      <c r="AD39" s="98">
        <f t="shared" si="11"/>
        <v>0.94121468209972026</v>
      </c>
    </row>
    <row r="40" spans="3:31" x14ac:dyDescent="0.25">
      <c r="C40" s="5" t="s">
        <v>71</v>
      </c>
      <c r="D40" s="5">
        <f>AVERAGE(D17:D25)</f>
        <v>25160.914575308445</v>
      </c>
      <c r="E40" s="5"/>
      <c r="G40" s="5">
        <f>AVERAGE(G17:G25)</f>
        <v>24988.637388902218</v>
      </c>
      <c r="M40" s="49" t="s">
        <v>59</v>
      </c>
      <c r="N40" s="49">
        <v>0.9</v>
      </c>
      <c r="O40" s="49">
        <f>VLOOKUP(O35,'ORCS Categories'!$A$5:$C$9,3,FALSE)</f>
        <v>0.9</v>
      </c>
      <c r="S40" s="39">
        <v>1991</v>
      </c>
      <c r="T40" s="33">
        <v>2</v>
      </c>
      <c r="U40" s="33">
        <v>0</v>
      </c>
      <c r="V40" s="26">
        <v>2277.9904887288999</v>
      </c>
      <c r="W40" s="26">
        <v>2309.4791299730196</v>
      </c>
      <c r="X40" s="22">
        <v>7092.7592200999998</v>
      </c>
      <c r="Y40" s="35">
        <v>6721.7134702000021</v>
      </c>
      <c r="Z40" s="5">
        <v>298.480794</v>
      </c>
      <c r="AA40" s="5">
        <f t="shared" si="8"/>
        <v>2607.9599239730196</v>
      </c>
      <c r="AB40" s="5">
        <f t="shared" si="9"/>
        <v>4113.7535462269825</v>
      </c>
      <c r="AC40" s="92">
        <f t="shared" si="10"/>
        <v>1.5773837275689444</v>
      </c>
      <c r="AD40" s="92">
        <f t="shared" si="11"/>
        <v>0.11381970913187406</v>
      </c>
    </row>
    <row r="41" spans="3:31" x14ac:dyDescent="0.25">
      <c r="C41" s="5" t="s">
        <v>68</v>
      </c>
      <c r="D41" s="5">
        <f>AVERAGE(D33:D35)</f>
        <v>30059.554481419986</v>
      </c>
      <c r="E41" s="5"/>
      <c r="G41" s="5">
        <f>AVERAGE(G33:G35)</f>
        <v>29996.432496076657</v>
      </c>
      <c r="M41" s="49" t="s">
        <v>41</v>
      </c>
      <c r="N41" s="24">
        <f>N39*N36*N40</f>
        <v>105362.6273780832</v>
      </c>
      <c r="O41" s="24">
        <f>O39*O36*O40</f>
        <v>84870.686825200799</v>
      </c>
      <c r="S41" s="39">
        <v>1992</v>
      </c>
      <c r="T41" s="33">
        <v>8</v>
      </c>
      <c r="U41" s="33">
        <v>0</v>
      </c>
      <c r="V41" s="26">
        <v>561.30372790684282</v>
      </c>
      <c r="W41" s="26">
        <v>821.83133829896656</v>
      </c>
      <c r="X41" s="22">
        <v>5803.3012409799994</v>
      </c>
      <c r="Y41" s="35">
        <v>4822.30233486</v>
      </c>
      <c r="Z41" s="5">
        <v>3118.2303320000005</v>
      </c>
      <c r="AA41" s="5">
        <f t="shared" si="8"/>
        <v>3940.0616702989673</v>
      </c>
      <c r="AB41" s="5">
        <f t="shared" si="9"/>
        <v>882.24066456103264</v>
      </c>
      <c r="AC41" s="92">
        <f t="shared" si="10"/>
        <v>0.22391544559100499</v>
      </c>
      <c r="AD41" s="92">
        <f t="shared" si="11"/>
        <v>2.440991534768704E-2</v>
      </c>
    </row>
    <row r="42" spans="3:31" x14ac:dyDescent="0.25">
      <c r="C42" s="17" t="s">
        <v>72</v>
      </c>
      <c r="D42" s="73">
        <f>D41/D40</f>
        <v>1.194692442178505</v>
      </c>
      <c r="G42" s="73">
        <f>G41/G40</f>
        <v>1.2004028882902782</v>
      </c>
      <c r="S42" s="39">
        <v>1993</v>
      </c>
      <c r="T42" s="33">
        <v>17</v>
      </c>
      <c r="U42" s="33">
        <v>2</v>
      </c>
      <c r="V42" s="26">
        <v>9980.5993555166915</v>
      </c>
      <c r="W42" s="26">
        <v>16839.393443095851</v>
      </c>
      <c r="X42" s="22">
        <v>29068.227656219999</v>
      </c>
      <c r="Y42" s="35">
        <v>36951.960211379977</v>
      </c>
      <c r="Z42" s="5">
        <v>3217.878252</v>
      </c>
      <c r="AA42" s="5">
        <f t="shared" si="8"/>
        <v>20057.271695095849</v>
      </c>
      <c r="AB42" s="5">
        <f t="shared" si="9"/>
        <v>16894.688516284128</v>
      </c>
      <c r="AC42" s="92">
        <f t="shared" si="10"/>
        <v>0.8423223643330815</v>
      </c>
      <c r="AD42" s="92">
        <f t="shared" si="11"/>
        <v>0.46744378611614834</v>
      </c>
    </row>
    <row r="43" spans="3:31" x14ac:dyDescent="0.25">
      <c r="C43" s="363" t="s">
        <v>334</v>
      </c>
      <c r="D43" s="364">
        <f>I30/D36</f>
        <v>1.5420683356759244</v>
      </c>
      <c r="G43" s="364">
        <f>J30/G36</f>
        <v>1.7175521082910672</v>
      </c>
      <c r="S43" s="39">
        <v>1994</v>
      </c>
      <c r="T43" s="33">
        <v>16</v>
      </c>
      <c r="U43" s="33">
        <v>0</v>
      </c>
      <c r="V43" s="26">
        <v>9931.298426328909</v>
      </c>
      <c r="W43" s="26">
        <v>20540.000459402083</v>
      </c>
      <c r="X43" s="22">
        <v>18006.709298499998</v>
      </c>
      <c r="Y43" s="35">
        <v>36660.070234129984</v>
      </c>
      <c r="Z43" s="5">
        <v>1961.6751259999999</v>
      </c>
      <c r="AA43" s="5">
        <f t="shared" si="8"/>
        <v>22501.675585402081</v>
      </c>
      <c r="AB43" s="5">
        <f t="shared" si="9"/>
        <v>14158.394648727903</v>
      </c>
      <c r="AC43" s="92">
        <f t="shared" si="10"/>
        <v>0.62921512644654487</v>
      </c>
      <c r="AD43" s="92">
        <f t="shared" si="11"/>
        <v>0.39173575727950888</v>
      </c>
    </row>
    <row r="44" spans="3:31" x14ac:dyDescent="0.25">
      <c r="C44" s="363"/>
      <c r="D44" s="364"/>
      <c r="E44" s="141"/>
      <c r="G44" s="364"/>
      <c r="S44" s="39">
        <v>1995</v>
      </c>
      <c r="T44" s="33">
        <v>0</v>
      </c>
      <c r="U44" s="33">
        <v>0</v>
      </c>
      <c r="V44" s="26">
        <v>0</v>
      </c>
      <c r="W44" s="26">
        <v>0</v>
      </c>
      <c r="X44" s="22">
        <v>514.77409999999998</v>
      </c>
      <c r="Y44" s="35">
        <v>514.7741000000002</v>
      </c>
      <c r="Z44" s="5">
        <v>514.7741000000002</v>
      </c>
      <c r="AA44" s="5">
        <f t="shared" si="8"/>
        <v>514.7741000000002</v>
      </c>
      <c r="AB44" s="5">
        <f t="shared" si="9"/>
        <v>0</v>
      </c>
      <c r="AC44" s="92">
        <f t="shared" si="10"/>
        <v>0</v>
      </c>
      <c r="AD44" s="92">
        <f t="shared" si="11"/>
        <v>0</v>
      </c>
    </row>
    <row r="45" spans="3:31" x14ac:dyDescent="0.25">
      <c r="S45" s="39">
        <v>1996</v>
      </c>
      <c r="T45" s="33">
        <v>2</v>
      </c>
      <c r="U45" s="33">
        <v>0</v>
      </c>
      <c r="V45" s="26">
        <v>7619.8656364060971</v>
      </c>
      <c r="W45" s="26">
        <v>10215.281633112569</v>
      </c>
      <c r="X45" s="22">
        <v>3148.6621267399996</v>
      </c>
      <c r="Y45" s="35">
        <v>3154.7766101400002</v>
      </c>
      <c r="Z45" s="5">
        <v>746.896434</v>
      </c>
      <c r="AA45" s="5">
        <f t="shared" si="8"/>
        <v>10962.178067112569</v>
      </c>
      <c r="AB45" s="5">
        <f t="shared" si="9"/>
        <v>-7807.4014569725687</v>
      </c>
      <c r="AC45" s="92">
        <f t="shared" si="10"/>
        <v>-0.7122126104113754</v>
      </c>
      <c r="AD45" s="92">
        <f t="shared" si="11"/>
        <v>-0.21601589714177682</v>
      </c>
    </row>
    <row r="46" spans="3:31" x14ac:dyDescent="0.25">
      <c r="S46" s="95">
        <v>1997</v>
      </c>
      <c r="T46" s="100">
        <v>20</v>
      </c>
      <c r="U46" s="100">
        <v>0</v>
      </c>
      <c r="V46" s="96">
        <v>11191.85939197269</v>
      </c>
      <c r="W46" s="96">
        <v>25168.64093602627</v>
      </c>
      <c r="X46" s="97">
        <v>40056.417179200005</v>
      </c>
      <c r="Y46" s="97">
        <v>62321.124329409999</v>
      </c>
      <c r="Z46" s="97">
        <v>1297.0102720000002</v>
      </c>
      <c r="AA46" s="97">
        <f t="shared" si="8"/>
        <v>26465.651208026269</v>
      </c>
      <c r="AB46" s="97">
        <f t="shared" si="9"/>
        <v>35855.473121383729</v>
      </c>
      <c r="AC46" s="98">
        <f t="shared" si="10"/>
        <v>1.3547927779880133</v>
      </c>
      <c r="AD46" s="98">
        <f t="shared" si="11"/>
        <v>0.99205250766776143</v>
      </c>
    </row>
    <row r="47" spans="3:31" x14ac:dyDescent="0.25">
      <c r="S47" s="39">
        <v>1998</v>
      </c>
      <c r="T47" s="33">
        <v>5</v>
      </c>
      <c r="U47" s="33">
        <v>1</v>
      </c>
      <c r="V47" s="26">
        <v>10886.715948705221</v>
      </c>
      <c r="W47" s="26">
        <v>13560.045522783816</v>
      </c>
      <c r="X47" s="22">
        <v>9857.4045767899988</v>
      </c>
      <c r="Y47" s="35">
        <v>25985.953514713001</v>
      </c>
      <c r="Z47" s="5">
        <v>1827.7897679999994</v>
      </c>
      <c r="AA47" s="5">
        <f t="shared" si="8"/>
        <v>15387.835290783814</v>
      </c>
      <c r="AB47" s="5">
        <f t="shared" si="9"/>
        <v>10598.118223929187</v>
      </c>
      <c r="AC47" s="92">
        <f t="shared" si="10"/>
        <v>0.68873353682676097</v>
      </c>
      <c r="AD47" s="92">
        <f t="shared" si="11"/>
        <v>0.29322970373351476</v>
      </c>
    </row>
    <row r="48" spans="3:31" x14ac:dyDescent="0.25">
      <c r="S48" s="39">
        <v>1999</v>
      </c>
      <c r="T48" s="33">
        <v>12</v>
      </c>
      <c r="U48" s="33">
        <v>13</v>
      </c>
      <c r="V48" s="26">
        <v>18655.60301011386</v>
      </c>
      <c r="W48" s="26">
        <v>54657.200123938674</v>
      </c>
      <c r="X48" s="22">
        <v>19111.306086869998</v>
      </c>
      <c r="Y48" s="35">
        <v>40968.286830629993</v>
      </c>
      <c r="Z48" s="5">
        <v>1043.9442379999998</v>
      </c>
      <c r="AA48" s="5">
        <f t="shared" si="8"/>
        <v>55701.14436193867</v>
      </c>
      <c r="AB48" s="5">
        <f t="shared" si="9"/>
        <v>-14732.857531308677</v>
      </c>
      <c r="AC48" s="92">
        <f t="shared" si="10"/>
        <v>-0.26449829173304801</v>
      </c>
      <c r="AD48" s="92">
        <f t="shared" si="11"/>
        <v>-0.40763004882314569</v>
      </c>
    </row>
    <row r="49" spans="19:30" x14ac:dyDescent="0.25">
      <c r="S49" s="39">
        <v>2000</v>
      </c>
      <c r="T49" s="33">
        <v>3</v>
      </c>
      <c r="U49" s="33">
        <v>10</v>
      </c>
      <c r="V49" s="26">
        <v>11945.948215619235</v>
      </c>
      <c r="W49" s="26">
        <v>22812.137294191212</v>
      </c>
      <c r="X49" s="22">
        <v>21243.035247159001</v>
      </c>
      <c r="Y49" s="35">
        <v>35878.668889300003</v>
      </c>
      <c r="Z49" s="5">
        <v>547.95333000000005</v>
      </c>
      <c r="AA49" s="5">
        <f t="shared" si="8"/>
        <v>23360.090624191213</v>
      </c>
      <c r="AB49" s="5">
        <f t="shared" si="9"/>
        <v>12518.57826510879</v>
      </c>
      <c r="AC49" s="92">
        <f t="shared" si="10"/>
        <v>0.53589596318367094</v>
      </c>
      <c r="AD49" s="92">
        <f t="shared" si="11"/>
        <v>0.34636516769122566</v>
      </c>
    </row>
    <row r="50" spans="19:30" x14ac:dyDescent="0.25">
      <c r="S50" s="39">
        <v>2001</v>
      </c>
      <c r="T50" s="33">
        <v>15</v>
      </c>
      <c r="U50" s="33">
        <v>18</v>
      </c>
      <c r="V50" s="26">
        <v>14512.5882530612</v>
      </c>
      <c r="W50" s="26">
        <v>29864.966748920997</v>
      </c>
      <c r="X50" s="22">
        <v>27485.445960189998</v>
      </c>
      <c r="Y50" s="35">
        <v>38077.230833782975</v>
      </c>
      <c r="Z50" s="5">
        <v>2396.9733960000003</v>
      </c>
      <c r="AA50" s="5">
        <f t="shared" si="8"/>
        <v>32261.940144920998</v>
      </c>
      <c r="AB50" s="5">
        <f t="shared" si="9"/>
        <v>5815.2906888619764</v>
      </c>
      <c r="AC50" s="92">
        <f t="shared" si="10"/>
        <v>0.18025235502699544</v>
      </c>
      <c r="AD50" s="92">
        <f t="shared" si="11"/>
        <v>0.16089799432215296</v>
      </c>
    </row>
    <row r="51" spans="19:30" x14ac:dyDescent="0.25">
      <c r="S51" s="39">
        <v>2002</v>
      </c>
      <c r="T51" s="33">
        <v>3</v>
      </c>
      <c r="U51" s="33">
        <v>0</v>
      </c>
      <c r="V51" s="26">
        <v>2148.8344558756576</v>
      </c>
      <c r="W51" s="26">
        <v>3965.3057399477639</v>
      </c>
      <c r="X51" s="22">
        <v>5104.0677540189999</v>
      </c>
      <c r="Y51" s="35">
        <v>6748.897909579</v>
      </c>
      <c r="Z51" s="5">
        <v>2046.1553980000001</v>
      </c>
      <c r="AA51" s="5">
        <f t="shared" si="8"/>
        <v>6011.4611379477637</v>
      </c>
      <c r="AB51" s="5">
        <f t="shared" si="9"/>
        <v>737.4367716312363</v>
      </c>
      <c r="AC51" s="92">
        <f t="shared" si="10"/>
        <v>0.12267180219732533</v>
      </c>
      <c r="AD51" s="92">
        <f t="shared" si="11"/>
        <v>2.0403468002403349E-2</v>
      </c>
    </row>
    <row r="52" spans="19:30" x14ac:dyDescent="0.25">
      <c r="S52" s="39">
        <v>2003</v>
      </c>
      <c r="T52" s="33">
        <v>4</v>
      </c>
      <c r="U52" s="33">
        <v>0</v>
      </c>
      <c r="V52" s="26">
        <v>310.82288835147062</v>
      </c>
      <c r="W52" s="26">
        <v>355.52841599898261</v>
      </c>
      <c r="X52" s="22">
        <v>2067.7094985799999</v>
      </c>
      <c r="Y52" s="35">
        <v>1117.7973668499999</v>
      </c>
      <c r="Z52" s="5">
        <v>410.05560000000003</v>
      </c>
      <c r="AA52" s="5">
        <f t="shared" si="8"/>
        <v>765.58401599898264</v>
      </c>
      <c r="AB52" s="5">
        <f t="shared" si="9"/>
        <v>352.21335085101725</v>
      </c>
      <c r="AC52" s="92">
        <f t="shared" si="10"/>
        <v>0.46005839135947335</v>
      </c>
      <c r="AD52" s="92">
        <f t="shared" si="11"/>
        <v>9.7450711851695179E-3</v>
      </c>
    </row>
    <row r="53" spans="19:30" x14ac:dyDescent="0.25">
      <c r="S53" s="39">
        <v>2004</v>
      </c>
      <c r="T53" s="33">
        <v>3</v>
      </c>
      <c r="U53" s="33">
        <v>3</v>
      </c>
      <c r="V53" s="26">
        <v>4044.1899302739203</v>
      </c>
      <c r="W53" s="26">
        <v>7954.4913015359771</v>
      </c>
      <c r="X53" s="22">
        <v>4088.147464703</v>
      </c>
      <c r="Y53" s="35">
        <v>8579.8730019710019</v>
      </c>
      <c r="Z53" s="5">
        <v>317.04352600000004</v>
      </c>
      <c r="AA53" s="5">
        <f t="shared" si="8"/>
        <v>8271.5348275359775</v>
      </c>
      <c r="AB53" s="5">
        <f t="shared" si="9"/>
        <v>308.33817443502448</v>
      </c>
      <c r="AC53" s="92">
        <f t="shared" si="10"/>
        <v>3.7277020633288672E-2</v>
      </c>
      <c r="AD53" s="92">
        <f t="shared" si="11"/>
        <v>8.5311287937109483E-3</v>
      </c>
    </row>
    <row r="54" spans="19:30" x14ac:dyDescent="0.25">
      <c r="S54" s="39">
        <v>2005</v>
      </c>
      <c r="T54" s="33">
        <v>10</v>
      </c>
      <c r="U54" s="33">
        <v>9</v>
      </c>
      <c r="V54" s="26">
        <v>24160.620535546743</v>
      </c>
      <c r="W54" s="26">
        <v>45110.940883905547</v>
      </c>
      <c r="X54" s="22">
        <v>26907.22085279</v>
      </c>
      <c r="Y54" s="35">
        <v>43686.381569555997</v>
      </c>
      <c r="Z54" s="5">
        <v>595.37427600000012</v>
      </c>
      <c r="AA54" s="5">
        <f t="shared" si="8"/>
        <v>45706.315159905549</v>
      </c>
      <c r="AB54" s="5">
        <f t="shared" si="9"/>
        <v>-2019.9335903495521</v>
      </c>
      <c r="AC54" s="92">
        <f t="shared" si="10"/>
        <v>-4.4193752729414434E-2</v>
      </c>
      <c r="AD54" s="92">
        <f t="shared" si="11"/>
        <v>-5.5887707208457676E-2</v>
      </c>
    </row>
    <row r="55" spans="19:30" x14ac:dyDescent="0.25">
      <c r="S55" s="39">
        <v>2006</v>
      </c>
      <c r="T55" s="33">
        <v>2</v>
      </c>
      <c r="U55" s="33">
        <v>0</v>
      </c>
      <c r="V55" s="26">
        <v>214.14494297017717</v>
      </c>
      <c r="W55" s="26">
        <v>234.20221991593465</v>
      </c>
      <c r="X55" s="22">
        <v>1246.976172616</v>
      </c>
      <c r="Y55" s="35">
        <v>1429.2806982510003</v>
      </c>
      <c r="Z55" s="5">
        <v>418.87400000000002</v>
      </c>
      <c r="AA55" s="5">
        <f t="shared" si="8"/>
        <v>653.07621991593464</v>
      </c>
      <c r="AB55" s="5">
        <f t="shared" si="9"/>
        <v>776.20447833506569</v>
      </c>
      <c r="AC55" s="92">
        <f t="shared" si="10"/>
        <v>1.18853581659271</v>
      </c>
      <c r="AD55" s="92">
        <f t="shared" si="11"/>
        <v>2.1476096455020962E-2</v>
      </c>
    </row>
    <row r="56" spans="19:30" x14ac:dyDescent="0.25">
      <c r="S56" s="39">
        <v>2007</v>
      </c>
      <c r="T56" s="33">
        <v>0</v>
      </c>
      <c r="U56" s="33">
        <v>1</v>
      </c>
      <c r="V56" s="26">
        <v>552.13966082365982</v>
      </c>
      <c r="W56" s="26">
        <v>1835.2309924878148</v>
      </c>
      <c r="X56" s="22">
        <v>2397.8094372999999</v>
      </c>
      <c r="Y56" s="35">
        <v>8180.3194002000009</v>
      </c>
      <c r="Z56" s="5">
        <v>262.67588540000003</v>
      </c>
      <c r="AA56" s="5">
        <f t="shared" si="8"/>
        <v>2097.906877887815</v>
      </c>
      <c r="AB56" s="5">
        <f t="shared" si="9"/>
        <v>6082.4125223121864</v>
      </c>
      <c r="AC56" s="92">
        <f t="shared" si="10"/>
        <v>2.8992766964165706</v>
      </c>
      <c r="AD56" s="92">
        <f t="shared" si="11"/>
        <v>0.16828874562614424</v>
      </c>
    </row>
    <row r="57" spans="19:30" x14ac:dyDescent="0.25">
      <c r="S57" s="39">
        <v>2008</v>
      </c>
      <c r="T57" s="33">
        <v>14</v>
      </c>
      <c r="U57" s="33">
        <v>0</v>
      </c>
      <c r="V57" s="26">
        <v>3263.7590233456258</v>
      </c>
      <c r="W57" s="26">
        <v>3362.5188541721532</v>
      </c>
      <c r="X57" s="22">
        <v>1983.5236428389999</v>
      </c>
      <c r="Y57" s="35">
        <v>2914.7333260259993</v>
      </c>
      <c r="Z57" s="5">
        <v>70.622156399999994</v>
      </c>
      <c r="AA57" s="5">
        <f t="shared" si="8"/>
        <v>3433.1410105721534</v>
      </c>
      <c r="AB57" s="5">
        <f t="shared" si="9"/>
        <v>-518.40768454615409</v>
      </c>
      <c r="AC57" s="92">
        <f t="shared" si="10"/>
        <v>-0.15100098800187597</v>
      </c>
      <c r="AD57" s="92">
        <f t="shared" si="11"/>
        <v>-1.4343351200727446E-2</v>
      </c>
    </row>
    <row r="58" spans="19:30" x14ac:dyDescent="0.25">
      <c r="S58" s="95">
        <v>2009</v>
      </c>
      <c r="T58" s="100">
        <v>3</v>
      </c>
      <c r="U58" s="100">
        <v>1</v>
      </c>
      <c r="V58" s="96">
        <v>13701.645758377284</v>
      </c>
      <c r="W58" s="96">
        <v>37011.982531796108</v>
      </c>
      <c r="X58" s="97">
        <v>5894.0044686199999</v>
      </c>
      <c r="Y58" s="97">
        <v>17764.872192600007</v>
      </c>
      <c r="Z58" s="97">
        <v>376.36710740000001</v>
      </c>
      <c r="AA58" s="97">
        <f t="shared" si="8"/>
        <v>37388.349639196109</v>
      </c>
      <c r="AB58" s="97">
        <f t="shared" si="9"/>
        <v>-19623.477446596102</v>
      </c>
      <c r="AC58" s="98">
        <f t="shared" si="10"/>
        <v>-0.52485540645591411</v>
      </c>
      <c r="AD58" s="98">
        <f t="shared" si="11"/>
        <v>-0.54294416766313014</v>
      </c>
    </row>
    <row r="59" spans="19:30" x14ac:dyDescent="0.25">
      <c r="S59" s="39">
        <v>2010</v>
      </c>
      <c r="T59" s="33">
        <v>0</v>
      </c>
      <c r="U59" s="33">
        <v>0</v>
      </c>
      <c r="V59" s="26">
        <v>0</v>
      </c>
      <c r="W59" s="26">
        <v>0</v>
      </c>
      <c r="X59" s="22">
        <v>372.81108759999995</v>
      </c>
      <c r="Y59" s="35">
        <v>372.81108760000001</v>
      </c>
      <c r="Z59" s="5">
        <v>372.81108760000001</v>
      </c>
      <c r="AA59" s="5">
        <f t="shared" si="8"/>
        <v>372.81108760000001</v>
      </c>
      <c r="AB59" s="5">
        <f t="shared" si="9"/>
        <v>0</v>
      </c>
      <c r="AC59" s="92">
        <f t="shared" si="10"/>
        <v>0</v>
      </c>
      <c r="AD59" s="92">
        <f t="shared" si="11"/>
        <v>0</v>
      </c>
    </row>
    <row r="60" spans="19:30" x14ac:dyDescent="0.25">
      <c r="S60" s="95">
        <v>2011</v>
      </c>
      <c r="T60" s="100">
        <v>9</v>
      </c>
      <c r="U60" s="100">
        <v>14</v>
      </c>
      <c r="V60" s="96">
        <v>11515.365201177821</v>
      </c>
      <c r="W60" s="96">
        <v>61624.502536965658</v>
      </c>
      <c r="X60" s="97">
        <v>20560.506810399998</v>
      </c>
      <c r="Y60" s="97">
        <v>118075.21331019999</v>
      </c>
      <c r="Z60" s="97">
        <v>629.41330000000005</v>
      </c>
      <c r="AA60" s="97">
        <f t="shared" si="8"/>
        <v>62253.915836965658</v>
      </c>
      <c r="AB60" s="97">
        <f t="shared" si="9"/>
        <v>55821.297473234335</v>
      </c>
      <c r="AC60" s="98">
        <f t="shared" si="10"/>
        <v>0.8966712651365184</v>
      </c>
      <c r="AD60" s="98">
        <f t="shared" si="11"/>
        <v>1.544468760797461</v>
      </c>
    </row>
    <row r="61" spans="19:30" x14ac:dyDescent="0.25">
      <c r="S61" s="39">
        <v>2012</v>
      </c>
      <c r="T61" s="33">
        <v>1</v>
      </c>
      <c r="U61" s="33">
        <v>1</v>
      </c>
      <c r="V61" s="26">
        <v>612.95741058213628</v>
      </c>
      <c r="W61" s="26">
        <v>1041.3747940844119</v>
      </c>
      <c r="X61" s="22">
        <v>1778.6467894899997</v>
      </c>
      <c r="Y61" s="35">
        <v>2566.0010975499999</v>
      </c>
      <c r="Z61" s="5">
        <v>899.33570559999987</v>
      </c>
      <c r="AA61" s="5">
        <f t="shared" si="8"/>
        <v>1940.7104996844118</v>
      </c>
      <c r="AB61" s="5">
        <f t="shared" si="9"/>
        <v>625.2905978655881</v>
      </c>
      <c r="AC61" s="92">
        <f t="shared" si="10"/>
        <v>0.32219674081593808</v>
      </c>
      <c r="AD61" s="92">
        <f t="shared" si="11"/>
        <v>1.7300597416010088E-2</v>
      </c>
    </row>
    <row r="62" spans="19:30" x14ac:dyDescent="0.25">
      <c r="S62" s="39">
        <v>2013</v>
      </c>
      <c r="T62" s="33">
        <v>1</v>
      </c>
      <c r="U62" s="33">
        <v>0</v>
      </c>
      <c r="V62" s="26">
        <v>467.2414540042883</v>
      </c>
      <c r="W62" s="26">
        <v>1473.6745223329892</v>
      </c>
      <c r="X62" s="22">
        <v>2217.9535349000002</v>
      </c>
      <c r="Y62" s="35">
        <v>5488.961884100001</v>
      </c>
      <c r="Z62" s="5">
        <v>919.29394939999997</v>
      </c>
      <c r="AA62" s="5">
        <f t="shared" si="8"/>
        <v>2392.9684717329892</v>
      </c>
      <c r="AB62" s="5">
        <f t="shared" si="9"/>
        <v>3095.9934123670118</v>
      </c>
      <c r="AC62" s="92">
        <f t="shared" si="10"/>
        <v>1.2937877991033002</v>
      </c>
      <c r="AD62" s="92">
        <f t="shared" si="11"/>
        <v>8.5660228720558396E-2</v>
      </c>
    </row>
    <row r="63" spans="19:30" x14ac:dyDescent="0.25">
      <c r="S63" s="39">
        <v>2014</v>
      </c>
      <c r="T63" s="33">
        <v>3</v>
      </c>
      <c r="U63" s="33">
        <v>0</v>
      </c>
      <c r="V63" s="26">
        <v>939.49032231863316</v>
      </c>
      <c r="W63" s="26">
        <v>1184.1616876935027</v>
      </c>
      <c r="X63" s="22">
        <v>1980.9243890600001</v>
      </c>
      <c r="Y63" s="35">
        <v>3132.8632690299974</v>
      </c>
      <c r="Z63" s="5">
        <v>1030.7100242000001</v>
      </c>
      <c r="AA63" s="5">
        <f t="shared" si="8"/>
        <v>2214.8717118935028</v>
      </c>
      <c r="AB63" s="5">
        <f t="shared" si="9"/>
        <v>917.99155713649452</v>
      </c>
      <c r="AC63" s="92">
        <f t="shared" si="10"/>
        <v>0.41446714597826517</v>
      </c>
      <c r="AD63" s="92">
        <f t="shared" si="11"/>
        <v>2.5399074311251119E-2</v>
      </c>
    </row>
    <row r="64" spans="19:30" x14ac:dyDescent="0.25">
      <c r="S64" s="39">
        <v>2015</v>
      </c>
      <c r="T64" s="33">
        <v>3</v>
      </c>
      <c r="U64" s="33">
        <v>1</v>
      </c>
      <c r="V64" s="26">
        <v>8160.8046546464175</v>
      </c>
      <c r="W64" s="26">
        <v>20278.197398821056</v>
      </c>
      <c r="X64" s="22">
        <v>4605.5472493200004</v>
      </c>
      <c r="Y64" s="35">
        <v>17956.817648099997</v>
      </c>
      <c r="Z64" s="5">
        <v>534.25394559999995</v>
      </c>
      <c r="AA64" s="5">
        <f t="shared" si="8"/>
        <v>20812.451344421057</v>
      </c>
      <c r="AB64" s="5">
        <f t="shared" si="9"/>
        <v>-2855.6336963210597</v>
      </c>
      <c r="AC64" s="92">
        <f t="shared" si="10"/>
        <v>-0.1372079458139627</v>
      </c>
      <c r="AD64" s="92">
        <f t="shared" si="11"/>
        <v>-7.9009934127081391E-2</v>
      </c>
    </row>
    <row r="65" spans="19:30" x14ac:dyDescent="0.25">
      <c r="S65" s="39">
        <v>2016</v>
      </c>
      <c r="T65" s="33">
        <v>3</v>
      </c>
      <c r="U65" s="33">
        <v>0</v>
      </c>
      <c r="V65" s="26">
        <v>2519.213513863901</v>
      </c>
      <c r="W65" s="26">
        <v>6028.6107084300111</v>
      </c>
      <c r="X65" s="22">
        <v>2006.3820241200001</v>
      </c>
      <c r="Y65" s="35">
        <v>5521.7318729299986</v>
      </c>
      <c r="Z65" s="5">
        <v>156.24882040000003</v>
      </c>
      <c r="AA65" s="5">
        <f t="shared" si="8"/>
        <v>6184.8595288300112</v>
      </c>
      <c r="AB65" s="5">
        <f t="shared" si="9"/>
        <v>-663.12765590001254</v>
      </c>
      <c r="AC65" s="92">
        <f t="shared" si="10"/>
        <v>-0.10721790087695918</v>
      </c>
      <c r="AD65" s="92">
        <f t="shared" si="11"/>
        <v>-1.834747659617729E-2</v>
      </c>
    </row>
    <row r="66" spans="19:30" x14ac:dyDescent="0.25">
      <c r="S66" s="95">
        <v>2017</v>
      </c>
      <c r="T66" s="100">
        <v>2</v>
      </c>
      <c r="U66" s="100">
        <v>0</v>
      </c>
      <c r="V66" s="96">
        <v>13864.151386478114</v>
      </c>
      <c r="W66" s="96">
        <v>92840.341419686374</v>
      </c>
      <c r="X66" s="97">
        <v>8780.5692289700019</v>
      </c>
      <c r="Y66" s="97">
        <v>61001.747967199975</v>
      </c>
      <c r="Z66" s="97">
        <v>347.91233519999997</v>
      </c>
      <c r="AA66" s="97">
        <f t="shared" si="8"/>
        <v>93188.253754886377</v>
      </c>
      <c r="AB66" s="97">
        <f t="shared" si="9"/>
        <v>-32186.505787686401</v>
      </c>
      <c r="AC66" s="98">
        <f t="shared" si="10"/>
        <v>-0.34539230526142017</v>
      </c>
      <c r="AD66" s="98">
        <f t="shared" si="11"/>
        <v>-0.89053918411954136</v>
      </c>
    </row>
    <row r="67" spans="19:30" x14ac:dyDescent="0.25">
      <c r="AA67" s="5">
        <f>AVERAGE(AA35:AA66)</f>
        <v>36142.717088309335</v>
      </c>
    </row>
  </sheetData>
  <mergeCells count="7">
    <mergeCell ref="C38:C39"/>
    <mergeCell ref="D38:D39"/>
    <mergeCell ref="G38:G39"/>
    <mergeCell ref="M33:O33"/>
    <mergeCell ref="C43:C44"/>
    <mergeCell ref="D43:D44"/>
    <mergeCell ref="G43:G4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E399-18B0-4789-99A4-38A93C3F5FDD}">
  <dimension ref="A1:AM72"/>
  <sheetViews>
    <sheetView topLeftCell="I1" workbookViewId="0">
      <selection activeCell="A38" sqref="A38:J38"/>
    </sheetView>
  </sheetViews>
  <sheetFormatPr defaultColWidth="8.85546875" defaultRowHeight="15" x14ac:dyDescent="0.25"/>
  <cols>
    <col min="1" max="2" width="8.85546875" style="17"/>
    <col min="3" max="3" width="12.42578125" style="17" customWidth="1"/>
    <col min="4" max="4" width="12.28515625" style="17" bestFit="1" customWidth="1"/>
    <col min="5" max="5" width="11.5703125" style="17" bestFit="1" customWidth="1"/>
    <col min="6" max="6" width="13.140625" style="17" customWidth="1"/>
    <col min="7" max="7" width="12.28515625" style="17" bestFit="1" customWidth="1"/>
    <col min="8" max="8" width="11.42578125" style="17" bestFit="1" customWidth="1"/>
    <col min="9" max="10" width="17.42578125" style="17" bestFit="1" customWidth="1"/>
    <col min="11" max="11" width="17.85546875" style="17" bestFit="1" customWidth="1"/>
    <col min="12" max="16384" width="8.85546875" style="17"/>
  </cols>
  <sheetData>
    <row r="1" spans="1:10" x14ac:dyDescent="0.25">
      <c r="A1" s="17" t="s">
        <v>114</v>
      </c>
    </row>
    <row r="2" spans="1:10" x14ac:dyDescent="0.25">
      <c r="A2" s="133" t="s">
        <v>66</v>
      </c>
      <c r="B2" s="135" t="s">
        <v>311</v>
      </c>
      <c r="C2" s="18" t="s">
        <v>20</v>
      </c>
      <c r="D2" s="47" t="s">
        <v>307</v>
      </c>
      <c r="E2" s="10" t="s">
        <v>308</v>
      </c>
      <c r="F2" s="9" t="s">
        <v>1</v>
      </c>
      <c r="G2" s="8" t="s">
        <v>305</v>
      </c>
      <c r="H2" s="34" t="s">
        <v>306</v>
      </c>
      <c r="I2" s="136" t="s">
        <v>313</v>
      </c>
      <c r="J2" s="140" t="s">
        <v>312</v>
      </c>
    </row>
    <row r="3" spans="1:10" x14ac:dyDescent="0.25">
      <c r="C3" s="18">
        <v>1986</v>
      </c>
      <c r="D3" s="41">
        <f t="shared" ref="D3:D34" si="0">E3+F3</f>
        <v>1922751.8870809998</v>
      </c>
      <c r="E3" s="22">
        <v>1482853.8870809998</v>
      </c>
      <c r="F3" s="21">
        <v>439898</v>
      </c>
      <c r="G3" s="20">
        <f t="shared" ref="G3:G34" si="1">F3+H3</f>
        <v>1955140.1510045999</v>
      </c>
      <c r="H3" s="35">
        <v>1515242.1510045999</v>
      </c>
      <c r="I3" s="136"/>
      <c r="J3" s="138"/>
    </row>
    <row r="4" spans="1:10" x14ac:dyDescent="0.25">
      <c r="C4" s="18">
        <v>1987</v>
      </c>
      <c r="D4" s="41">
        <f t="shared" si="0"/>
        <v>1637312.4008839997</v>
      </c>
      <c r="E4" s="22">
        <v>1126650.4008839997</v>
      </c>
      <c r="F4" s="21">
        <v>510662</v>
      </c>
      <c r="G4" s="20">
        <f t="shared" si="1"/>
        <v>1755318.1381289994</v>
      </c>
      <c r="H4" s="35">
        <v>1244656.1381289994</v>
      </c>
      <c r="I4" s="136"/>
      <c r="J4" s="138"/>
    </row>
    <row r="5" spans="1:10" x14ac:dyDescent="0.25">
      <c r="C5" s="18">
        <v>1988</v>
      </c>
      <c r="D5" s="41">
        <f t="shared" si="0"/>
        <v>2702766.6130821994</v>
      </c>
      <c r="E5" s="22">
        <v>2358406.6130821994</v>
      </c>
      <c r="F5" s="21">
        <v>344360</v>
      </c>
      <c r="G5" s="20">
        <f t="shared" si="1"/>
        <v>2633505.9757021996</v>
      </c>
      <c r="H5" s="35">
        <v>2289145.9757021996</v>
      </c>
      <c r="I5" s="136"/>
      <c r="J5" s="138"/>
    </row>
    <row r="6" spans="1:10" x14ac:dyDescent="0.25">
      <c r="C6" s="18">
        <v>1989</v>
      </c>
      <c r="D6" s="41">
        <f t="shared" si="0"/>
        <v>953054.87236299959</v>
      </c>
      <c r="E6" s="22">
        <v>606659.87236299959</v>
      </c>
      <c r="F6" s="21">
        <v>346395</v>
      </c>
      <c r="G6" s="20">
        <f t="shared" si="1"/>
        <v>799662.58492000028</v>
      </c>
      <c r="H6" s="35">
        <v>453267.58492000023</v>
      </c>
      <c r="I6" s="136"/>
      <c r="J6" s="138"/>
    </row>
    <row r="7" spans="1:10" x14ac:dyDescent="0.25">
      <c r="C7" s="18">
        <v>1990</v>
      </c>
      <c r="D7" s="41">
        <f t="shared" si="0"/>
        <v>1692596.196454</v>
      </c>
      <c r="E7" s="22">
        <v>1491752.196454</v>
      </c>
      <c r="F7" s="21">
        <v>200844</v>
      </c>
      <c r="G7" s="20">
        <f t="shared" si="1"/>
        <v>1815371.7775619999</v>
      </c>
      <c r="H7" s="35">
        <v>1614527.7775619999</v>
      </c>
      <c r="I7" s="136"/>
      <c r="J7" s="138"/>
    </row>
    <row r="8" spans="1:10" x14ac:dyDescent="0.25">
      <c r="C8" s="18">
        <v>1991</v>
      </c>
      <c r="D8" s="41">
        <f t="shared" si="0"/>
        <v>1149278.6110963002</v>
      </c>
      <c r="E8" s="22">
        <v>1029048.6110963001</v>
      </c>
      <c r="F8" s="21">
        <v>120230</v>
      </c>
      <c r="G8" s="20">
        <f t="shared" si="1"/>
        <v>1056123.9100874001</v>
      </c>
      <c r="H8" s="35">
        <v>935893.91008740012</v>
      </c>
      <c r="I8" s="136"/>
      <c r="J8" s="138"/>
    </row>
    <row r="9" spans="1:10" x14ac:dyDescent="0.25">
      <c r="C9" s="18">
        <v>1992</v>
      </c>
      <c r="D9" s="41">
        <f t="shared" si="0"/>
        <v>579801.81203922001</v>
      </c>
      <c r="E9" s="22">
        <v>448013.81203922001</v>
      </c>
      <c r="F9" s="21">
        <v>131788</v>
      </c>
      <c r="G9" s="20">
        <f t="shared" si="1"/>
        <v>677091.84572332015</v>
      </c>
      <c r="H9" s="35">
        <v>545303.84572332015</v>
      </c>
      <c r="I9" s="136"/>
      <c r="J9" s="138"/>
    </row>
    <row r="10" spans="1:10" x14ac:dyDescent="0.25">
      <c r="C10" s="18">
        <v>1993</v>
      </c>
      <c r="D10" s="41">
        <f t="shared" si="0"/>
        <v>518267.91147099022</v>
      </c>
      <c r="E10" s="22">
        <v>372053.91147099022</v>
      </c>
      <c r="F10" s="21">
        <v>146214</v>
      </c>
      <c r="G10" s="20">
        <f t="shared" si="1"/>
        <v>540799.18411379016</v>
      </c>
      <c r="H10" s="35">
        <v>394585.18411379016</v>
      </c>
      <c r="I10" s="136"/>
      <c r="J10" s="138"/>
    </row>
    <row r="11" spans="1:10" x14ac:dyDescent="0.25">
      <c r="C11" s="18">
        <v>1994</v>
      </c>
      <c r="D11" s="41">
        <f t="shared" si="0"/>
        <v>523821.30471569998</v>
      </c>
      <c r="E11" s="22">
        <v>392657.30471569998</v>
      </c>
      <c r="F11" s="21">
        <v>131164</v>
      </c>
      <c r="G11" s="20">
        <f t="shared" si="1"/>
        <v>506405.05486079998</v>
      </c>
      <c r="H11" s="35">
        <v>375241.05486079998</v>
      </c>
      <c r="I11" s="136"/>
      <c r="J11" s="138"/>
    </row>
    <row r="12" spans="1:10" x14ac:dyDescent="0.25">
      <c r="C12" s="18">
        <v>1995</v>
      </c>
      <c r="D12" s="41">
        <f t="shared" si="0"/>
        <v>741594.49310019996</v>
      </c>
      <c r="E12" s="22">
        <v>539857.49310019996</v>
      </c>
      <c r="F12" s="21">
        <v>201737</v>
      </c>
      <c r="G12" s="20">
        <f t="shared" si="1"/>
        <v>678360.36355940008</v>
      </c>
      <c r="H12" s="35">
        <v>476623.36355940008</v>
      </c>
      <c r="I12" s="136"/>
      <c r="J12" s="138"/>
    </row>
    <row r="13" spans="1:10" x14ac:dyDescent="0.25">
      <c r="C13" s="18">
        <v>1996</v>
      </c>
      <c r="D13" s="41">
        <f t="shared" si="0"/>
        <v>1482664.9054413498</v>
      </c>
      <c r="E13" s="22">
        <v>1292170.9054413498</v>
      </c>
      <c r="F13" s="21">
        <v>190494</v>
      </c>
      <c r="G13" s="20">
        <f t="shared" si="1"/>
        <v>1525200.1043777498</v>
      </c>
      <c r="H13" s="35">
        <v>1334706.1043777498</v>
      </c>
      <c r="I13" s="136"/>
      <c r="J13" s="138"/>
    </row>
    <row r="14" spans="1:10" x14ac:dyDescent="0.25">
      <c r="C14" s="18">
        <v>1997</v>
      </c>
      <c r="D14" s="41">
        <f t="shared" si="0"/>
        <v>2133400.1157414974</v>
      </c>
      <c r="E14" s="22">
        <v>1963870.1157414974</v>
      </c>
      <c r="F14" s="21">
        <v>169530</v>
      </c>
      <c r="G14" s="20">
        <f t="shared" si="1"/>
        <v>2142623.9377692975</v>
      </c>
      <c r="H14" s="35">
        <v>1973093.9377692977</v>
      </c>
      <c r="I14" s="136"/>
      <c r="J14" s="138"/>
    </row>
    <row r="15" spans="1:10" x14ac:dyDescent="0.25">
      <c r="A15" s="133"/>
      <c r="B15" s="135"/>
      <c r="C15" s="18">
        <v>1998</v>
      </c>
      <c r="D15" s="41">
        <f t="shared" si="0"/>
        <v>773210.54508496972</v>
      </c>
      <c r="E15" s="22">
        <v>598471.54508496972</v>
      </c>
      <c r="F15" s="21">
        <v>174739</v>
      </c>
      <c r="G15" s="20">
        <f t="shared" si="1"/>
        <v>789202.9302831497</v>
      </c>
      <c r="H15" s="35">
        <v>614463.9302831497</v>
      </c>
      <c r="I15" s="136"/>
      <c r="J15" s="138"/>
    </row>
    <row r="16" spans="1:10" x14ac:dyDescent="0.25">
      <c r="A16" s="133">
        <f>_xlfn.RANK.AVG(D16,$D$16:$D$24)</f>
        <v>8</v>
      </c>
      <c r="B16" s="135">
        <f>_xlfn.RANK.AVG(G16,$G$16:$G$24)</f>
        <v>8</v>
      </c>
      <c r="C16" s="18">
        <v>1999</v>
      </c>
      <c r="D16" s="41">
        <f t="shared" si="0"/>
        <v>376118.9730713123</v>
      </c>
      <c r="E16" s="22">
        <v>247150.97307131227</v>
      </c>
      <c r="F16" s="21">
        <v>128968</v>
      </c>
      <c r="G16" s="20">
        <f t="shared" si="1"/>
        <v>368378.56690403138</v>
      </c>
      <c r="H16" s="35">
        <v>239410.56690403138</v>
      </c>
      <c r="I16" s="136"/>
      <c r="J16" s="138"/>
    </row>
    <row r="17" spans="1:38" x14ac:dyDescent="0.25">
      <c r="A17" s="141">
        <f t="shared" ref="A17:A24" si="2">_xlfn.RANK.AVG(D17,$D$16:$D$24)</f>
        <v>6</v>
      </c>
      <c r="B17" s="141">
        <f t="shared" ref="B17:B24" si="3">_xlfn.RANK.AVG(G17,$G$16:$G$24)</f>
        <v>6</v>
      </c>
      <c r="C17" s="18">
        <v>2000</v>
      </c>
      <c r="D17" s="41">
        <f t="shared" si="0"/>
        <v>544605.27665212005</v>
      </c>
      <c r="E17" s="22">
        <v>421955.27665212005</v>
      </c>
      <c r="F17" s="21">
        <v>122650</v>
      </c>
      <c r="G17" s="20">
        <f t="shared" si="1"/>
        <v>498231.85797934199</v>
      </c>
      <c r="H17" s="35">
        <v>375581.85797934199</v>
      </c>
      <c r="I17" s="136"/>
      <c r="J17" s="138"/>
    </row>
    <row r="18" spans="1:38" x14ac:dyDescent="0.25">
      <c r="A18" s="141">
        <f t="shared" si="2"/>
        <v>7</v>
      </c>
      <c r="B18" s="141">
        <f t="shared" si="3"/>
        <v>7</v>
      </c>
      <c r="C18" s="18">
        <v>2001</v>
      </c>
      <c r="D18" s="41">
        <f t="shared" si="0"/>
        <v>445699.83576547977</v>
      </c>
      <c r="E18" s="22">
        <v>309617.83576547977</v>
      </c>
      <c r="F18" s="21">
        <v>136082</v>
      </c>
      <c r="G18" s="20">
        <f t="shared" si="1"/>
        <v>383887.64651182992</v>
      </c>
      <c r="H18" s="35">
        <v>247805.64651182995</v>
      </c>
      <c r="I18" s="136"/>
      <c r="J18" s="138"/>
    </row>
    <row r="19" spans="1:38" x14ac:dyDescent="0.25">
      <c r="A19" s="141">
        <f t="shared" si="2"/>
        <v>2</v>
      </c>
      <c r="B19" s="141">
        <f t="shared" si="3"/>
        <v>2</v>
      </c>
      <c r="C19" s="18">
        <v>2002</v>
      </c>
      <c r="D19" s="41">
        <f t="shared" si="0"/>
        <v>845379.89065544982</v>
      </c>
      <c r="E19" s="22">
        <v>695698.89065544982</v>
      </c>
      <c r="F19" s="21">
        <v>149681</v>
      </c>
      <c r="G19" s="20">
        <f t="shared" si="1"/>
        <v>848692.28417719982</v>
      </c>
      <c r="H19" s="35">
        <v>699011.28417719982</v>
      </c>
      <c r="I19" s="136"/>
      <c r="J19" s="138"/>
    </row>
    <row r="20" spans="1:38" x14ac:dyDescent="0.25">
      <c r="A20" s="141">
        <f t="shared" si="2"/>
        <v>3</v>
      </c>
      <c r="B20" s="141">
        <f t="shared" si="3"/>
        <v>3</v>
      </c>
      <c r="C20" s="18">
        <v>2003</v>
      </c>
      <c r="D20" s="41">
        <f t="shared" si="0"/>
        <v>784365.70092002989</v>
      </c>
      <c r="E20" s="22">
        <v>632983.70092002989</v>
      </c>
      <c r="F20" s="21">
        <v>151382</v>
      </c>
      <c r="G20" s="20">
        <f t="shared" si="1"/>
        <v>774320.51988355001</v>
      </c>
      <c r="H20" s="35">
        <v>622938.51988355001</v>
      </c>
      <c r="I20" s="136"/>
      <c r="J20" s="138"/>
    </row>
    <row r="21" spans="1:38" x14ac:dyDescent="0.25">
      <c r="A21" s="141">
        <f t="shared" si="2"/>
        <v>1</v>
      </c>
      <c r="B21" s="141">
        <f t="shared" si="3"/>
        <v>1</v>
      </c>
      <c r="C21" s="18">
        <v>2004</v>
      </c>
      <c r="D21" s="41">
        <f t="shared" si="0"/>
        <v>1168431.1736695999</v>
      </c>
      <c r="E21" s="22">
        <v>1021264.1736695999</v>
      </c>
      <c r="F21" s="21">
        <v>147167</v>
      </c>
      <c r="G21" s="20">
        <f t="shared" si="1"/>
        <v>1167533.5873702201</v>
      </c>
      <c r="H21" s="35">
        <v>1020366.5873702202</v>
      </c>
      <c r="I21" s="136"/>
      <c r="J21" s="138"/>
    </row>
    <row r="22" spans="1:38" x14ac:dyDescent="0.25">
      <c r="A22" s="141">
        <f t="shared" si="2"/>
        <v>9</v>
      </c>
      <c r="B22" s="141">
        <f t="shared" si="3"/>
        <v>9</v>
      </c>
      <c r="C22" s="18">
        <v>2005</v>
      </c>
      <c r="D22" s="41">
        <f t="shared" si="0"/>
        <v>348505.57375575986</v>
      </c>
      <c r="E22" s="22">
        <v>233160.57375575989</v>
      </c>
      <c r="F22" s="21">
        <v>115345</v>
      </c>
      <c r="G22" s="20">
        <f t="shared" si="1"/>
        <v>348598.16647894995</v>
      </c>
      <c r="H22" s="35">
        <v>233253.16647894992</v>
      </c>
      <c r="I22" s="136"/>
      <c r="J22" s="138"/>
    </row>
    <row r="23" spans="1:38" x14ac:dyDescent="0.25">
      <c r="A23" s="141">
        <f t="shared" si="2"/>
        <v>4</v>
      </c>
      <c r="B23" s="141">
        <f t="shared" si="3"/>
        <v>4</v>
      </c>
      <c r="C23" s="18">
        <v>2006</v>
      </c>
      <c r="D23" s="41">
        <f t="shared" si="0"/>
        <v>696765.64505541022</v>
      </c>
      <c r="E23" s="22">
        <v>615012.64505541022</v>
      </c>
      <c r="F23" s="21">
        <v>81753</v>
      </c>
      <c r="G23" s="20">
        <f t="shared" si="1"/>
        <v>695324.48183806019</v>
      </c>
      <c r="H23" s="35">
        <v>613571.48183806019</v>
      </c>
      <c r="I23" s="136"/>
      <c r="J23" s="138"/>
    </row>
    <row r="24" spans="1:38" x14ac:dyDescent="0.25">
      <c r="A24" s="141">
        <f t="shared" si="2"/>
        <v>5</v>
      </c>
      <c r="B24" s="141">
        <f t="shared" si="3"/>
        <v>5</v>
      </c>
      <c r="C24" s="18">
        <v>2007</v>
      </c>
      <c r="D24" s="41">
        <f t="shared" si="0"/>
        <v>641642.25013318018</v>
      </c>
      <c r="E24" s="22">
        <v>546141.25013318018</v>
      </c>
      <c r="F24" s="21">
        <v>95501</v>
      </c>
      <c r="G24" s="20">
        <f t="shared" si="1"/>
        <v>644036.86277487001</v>
      </c>
      <c r="H24" s="35">
        <v>548535.86277487001</v>
      </c>
      <c r="I24" s="136"/>
      <c r="J24" s="138"/>
    </row>
    <row r="25" spans="1:38" x14ac:dyDescent="0.25">
      <c r="A25" s="133"/>
      <c r="B25" s="135"/>
      <c r="C25" s="18">
        <v>2008</v>
      </c>
      <c r="D25" s="41">
        <f t="shared" si="0"/>
        <v>608111.89985535014</v>
      </c>
      <c r="E25" s="22">
        <v>555389.89985535014</v>
      </c>
      <c r="F25" s="21">
        <v>52722</v>
      </c>
      <c r="G25" s="20">
        <f t="shared" si="1"/>
        <v>608057.33531571017</v>
      </c>
      <c r="H25" s="35">
        <v>555335.33531571017</v>
      </c>
      <c r="I25" s="136"/>
      <c r="J25" s="138"/>
    </row>
    <row r="26" spans="1:38" x14ac:dyDescent="0.25">
      <c r="A26" s="133"/>
      <c r="B26" s="135"/>
      <c r="C26" s="18">
        <v>2009</v>
      </c>
      <c r="D26" s="41">
        <f t="shared" si="0"/>
        <v>718638.97764779977</v>
      </c>
      <c r="E26" s="22">
        <v>671912.97764779977</v>
      </c>
      <c r="F26" s="21">
        <v>46726</v>
      </c>
      <c r="G26" s="20">
        <f t="shared" si="1"/>
        <v>597079.47989139974</v>
      </c>
      <c r="H26" s="35">
        <v>550353.47989139974</v>
      </c>
      <c r="I26" s="137"/>
      <c r="J26" s="138"/>
    </row>
    <row r="27" spans="1:38" x14ac:dyDescent="0.25">
      <c r="C27" s="18">
        <v>2010</v>
      </c>
      <c r="D27" s="41">
        <f t="shared" si="0"/>
        <v>83380.907770539983</v>
      </c>
      <c r="E27" s="22">
        <v>39323.907770539983</v>
      </c>
      <c r="F27" s="21">
        <v>44057</v>
      </c>
      <c r="G27" s="20">
        <f t="shared" si="1"/>
        <v>83243.538492239983</v>
      </c>
      <c r="H27" s="35">
        <v>39186.53849223999</v>
      </c>
      <c r="I27" s="137"/>
      <c r="J27" s="138"/>
    </row>
    <row r="28" spans="1:38" x14ac:dyDescent="0.25">
      <c r="C28" s="18">
        <v>2011</v>
      </c>
      <c r="D28" s="41">
        <f t="shared" si="0"/>
        <v>157295.98607425002</v>
      </c>
      <c r="E28" s="22">
        <v>94888.986074250002</v>
      </c>
      <c r="F28" s="21">
        <v>62407</v>
      </c>
      <c r="G28" s="20">
        <f t="shared" si="1"/>
        <v>156991.60731878999</v>
      </c>
      <c r="H28" s="35">
        <v>94584.607318790004</v>
      </c>
      <c r="I28" s="137">
        <f>VLOOKUP(VLOOKUP(3,$A$16:$D$24,3,FALSE),$C$16:$D$24,2,FALSE)</f>
        <v>784365.70092002989</v>
      </c>
      <c r="J28" s="139">
        <f>VLOOKUP(VLOOKUP(3,$B$16:$C$24,2,FALSE),$C$16:$G$24,5,FALSE)</f>
        <v>774320.51988355001</v>
      </c>
    </row>
    <row r="29" spans="1:38" x14ac:dyDescent="0.25">
      <c r="C29" s="18">
        <v>2012</v>
      </c>
      <c r="D29" s="41">
        <f t="shared" si="0"/>
        <v>283988.56858855998</v>
      </c>
      <c r="E29" s="22">
        <v>233175.56858856001</v>
      </c>
      <c r="F29" s="21">
        <v>50813</v>
      </c>
      <c r="G29" s="20">
        <f t="shared" si="1"/>
        <v>279313.92009800003</v>
      </c>
      <c r="H29" s="35">
        <v>228500.92009800003</v>
      </c>
      <c r="I29" s="137">
        <f t="shared" ref="I29:I34" si="4">VLOOKUP(VLOOKUP(3,$A$16:$D$24,3,FALSE),$C$16:$D$24,2,FALSE)</f>
        <v>784365.70092002989</v>
      </c>
      <c r="J29" s="139">
        <f t="shared" ref="J29:J34" si="5">VLOOKUP(VLOOKUP(3,$B$16:$C$24,2,FALSE),$C$16:$G$24,5,FALSE)</f>
        <v>774320.51988355001</v>
      </c>
    </row>
    <row r="30" spans="1:38" ht="15.75" x14ac:dyDescent="0.25">
      <c r="C30" s="18">
        <v>2013</v>
      </c>
      <c r="D30" s="41">
        <f t="shared" si="0"/>
        <v>325660.51294442994</v>
      </c>
      <c r="E30" s="22">
        <v>265084.51294442994</v>
      </c>
      <c r="F30" s="21">
        <v>60576</v>
      </c>
      <c r="G30" s="20">
        <f t="shared" si="1"/>
        <v>324813.19880130998</v>
      </c>
      <c r="H30" s="35">
        <v>264237.19880130998</v>
      </c>
      <c r="I30" s="137">
        <f t="shared" si="4"/>
        <v>784365.70092002989</v>
      </c>
      <c r="J30" s="139">
        <f t="shared" si="5"/>
        <v>774320.51988355001</v>
      </c>
      <c r="AE30" s="331"/>
      <c r="AF30" s="331"/>
      <c r="AG30" s="331"/>
      <c r="AH30" s="331"/>
      <c r="AI30" s="326" t="s">
        <v>290</v>
      </c>
      <c r="AJ30" s="331"/>
      <c r="AK30" s="331"/>
      <c r="AL30" s="331"/>
    </row>
    <row r="31" spans="1:38" ht="15.75" x14ac:dyDescent="0.25">
      <c r="C31" s="18">
        <v>2014</v>
      </c>
      <c r="D31" s="41">
        <f t="shared" si="0"/>
        <v>265441.91880704998</v>
      </c>
      <c r="E31" s="22">
        <v>173403.91880704998</v>
      </c>
      <c r="F31" s="21">
        <v>92038</v>
      </c>
      <c r="G31" s="20">
        <f t="shared" si="1"/>
        <v>278578.47428477998</v>
      </c>
      <c r="H31" s="35">
        <v>186540.47428478001</v>
      </c>
      <c r="I31" s="137">
        <f t="shared" si="4"/>
        <v>784365.70092002989</v>
      </c>
      <c r="J31" s="139">
        <f t="shared" si="5"/>
        <v>774320.51988355001</v>
      </c>
      <c r="AE31" s="331"/>
      <c r="AF31" s="331"/>
      <c r="AG31" s="331"/>
      <c r="AH31" s="331"/>
      <c r="AI31" s="326" t="s">
        <v>291</v>
      </c>
      <c r="AJ31" s="331"/>
      <c r="AK31" s="331"/>
      <c r="AL31" s="331"/>
    </row>
    <row r="32" spans="1:38" ht="15.75" x14ac:dyDescent="0.25">
      <c r="C32" s="18">
        <v>2015</v>
      </c>
      <c r="D32" s="41">
        <f t="shared" si="0"/>
        <v>416275.0749395499</v>
      </c>
      <c r="E32" s="22">
        <v>327318.0749395499</v>
      </c>
      <c r="F32" s="21">
        <v>88957</v>
      </c>
      <c r="G32" s="20">
        <f t="shared" si="1"/>
        <v>400202.55010198994</v>
      </c>
      <c r="H32" s="35">
        <v>311245.55010198994</v>
      </c>
      <c r="I32" s="137">
        <f t="shared" si="4"/>
        <v>784365.70092002989</v>
      </c>
      <c r="J32" s="139">
        <f t="shared" si="5"/>
        <v>774320.51988355001</v>
      </c>
      <c r="AE32" s="331"/>
      <c r="AF32" s="331"/>
      <c r="AG32" s="331"/>
      <c r="AH32" s="331"/>
      <c r="AI32" s="326" t="s">
        <v>292</v>
      </c>
      <c r="AJ32" s="326"/>
      <c r="AK32" s="327"/>
      <c r="AL32" s="326" t="s">
        <v>293</v>
      </c>
    </row>
    <row r="33" spans="1:39" ht="15.75" x14ac:dyDescent="0.25">
      <c r="C33" s="18">
        <v>2016</v>
      </c>
      <c r="D33" s="41">
        <f t="shared" si="0"/>
        <v>578125.42846867978</v>
      </c>
      <c r="E33" s="22">
        <v>506959.42846867983</v>
      </c>
      <c r="F33" s="21">
        <v>71166</v>
      </c>
      <c r="G33" s="20">
        <f t="shared" si="1"/>
        <v>584854.92761661985</v>
      </c>
      <c r="H33" s="35">
        <v>513688.92761661985</v>
      </c>
      <c r="I33" s="137">
        <f t="shared" si="4"/>
        <v>784365.70092002989</v>
      </c>
      <c r="J33" s="139">
        <f t="shared" si="5"/>
        <v>774320.51988355001</v>
      </c>
      <c r="AE33" s="327"/>
      <c r="AF33" s="328" t="s">
        <v>290</v>
      </c>
      <c r="AG33" s="326" t="s">
        <v>294</v>
      </c>
      <c r="AH33" s="326" t="s">
        <v>290</v>
      </c>
      <c r="AI33" s="326" t="s">
        <v>295</v>
      </c>
      <c r="AJ33" s="326"/>
      <c r="AK33" s="327"/>
      <c r="AL33" s="326" t="s">
        <v>297</v>
      </c>
    </row>
    <row r="34" spans="1:39" ht="15.75" x14ac:dyDescent="0.25">
      <c r="C34" s="18">
        <v>2017</v>
      </c>
      <c r="D34" s="41">
        <f t="shared" si="0"/>
        <v>306472.00073880004</v>
      </c>
      <c r="E34" s="22">
        <v>222475.00073880004</v>
      </c>
      <c r="F34" s="21">
        <v>83997</v>
      </c>
      <c r="G34" s="20">
        <f t="shared" si="1"/>
        <v>305557.68245740002</v>
      </c>
      <c r="H34" s="35">
        <v>221560.68245740005</v>
      </c>
      <c r="I34" s="137">
        <f t="shared" si="4"/>
        <v>784365.70092002989</v>
      </c>
      <c r="J34" s="139">
        <f t="shared" si="5"/>
        <v>774320.51988355001</v>
      </c>
      <c r="AE34" s="327"/>
      <c r="AF34" s="328" t="s">
        <v>298</v>
      </c>
      <c r="AG34" s="326" t="s">
        <v>291</v>
      </c>
      <c r="AH34" s="326" t="s">
        <v>291</v>
      </c>
      <c r="AI34" s="326" t="s">
        <v>299</v>
      </c>
      <c r="AJ34" s="326"/>
      <c r="AK34" s="328" t="s">
        <v>293</v>
      </c>
      <c r="AL34" s="326" t="s">
        <v>296</v>
      </c>
    </row>
    <row r="35" spans="1:39" ht="15.75" x14ac:dyDescent="0.25">
      <c r="C35" s="133" t="s">
        <v>71</v>
      </c>
      <c r="D35" s="5">
        <f>AVERAGE(D16:D24)</f>
        <v>650168.25774203811</v>
      </c>
      <c r="E35" s="19"/>
      <c r="F35" s="5"/>
      <c r="G35" s="5">
        <f>AVERAGE(G16:G24)</f>
        <v>636555.99710200599</v>
      </c>
      <c r="H35" s="5"/>
      <c r="AE35" s="329" t="s">
        <v>20</v>
      </c>
      <c r="AF35" s="330" t="s">
        <v>300</v>
      </c>
      <c r="AG35" s="329" t="s">
        <v>301</v>
      </c>
      <c r="AH35" s="329" t="s">
        <v>292</v>
      </c>
      <c r="AI35" s="329" t="s">
        <v>302</v>
      </c>
      <c r="AJ35" s="329" t="s">
        <v>304</v>
      </c>
      <c r="AK35" s="330" t="s">
        <v>297</v>
      </c>
      <c r="AL35" s="329" t="s">
        <v>303</v>
      </c>
    </row>
    <row r="36" spans="1:39" x14ac:dyDescent="0.25">
      <c r="B36" s="61"/>
      <c r="C36" s="5" t="s">
        <v>68</v>
      </c>
      <c r="D36" s="5">
        <f>AVERAGE(D32:D34)</f>
        <v>433624.16804900992</v>
      </c>
      <c r="E36" s="5"/>
      <c r="F36" s="5"/>
      <c r="G36" s="5">
        <f>AVERAGE(G32:G34)</f>
        <v>430205.05339200329</v>
      </c>
      <c r="AF36" s="317">
        <v>1997</v>
      </c>
      <c r="AG36" s="318">
        <v>7.3999999999999996E-2</v>
      </c>
      <c r="AH36" s="319">
        <v>0.17699999999999999</v>
      </c>
      <c r="AI36" s="317">
        <v>408</v>
      </c>
      <c r="AJ36" s="317">
        <v>43</v>
      </c>
      <c r="AK36" s="319">
        <v>0.32800000000000001</v>
      </c>
      <c r="AL36" s="318">
        <v>6.7000000000000004E-2</v>
      </c>
      <c r="AM36" s="319">
        <v>0.41199999999999998</v>
      </c>
    </row>
    <row r="37" spans="1:39" ht="14.45" customHeight="1" x14ac:dyDescent="0.25">
      <c r="C37" s="27" t="s">
        <v>335</v>
      </c>
      <c r="D37" s="73">
        <f>I28/D35</f>
        <v>1.2064041755038066</v>
      </c>
      <c r="G37" s="73">
        <f>J28/G35</f>
        <v>1.2164216870294724</v>
      </c>
      <c r="AF37" s="320">
        <v>1998</v>
      </c>
      <c r="AG37" s="321">
        <v>0.107</v>
      </c>
      <c r="AH37" s="322">
        <v>0.14699999999999999</v>
      </c>
      <c r="AI37" s="320">
        <v>461</v>
      </c>
      <c r="AJ37" s="320">
        <v>64</v>
      </c>
      <c r="AK37" s="322">
        <v>0.47399999999999998</v>
      </c>
      <c r="AL37" s="321">
        <v>9.0999999999999998E-2</v>
      </c>
      <c r="AM37" s="322">
        <v>0.55700000000000005</v>
      </c>
    </row>
    <row r="38" spans="1:39" x14ac:dyDescent="0.25">
      <c r="A38" s="366" t="s">
        <v>114</v>
      </c>
      <c r="B38" s="366"/>
      <c r="C38" s="366"/>
      <c r="D38" s="366"/>
      <c r="E38" s="366"/>
      <c r="F38" s="366"/>
      <c r="G38" s="366"/>
      <c r="H38" s="366"/>
      <c r="I38" s="366"/>
      <c r="J38" s="366"/>
      <c r="K38" s="50"/>
      <c r="AF38" s="320">
        <v>1999</v>
      </c>
      <c r="AG38" s="321">
        <v>0.16300000000000001</v>
      </c>
      <c r="AH38" s="322">
        <v>0.13200000000000001</v>
      </c>
      <c r="AI38" s="320">
        <v>440</v>
      </c>
      <c r="AJ38" s="320">
        <v>76</v>
      </c>
      <c r="AK38" s="322">
        <v>0.72</v>
      </c>
      <c r="AL38" s="321">
        <v>0.13600000000000001</v>
      </c>
      <c r="AM38" s="322">
        <v>0.82899999999999996</v>
      </c>
    </row>
    <row r="39" spans="1:39" x14ac:dyDescent="0.25">
      <c r="A39" s="134" t="s">
        <v>20</v>
      </c>
      <c r="B39" s="134" t="s">
        <v>94</v>
      </c>
      <c r="C39" s="134" t="s">
        <v>95</v>
      </c>
      <c r="D39" s="134" t="s">
        <v>101</v>
      </c>
      <c r="E39" s="93" t="s">
        <v>50</v>
      </c>
      <c r="F39" s="134" t="s">
        <v>45</v>
      </c>
      <c r="G39" s="134" t="s">
        <v>98</v>
      </c>
      <c r="H39" s="134" t="s">
        <v>97</v>
      </c>
      <c r="I39" s="134" t="s">
        <v>99</v>
      </c>
      <c r="J39" s="134" t="s">
        <v>103</v>
      </c>
      <c r="K39" s="50"/>
      <c r="AF39" s="320">
        <v>2000</v>
      </c>
      <c r="AG39" s="321">
        <v>0.28399999999999997</v>
      </c>
      <c r="AH39" s="322">
        <v>0.111</v>
      </c>
      <c r="AI39" s="320">
        <v>513</v>
      </c>
      <c r="AJ39" s="320">
        <v>104</v>
      </c>
      <c r="AK39" s="322">
        <v>1.2569999999999999</v>
      </c>
      <c r="AL39" s="321">
        <v>0.23100000000000001</v>
      </c>
      <c r="AM39" s="322">
        <v>1.411</v>
      </c>
    </row>
    <row r="40" spans="1:39" x14ac:dyDescent="0.25">
      <c r="A40" s="39">
        <v>1986</v>
      </c>
      <c r="B40" s="26">
        <v>34</v>
      </c>
      <c r="C40" s="26">
        <v>9</v>
      </c>
      <c r="D40" s="26">
        <v>1208470.1963115404</v>
      </c>
      <c r="E40" s="35">
        <v>1515242.1510045999</v>
      </c>
      <c r="F40" s="5">
        <v>14933.907489599998</v>
      </c>
      <c r="G40" s="5">
        <f t="shared" ref="G40:G71" si="6">D40+F40</f>
        <v>1223404.1038011403</v>
      </c>
      <c r="H40" s="5">
        <f t="shared" ref="H40:H71" si="7">E40-G40</f>
        <v>291838.04720345954</v>
      </c>
      <c r="I40" s="92">
        <f t="shared" ref="I40:I71" si="8">H40/G40</f>
        <v>0.23854591160575075</v>
      </c>
      <c r="J40" s="92">
        <f>H40/$G$72</f>
        <v>0.49466958882996831</v>
      </c>
      <c r="K40" s="102"/>
      <c r="AF40" s="320">
        <v>2001</v>
      </c>
      <c r="AG40" s="321">
        <v>0.252</v>
      </c>
      <c r="AH40" s="322">
        <v>9.2999999999999999E-2</v>
      </c>
      <c r="AI40" s="320">
        <v>742</v>
      </c>
      <c r="AJ40" s="320">
        <v>155</v>
      </c>
      <c r="AK40" s="322">
        <v>1.1160000000000001</v>
      </c>
      <c r="AL40" s="321">
        <v>0.188</v>
      </c>
      <c r="AM40" s="322">
        <v>1.151</v>
      </c>
    </row>
    <row r="41" spans="1:39" x14ac:dyDescent="0.25">
      <c r="A41" s="108">
        <v>1987</v>
      </c>
      <c r="B41" s="109">
        <v>39</v>
      </c>
      <c r="C41" s="109">
        <v>18</v>
      </c>
      <c r="D41" s="109">
        <v>1273570.4294372292</v>
      </c>
      <c r="E41" s="35">
        <v>1244656.1381289994</v>
      </c>
      <c r="F41" s="7">
        <v>26495.907938999997</v>
      </c>
      <c r="G41" s="7">
        <f t="shared" si="6"/>
        <v>1300066.3373762292</v>
      </c>
      <c r="H41" s="7">
        <f t="shared" si="7"/>
        <v>-55410.199247229844</v>
      </c>
      <c r="I41" s="102">
        <f t="shared" si="8"/>
        <v>-4.2621055290961322E-2</v>
      </c>
      <c r="J41" s="92">
        <f t="shared" ref="J41:J71" si="9">H41/$G$72</f>
        <v>-9.392106595170803E-2</v>
      </c>
      <c r="K41" s="102"/>
      <c r="AF41" s="320">
        <v>2002</v>
      </c>
      <c r="AG41" s="321">
        <v>0.42599999999999999</v>
      </c>
      <c r="AH41" s="322">
        <v>8.5000000000000006E-2</v>
      </c>
      <c r="AI41" s="320">
        <v>578</v>
      </c>
      <c r="AJ41" s="320">
        <v>142</v>
      </c>
      <c r="AK41" s="322">
        <v>1.8819999999999999</v>
      </c>
      <c r="AL41" s="321">
        <v>0.26200000000000001</v>
      </c>
      <c r="AM41" s="322">
        <v>1.601</v>
      </c>
    </row>
    <row r="42" spans="1:39" x14ac:dyDescent="0.25">
      <c r="A42" s="108">
        <v>1988</v>
      </c>
      <c r="B42" s="109">
        <v>9</v>
      </c>
      <c r="C42" s="109">
        <v>25</v>
      </c>
      <c r="D42" s="109">
        <v>965674.51478489384</v>
      </c>
      <c r="E42" s="35">
        <v>2289145.9757021996</v>
      </c>
      <c r="F42" s="7">
        <v>20619.330588200002</v>
      </c>
      <c r="G42" s="7"/>
      <c r="H42" s="7"/>
      <c r="I42" s="102" t="e">
        <f t="shared" si="8"/>
        <v>#DIV/0!</v>
      </c>
      <c r="J42" s="102">
        <f t="shared" si="9"/>
        <v>0</v>
      </c>
      <c r="K42" s="17" t="s">
        <v>112</v>
      </c>
      <c r="AF42" s="320">
        <v>2003</v>
      </c>
      <c r="AG42" s="321">
        <v>0.245</v>
      </c>
      <c r="AH42" s="322">
        <v>0.13200000000000001</v>
      </c>
      <c r="AI42" s="320">
        <v>300</v>
      </c>
      <c r="AJ42" s="320">
        <v>59</v>
      </c>
      <c r="AK42" s="322">
        <v>1.083</v>
      </c>
      <c r="AL42" s="321">
        <v>0.151</v>
      </c>
      <c r="AM42" s="322">
        <v>0.92300000000000004</v>
      </c>
    </row>
    <row r="43" spans="1:39" x14ac:dyDescent="0.25">
      <c r="A43" s="39">
        <v>1989</v>
      </c>
      <c r="B43" s="26">
        <v>9</v>
      </c>
      <c r="C43" s="26">
        <v>10</v>
      </c>
      <c r="D43" s="26">
        <v>954206.96623021178</v>
      </c>
      <c r="E43" s="35">
        <v>453267.58492000023</v>
      </c>
      <c r="F43" s="5">
        <v>5863.0102423999988</v>
      </c>
      <c r="G43" s="5">
        <f t="shared" si="6"/>
        <v>960069.97647261177</v>
      </c>
      <c r="H43" s="5">
        <f t="shared" si="7"/>
        <v>-506802.39155261155</v>
      </c>
      <c r="I43" s="92">
        <f t="shared" si="8"/>
        <v>-0.5278806795048957</v>
      </c>
      <c r="J43" s="92">
        <f t="shared" si="9"/>
        <v>-0.85903717164265303</v>
      </c>
      <c r="K43" s="102"/>
      <c r="AF43" s="320">
        <v>2004</v>
      </c>
      <c r="AG43" s="321">
        <v>0.35599999999999998</v>
      </c>
      <c r="AH43" s="322">
        <v>0.13600000000000001</v>
      </c>
      <c r="AI43" s="320">
        <v>208</v>
      </c>
      <c r="AJ43" s="320">
        <v>52</v>
      </c>
      <c r="AK43" s="322">
        <v>1.573</v>
      </c>
      <c r="AL43" s="321">
        <v>0.24</v>
      </c>
      <c r="AM43" s="322">
        <v>1.4690000000000001</v>
      </c>
    </row>
    <row r="44" spans="1:39" x14ac:dyDescent="0.25">
      <c r="A44" s="95">
        <v>1990</v>
      </c>
      <c r="B44" s="96">
        <v>18</v>
      </c>
      <c r="C44" s="96">
        <v>0</v>
      </c>
      <c r="D44" s="96">
        <v>920356.00773787254</v>
      </c>
      <c r="E44" s="97">
        <v>1614527.7775619999</v>
      </c>
      <c r="F44" s="97">
        <v>3411.5964540000004</v>
      </c>
      <c r="G44" s="97">
        <f t="shared" si="6"/>
        <v>923767.60419187252</v>
      </c>
      <c r="H44" s="97">
        <f t="shared" si="7"/>
        <v>690760.17337012733</v>
      </c>
      <c r="I44" s="98">
        <f t="shared" si="8"/>
        <v>0.74776401579314522</v>
      </c>
      <c r="J44" s="98">
        <f t="shared" si="9"/>
        <v>1.1708481954818533</v>
      </c>
      <c r="K44" s="102"/>
      <c r="AF44" s="320">
        <v>2005</v>
      </c>
      <c r="AG44" s="321">
        <v>0.313</v>
      </c>
      <c r="AH44" s="322">
        <v>0.114</v>
      </c>
      <c r="AI44" s="320">
        <v>358</v>
      </c>
      <c r="AJ44" s="320">
        <v>85</v>
      </c>
      <c r="AK44" s="322">
        <v>1.385</v>
      </c>
      <c r="AL44" s="321">
        <v>0.249</v>
      </c>
      <c r="AM44" s="322">
        <v>1.5189999999999999</v>
      </c>
    </row>
    <row r="45" spans="1:39" x14ac:dyDescent="0.25">
      <c r="A45" s="95">
        <v>1991</v>
      </c>
      <c r="B45" s="96">
        <v>14</v>
      </c>
      <c r="C45" s="96">
        <v>2</v>
      </c>
      <c r="D45" s="96">
        <v>1680421.6531800567</v>
      </c>
      <c r="E45" s="97">
        <v>935893.91008740012</v>
      </c>
      <c r="F45" s="97">
        <v>4464.3370460000006</v>
      </c>
      <c r="G45" s="97">
        <f t="shared" si="6"/>
        <v>1684885.9902260567</v>
      </c>
      <c r="H45" s="97">
        <f t="shared" si="7"/>
        <v>-748992.08013865654</v>
      </c>
      <c r="I45" s="98">
        <f t="shared" si="8"/>
        <v>-0.44453576353742857</v>
      </c>
      <c r="J45" s="98">
        <f t="shared" si="9"/>
        <v>-1.269552095312608</v>
      </c>
      <c r="K45" s="102"/>
      <c r="AF45" s="320">
        <v>2006</v>
      </c>
      <c r="AG45" s="321">
        <v>0.192</v>
      </c>
      <c r="AH45" s="322">
        <v>0.13900000000000001</v>
      </c>
      <c r="AI45" s="320">
        <v>404</v>
      </c>
      <c r="AJ45" s="320">
        <v>59</v>
      </c>
      <c r="AK45" s="322">
        <v>0.85</v>
      </c>
      <c r="AL45" s="321">
        <v>0.126</v>
      </c>
      <c r="AM45" s="322">
        <v>0.77100000000000002</v>
      </c>
    </row>
    <row r="46" spans="1:39" x14ac:dyDescent="0.25">
      <c r="A46" s="39">
        <v>1992</v>
      </c>
      <c r="B46" s="26">
        <v>38</v>
      </c>
      <c r="C46" s="26">
        <v>7</v>
      </c>
      <c r="D46" s="26">
        <v>312148.55000643816</v>
      </c>
      <c r="E46" s="35">
        <v>545303.84572332015</v>
      </c>
      <c r="F46" s="5">
        <v>8727.0854680000011</v>
      </c>
      <c r="G46" s="5"/>
      <c r="H46" s="5"/>
      <c r="I46" s="92" t="e">
        <f t="shared" si="8"/>
        <v>#DIV/0!</v>
      </c>
      <c r="J46" s="92">
        <f t="shared" si="9"/>
        <v>0</v>
      </c>
      <c r="K46" s="17" t="s">
        <v>112</v>
      </c>
      <c r="AF46" s="320">
        <v>2007</v>
      </c>
      <c r="AG46" s="321">
        <v>0.23300000000000001</v>
      </c>
      <c r="AH46" s="322">
        <v>0.11600000000000001</v>
      </c>
      <c r="AI46" s="320">
        <v>494</v>
      </c>
      <c r="AJ46" s="320">
        <v>91</v>
      </c>
      <c r="AK46" s="322">
        <v>1.0309999999999999</v>
      </c>
      <c r="AL46" s="321">
        <v>0.17</v>
      </c>
      <c r="AM46" s="322">
        <v>1.0389999999999999</v>
      </c>
    </row>
    <row r="47" spans="1:39" x14ac:dyDescent="0.25">
      <c r="A47" s="39">
        <v>1993</v>
      </c>
      <c r="B47" s="26">
        <v>30</v>
      </c>
      <c r="C47" s="26">
        <v>3</v>
      </c>
      <c r="D47" s="26">
        <v>360284.14210054505</v>
      </c>
      <c r="E47" s="35">
        <v>394585.18411379016</v>
      </c>
      <c r="F47" s="5">
        <v>12698.077125999996</v>
      </c>
      <c r="G47" s="5">
        <f t="shared" si="6"/>
        <v>372982.21922654507</v>
      </c>
      <c r="H47" s="5">
        <f t="shared" si="7"/>
        <v>21602.964887245093</v>
      </c>
      <c r="I47" s="92">
        <f t="shared" si="8"/>
        <v>5.7919556948433787E-2</v>
      </c>
      <c r="J47" s="92">
        <f t="shared" si="9"/>
        <v>3.6617328894171318E-2</v>
      </c>
      <c r="K47" s="102"/>
      <c r="AF47" s="320">
        <v>2008</v>
      </c>
      <c r="AG47" s="321">
        <v>0.192</v>
      </c>
      <c r="AH47" s="322">
        <v>0.105</v>
      </c>
      <c r="AI47" s="320">
        <v>635</v>
      </c>
      <c r="AJ47" s="320">
        <v>111</v>
      </c>
      <c r="AK47" s="322">
        <v>0.84799999999999998</v>
      </c>
      <c r="AL47" s="321">
        <v>0.13200000000000001</v>
      </c>
      <c r="AM47" s="322">
        <v>0.80300000000000005</v>
      </c>
    </row>
    <row r="48" spans="1:39" x14ac:dyDescent="0.25">
      <c r="A48" s="39">
        <v>1994</v>
      </c>
      <c r="B48" s="26">
        <v>24</v>
      </c>
      <c r="C48" s="26">
        <v>7</v>
      </c>
      <c r="D48" s="26">
        <v>290832.88176447939</v>
      </c>
      <c r="E48" s="35">
        <v>375241.05486079998</v>
      </c>
      <c r="F48" s="5">
        <v>10948.969532000001</v>
      </c>
      <c r="G48" s="5">
        <f t="shared" si="6"/>
        <v>301781.85129647941</v>
      </c>
      <c r="H48" s="5">
        <f t="shared" si="7"/>
        <v>73459.203564320575</v>
      </c>
      <c r="I48" s="92">
        <f t="shared" si="8"/>
        <v>0.24341822826234863</v>
      </c>
      <c r="J48" s="92">
        <f t="shared" si="9"/>
        <v>0.12451438176464277</v>
      </c>
      <c r="K48" s="102"/>
      <c r="AF48" s="320">
        <v>2009</v>
      </c>
      <c r="AG48" s="321">
        <v>0.127</v>
      </c>
      <c r="AH48" s="322">
        <v>0.111</v>
      </c>
      <c r="AI48" s="320">
        <v>829</v>
      </c>
      <c r="AJ48" s="320">
        <v>113</v>
      </c>
      <c r="AK48" s="322">
        <v>0.56399999999999995</v>
      </c>
      <c r="AL48" s="321">
        <v>9.6000000000000002E-2</v>
      </c>
      <c r="AM48" s="322">
        <v>0.58599999999999997</v>
      </c>
    </row>
    <row r="49" spans="1:39" x14ac:dyDescent="0.25">
      <c r="A49" s="39">
        <v>1995</v>
      </c>
      <c r="B49" s="26">
        <v>25</v>
      </c>
      <c r="C49" s="26">
        <v>7</v>
      </c>
      <c r="D49" s="26">
        <v>372467.03077676531</v>
      </c>
      <c r="E49" s="35">
        <v>476623.36355940008</v>
      </c>
      <c r="F49" s="5">
        <v>7410.8290379999989</v>
      </c>
      <c r="G49" s="5">
        <f t="shared" si="6"/>
        <v>379877.85981476534</v>
      </c>
      <c r="H49" s="5">
        <f t="shared" si="7"/>
        <v>96745.503744634741</v>
      </c>
      <c r="I49" s="92">
        <f t="shared" si="8"/>
        <v>0.25467528903055692</v>
      </c>
      <c r="J49" s="92">
        <f t="shared" si="9"/>
        <v>0.16398498762274924</v>
      </c>
      <c r="K49" s="102"/>
      <c r="AF49" s="320">
        <v>2010</v>
      </c>
      <c r="AG49" s="321">
        <v>0.183</v>
      </c>
      <c r="AH49" s="322">
        <v>0.11600000000000001</v>
      </c>
      <c r="AI49" s="320">
        <v>554</v>
      </c>
      <c r="AJ49" s="320">
        <v>91</v>
      </c>
      <c r="AK49" s="322">
        <v>0.80800000000000005</v>
      </c>
      <c r="AL49" s="321">
        <v>0.13300000000000001</v>
      </c>
      <c r="AM49" s="322">
        <v>0.81100000000000005</v>
      </c>
    </row>
    <row r="50" spans="1:39" x14ac:dyDescent="0.25">
      <c r="A50" s="39">
        <v>1996</v>
      </c>
      <c r="B50" s="26">
        <v>54</v>
      </c>
      <c r="C50" s="26">
        <v>2</v>
      </c>
      <c r="D50" s="26">
        <v>1140807.3514540058</v>
      </c>
      <c r="E50" s="35">
        <v>1334706.1043777498</v>
      </c>
      <c r="F50" s="5">
        <v>10548.217343999995</v>
      </c>
      <c r="G50" s="5">
        <f t="shared" si="6"/>
        <v>1151355.5687980058</v>
      </c>
      <c r="H50" s="5">
        <f t="shared" si="7"/>
        <v>183350.53557974403</v>
      </c>
      <c r="I50" s="92">
        <f t="shared" si="8"/>
        <v>0.15924753442688311</v>
      </c>
      <c r="J50" s="92">
        <f t="shared" si="9"/>
        <v>0.31078173293749783</v>
      </c>
      <c r="K50" s="102"/>
      <c r="AF50" s="320">
        <v>2011</v>
      </c>
      <c r="AG50" s="321">
        <v>0.32400000000000001</v>
      </c>
      <c r="AH50" s="322">
        <v>8.2000000000000003E-2</v>
      </c>
      <c r="AI50" s="320">
        <v>643</v>
      </c>
      <c r="AJ50" s="320">
        <v>175</v>
      </c>
      <c r="AK50" s="322">
        <v>1.4319999999999999</v>
      </c>
      <c r="AL50" s="321">
        <v>0.23899999999999999</v>
      </c>
      <c r="AM50" s="322">
        <v>1.4590000000000001</v>
      </c>
    </row>
    <row r="51" spans="1:39" x14ac:dyDescent="0.25">
      <c r="A51" s="39">
        <v>1997</v>
      </c>
      <c r="B51" s="26">
        <v>62</v>
      </c>
      <c r="C51" s="26">
        <v>18</v>
      </c>
      <c r="D51" s="26">
        <v>1972353.5993642008</v>
      </c>
      <c r="E51" s="35">
        <v>1973093.9377692977</v>
      </c>
      <c r="F51" s="5">
        <v>7082.5200059999997</v>
      </c>
      <c r="G51" s="5">
        <f t="shared" si="6"/>
        <v>1979436.1193702009</v>
      </c>
      <c r="H51" s="5">
        <f t="shared" si="7"/>
        <v>-6342.1816009031609</v>
      </c>
      <c r="I51" s="92">
        <f t="shared" si="8"/>
        <v>-3.2040344918638037E-3</v>
      </c>
      <c r="J51" s="92">
        <f t="shared" si="9"/>
        <v>-1.0750086888487671E-2</v>
      </c>
      <c r="K51" s="102"/>
      <c r="AF51" s="320">
        <v>2012</v>
      </c>
      <c r="AG51" s="321">
        <v>0.22700000000000001</v>
      </c>
      <c r="AH51" s="322">
        <v>9.9000000000000005E-2</v>
      </c>
      <c r="AI51" s="320">
        <v>543</v>
      </c>
      <c r="AJ51" s="320">
        <v>118</v>
      </c>
      <c r="AK51" s="322">
        <v>1.0029999999999999</v>
      </c>
      <c r="AL51" s="321">
        <v>0.159</v>
      </c>
      <c r="AM51" s="322">
        <v>0.97299999999999998</v>
      </c>
    </row>
    <row r="52" spans="1:39" x14ac:dyDescent="0.25">
      <c r="A52" s="39">
        <v>1998</v>
      </c>
      <c r="B52" s="26">
        <v>110</v>
      </c>
      <c r="C52" s="26">
        <v>11</v>
      </c>
      <c r="D52" s="26">
        <v>487927.61438398954</v>
      </c>
      <c r="E52" s="35">
        <v>614463.9302831497</v>
      </c>
      <c r="F52" s="5">
        <v>8123.2014360000012</v>
      </c>
      <c r="G52" s="5">
        <f t="shared" si="6"/>
        <v>496050.81581998954</v>
      </c>
      <c r="H52" s="5">
        <f t="shared" si="7"/>
        <v>118413.11446316016</v>
      </c>
      <c r="I52" s="92">
        <f t="shared" si="8"/>
        <v>0.23871166156116305</v>
      </c>
      <c r="J52" s="92">
        <f t="shared" si="9"/>
        <v>0.20071189210888141</v>
      </c>
      <c r="K52" s="102"/>
      <c r="AF52" s="320">
        <v>2013</v>
      </c>
      <c r="AG52" s="327"/>
      <c r="AH52" s="327"/>
      <c r="AI52" s="327"/>
      <c r="AJ52" s="327"/>
      <c r="AK52" s="327"/>
      <c r="AL52" s="327"/>
      <c r="AM52" s="327"/>
    </row>
    <row r="53" spans="1:39" x14ac:dyDescent="0.25">
      <c r="A53" s="39">
        <v>1999</v>
      </c>
      <c r="B53" s="26">
        <v>103</v>
      </c>
      <c r="C53" s="26">
        <v>18</v>
      </c>
      <c r="D53" s="26">
        <v>251754.77258958045</v>
      </c>
      <c r="E53" s="35">
        <v>239410.56690403138</v>
      </c>
      <c r="F53" s="5">
        <v>9243.0941440000024</v>
      </c>
      <c r="G53" s="5">
        <f t="shared" si="6"/>
        <v>260997.86673358045</v>
      </c>
      <c r="H53" s="5">
        <f t="shared" si="7"/>
        <v>-21587.299829549069</v>
      </c>
      <c r="I53" s="92">
        <f t="shared" si="8"/>
        <v>-8.2710637062734307E-2</v>
      </c>
      <c r="J53" s="92">
        <f t="shared" si="9"/>
        <v>-3.6590776401363254E-2</v>
      </c>
      <c r="K53" s="102"/>
      <c r="AF53" s="323">
        <v>2014</v>
      </c>
      <c r="AG53" s="324">
        <v>0.20100000000000001</v>
      </c>
      <c r="AH53" s="325">
        <v>0.14000000000000001</v>
      </c>
      <c r="AI53" s="323">
        <v>340</v>
      </c>
      <c r="AJ53" s="323">
        <v>56</v>
      </c>
      <c r="AK53" s="325">
        <v>0.88700000000000001</v>
      </c>
      <c r="AL53" s="324">
        <v>0.14199999999999999</v>
      </c>
      <c r="AM53" s="325">
        <v>0.89800000000000002</v>
      </c>
    </row>
    <row r="54" spans="1:39" x14ac:dyDescent="0.25">
      <c r="A54" s="39">
        <v>2000</v>
      </c>
      <c r="B54" s="26">
        <v>94</v>
      </c>
      <c r="C54" s="26">
        <v>14</v>
      </c>
      <c r="D54" s="26">
        <v>255935.15606515223</v>
      </c>
      <c r="E54" s="35">
        <v>375581.85797934199</v>
      </c>
      <c r="F54" s="5">
        <v>10364.904853999999</v>
      </c>
      <c r="G54" s="5">
        <f t="shared" si="6"/>
        <v>266300.06091915222</v>
      </c>
      <c r="H54" s="5">
        <f t="shared" si="7"/>
        <v>109281.79706018977</v>
      </c>
      <c r="I54" s="92">
        <f t="shared" si="8"/>
        <v>0.41037090522246383</v>
      </c>
      <c r="J54" s="92">
        <f t="shared" si="9"/>
        <v>0.18523418086291008</v>
      </c>
      <c r="K54" s="102"/>
    </row>
    <row r="55" spans="1:39" x14ac:dyDescent="0.25">
      <c r="A55" s="39">
        <v>2001</v>
      </c>
      <c r="B55" s="26">
        <v>133</v>
      </c>
      <c r="C55" s="26">
        <v>4</v>
      </c>
      <c r="D55" s="26">
        <v>276502.88553505612</v>
      </c>
      <c r="E55" s="35">
        <v>247805.64651182995</v>
      </c>
      <c r="F55" s="5">
        <v>7540.1949660000009</v>
      </c>
      <c r="G55" s="5">
        <f t="shared" si="6"/>
        <v>284043.0805010561</v>
      </c>
      <c r="H55" s="5">
        <f t="shared" si="7"/>
        <v>-36237.433989226149</v>
      </c>
      <c r="I55" s="92">
        <f t="shared" si="8"/>
        <v>-0.12757724611809867</v>
      </c>
      <c r="J55" s="92">
        <f t="shared" si="9"/>
        <v>-6.1422959560877712E-2</v>
      </c>
      <c r="K55" s="102"/>
    </row>
    <row r="56" spans="1:39" x14ac:dyDescent="0.25">
      <c r="A56" s="39">
        <v>2002</v>
      </c>
      <c r="B56" s="26">
        <v>101</v>
      </c>
      <c r="C56" s="26">
        <v>3</v>
      </c>
      <c r="D56" s="26">
        <v>495651.89361631311</v>
      </c>
      <c r="E56" s="35">
        <v>699011.28417719982</v>
      </c>
      <c r="F56" s="5">
        <v>7573.6387480000003</v>
      </c>
      <c r="G56" s="5">
        <f t="shared" si="6"/>
        <v>503225.53236431314</v>
      </c>
      <c r="H56" s="5">
        <f t="shared" si="7"/>
        <v>195785.75181288668</v>
      </c>
      <c r="I56" s="92">
        <f t="shared" si="8"/>
        <v>0.38906164179115305</v>
      </c>
      <c r="J56" s="92">
        <f t="shared" si="9"/>
        <v>0.33185959910335772</v>
      </c>
      <c r="K56" s="102"/>
    </row>
    <row r="57" spans="1:39" x14ac:dyDescent="0.25">
      <c r="A57" s="39">
        <v>2003</v>
      </c>
      <c r="B57" s="26">
        <v>144</v>
      </c>
      <c r="C57" s="26">
        <v>12</v>
      </c>
      <c r="D57" s="26">
        <v>433388.8650908831</v>
      </c>
      <c r="E57" s="35">
        <v>622938.51988355001</v>
      </c>
      <c r="F57" s="5">
        <v>7579.8998120000015</v>
      </c>
      <c r="G57" s="5">
        <f t="shared" si="6"/>
        <v>440968.76490288309</v>
      </c>
      <c r="H57" s="5">
        <f t="shared" si="7"/>
        <v>181969.75498066691</v>
      </c>
      <c r="I57" s="92">
        <f t="shared" si="8"/>
        <v>0.41265905765625616</v>
      </c>
      <c r="J57" s="92">
        <f t="shared" si="9"/>
        <v>0.30844129042921281</v>
      </c>
      <c r="K57" s="102"/>
    </row>
    <row r="58" spans="1:39" x14ac:dyDescent="0.25">
      <c r="A58" s="95">
        <v>2004</v>
      </c>
      <c r="B58" s="96">
        <v>111</v>
      </c>
      <c r="C58" s="96">
        <v>7</v>
      </c>
      <c r="D58" s="96">
        <v>480878.31887470622</v>
      </c>
      <c r="E58" s="97">
        <v>1020366.5873702202</v>
      </c>
      <c r="F58" s="97">
        <v>14341.253689999996</v>
      </c>
      <c r="G58" s="97">
        <f t="shared" si="6"/>
        <v>495219.57256470621</v>
      </c>
      <c r="H58" s="97">
        <f t="shared" si="7"/>
        <v>525147.01480551402</v>
      </c>
      <c r="I58" s="98">
        <f t="shared" si="8"/>
        <v>1.0604326724927606</v>
      </c>
      <c r="J58" s="98">
        <f t="shared" si="9"/>
        <v>0.89013156570371077</v>
      </c>
      <c r="K58" s="102"/>
    </row>
    <row r="59" spans="1:39" x14ac:dyDescent="0.25">
      <c r="A59" s="39">
        <v>2005</v>
      </c>
      <c r="B59" s="26">
        <v>90</v>
      </c>
      <c r="C59" s="26">
        <v>3</v>
      </c>
      <c r="D59" s="26">
        <v>221061.67429893813</v>
      </c>
      <c r="E59" s="35">
        <v>233253.16647894992</v>
      </c>
      <c r="F59" s="5">
        <v>22912.077110000006</v>
      </c>
      <c r="G59" s="5">
        <f t="shared" si="6"/>
        <v>243973.75140893814</v>
      </c>
      <c r="H59" s="5">
        <f t="shared" si="7"/>
        <v>-10720.584929988225</v>
      </c>
      <c r="I59" s="92">
        <f t="shared" si="8"/>
        <v>-4.3941550548275372E-2</v>
      </c>
      <c r="J59" s="92">
        <f t="shared" si="9"/>
        <v>-1.8171542025282452E-2</v>
      </c>
      <c r="K59" s="102"/>
    </row>
    <row r="60" spans="1:39" x14ac:dyDescent="0.25">
      <c r="A60" s="39">
        <v>2006</v>
      </c>
      <c r="B60" s="26">
        <v>30</v>
      </c>
      <c r="C60" s="26">
        <v>6</v>
      </c>
      <c r="D60" s="26">
        <v>651100.84286359337</v>
      </c>
      <c r="E60" s="35">
        <v>613571.48183806019</v>
      </c>
      <c r="F60" s="5">
        <v>16470.875244000003</v>
      </c>
      <c r="G60" s="5">
        <f t="shared" si="6"/>
        <v>667571.71810759336</v>
      </c>
      <c r="H60" s="5">
        <f t="shared" si="7"/>
        <v>-54000.236269533169</v>
      </c>
      <c r="I60" s="92">
        <f t="shared" si="8"/>
        <v>-8.0890539255633775E-2</v>
      </c>
      <c r="J60" s="92">
        <f t="shared" si="9"/>
        <v>-9.1531158901800858E-2</v>
      </c>
      <c r="K60" s="102"/>
    </row>
    <row r="61" spans="1:39" x14ac:dyDescent="0.25">
      <c r="A61" s="39">
        <v>2007</v>
      </c>
      <c r="B61" s="26">
        <v>83</v>
      </c>
      <c r="C61" s="26">
        <v>3</v>
      </c>
      <c r="D61" s="26">
        <v>510924.1458753894</v>
      </c>
      <c r="E61" s="35">
        <v>548535.86277487001</v>
      </c>
      <c r="F61" s="5">
        <v>16864.808604199996</v>
      </c>
      <c r="G61" s="5">
        <f t="shared" si="6"/>
        <v>527788.95447958936</v>
      </c>
      <c r="H61" s="5">
        <f t="shared" si="7"/>
        <v>20746.908295280649</v>
      </c>
      <c r="I61" s="92">
        <f t="shared" si="8"/>
        <v>3.9309099061645814E-2</v>
      </c>
      <c r="J61" s="92">
        <f t="shared" si="9"/>
        <v>3.5166300947609544E-2</v>
      </c>
      <c r="K61" s="102"/>
    </row>
    <row r="62" spans="1:39" x14ac:dyDescent="0.25">
      <c r="A62" s="39">
        <v>2008</v>
      </c>
      <c r="B62" s="26">
        <v>58</v>
      </c>
      <c r="C62" s="26">
        <v>4</v>
      </c>
      <c r="D62" s="26">
        <v>665798.38495651062</v>
      </c>
      <c r="E62" s="35">
        <v>555335.33531571017</v>
      </c>
      <c r="F62" s="5">
        <v>3164.4828400000001</v>
      </c>
      <c r="G62" s="5">
        <f t="shared" si="6"/>
        <v>668962.86779651057</v>
      </c>
      <c r="H62" s="5">
        <f t="shared" si="7"/>
        <v>-113627.53248080041</v>
      </c>
      <c r="I62" s="92">
        <f t="shared" si="8"/>
        <v>-0.1698562625083764</v>
      </c>
      <c r="J62" s="92">
        <f t="shared" si="9"/>
        <v>-0.19260026343602499</v>
      </c>
      <c r="K62" s="102"/>
    </row>
    <row r="63" spans="1:39" x14ac:dyDescent="0.25">
      <c r="A63" s="108">
        <v>2009</v>
      </c>
      <c r="B63" s="109">
        <v>33</v>
      </c>
      <c r="C63" s="109">
        <v>1</v>
      </c>
      <c r="D63" s="109">
        <v>661957.34510326025</v>
      </c>
      <c r="E63" s="35">
        <v>550353.47989139974</v>
      </c>
      <c r="F63" s="7">
        <v>2477.7984412000005</v>
      </c>
      <c r="G63" s="7">
        <f t="shared" si="6"/>
        <v>664435.1435444603</v>
      </c>
      <c r="H63" s="7">
        <f t="shared" si="7"/>
        <v>-114081.66365306056</v>
      </c>
      <c r="I63" s="102">
        <f t="shared" si="8"/>
        <v>-0.17169721493731743</v>
      </c>
      <c r="J63" s="92">
        <f t="shared" si="9"/>
        <v>-0.19337002215120783</v>
      </c>
      <c r="K63" s="102"/>
    </row>
    <row r="64" spans="1:39" x14ac:dyDescent="0.25">
      <c r="A64" s="39">
        <v>2010</v>
      </c>
      <c r="B64" s="26">
        <v>15</v>
      </c>
      <c r="C64" s="26">
        <v>3</v>
      </c>
      <c r="D64" s="26">
        <v>67742.901557994817</v>
      </c>
      <c r="E64" s="35">
        <v>39186.53849223999</v>
      </c>
      <c r="F64" s="5">
        <v>2904.1857180000006</v>
      </c>
      <c r="G64" s="5">
        <f t="shared" si="6"/>
        <v>70647.087275994825</v>
      </c>
      <c r="H64" s="5">
        <f t="shared" si="7"/>
        <v>-31460.548783754835</v>
      </c>
      <c r="I64" s="92">
        <f t="shared" si="8"/>
        <v>-0.44531982841484841</v>
      </c>
      <c r="J64" s="92">
        <f t="shared" si="9"/>
        <v>-5.3326072046992093E-2</v>
      </c>
      <c r="K64" s="102"/>
    </row>
    <row r="65" spans="1:11" x14ac:dyDescent="0.25">
      <c r="A65" s="39">
        <v>2011</v>
      </c>
      <c r="B65" s="26">
        <v>10</v>
      </c>
      <c r="C65" s="26">
        <v>2</v>
      </c>
      <c r="D65" s="26">
        <v>59110.142371882117</v>
      </c>
      <c r="E65" s="35">
        <v>94584.607318790004</v>
      </c>
      <c r="F65" s="5">
        <v>3730.0839929999993</v>
      </c>
      <c r="G65" s="5">
        <f t="shared" si="6"/>
        <v>62840.226364882117</v>
      </c>
      <c r="H65" s="5">
        <f t="shared" si="7"/>
        <v>31744.380953907887</v>
      </c>
      <c r="I65" s="92">
        <f t="shared" si="8"/>
        <v>0.50516019419764602</v>
      </c>
      <c r="J65" s="92">
        <f t="shared" si="9"/>
        <v>5.3807171561780318E-2</v>
      </c>
      <c r="K65" s="102"/>
    </row>
    <row r="66" spans="1:11" x14ac:dyDescent="0.25">
      <c r="A66" s="39">
        <v>2012</v>
      </c>
      <c r="B66" s="26">
        <v>25</v>
      </c>
      <c r="C66" s="26">
        <v>1</v>
      </c>
      <c r="D66" s="26">
        <v>338674.9657569867</v>
      </c>
      <c r="E66" s="35">
        <v>228500.92009800003</v>
      </c>
      <c r="F66" s="5">
        <v>4939.686284200001</v>
      </c>
      <c r="G66" s="5">
        <f t="shared" si="6"/>
        <v>343614.65204118669</v>
      </c>
      <c r="H66" s="5">
        <f t="shared" si="7"/>
        <v>-115113.73194318666</v>
      </c>
      <c r="I66" s="92">
        <f t="shared" si="8"/>
        <v>-0.33500821708088507</v>
      </c>
      <c r="J66" s="92">
        <f t="shared" si="9"/>
        <v>-0.19511939239821061</v>
      </c>
      <c r="K66" s="102"/>
    </row>
    <row r="67" spans="1:11" x14ac:dyDescent="0.25">
      <c r="A67" s="39">
        <v>2013</v>
      </c>
      <c r="B67" s="26">
        <v>16</v>
      </c>
      <c r="C67" s="26">
        <v>2</v>
      </c>
      <c r="D67" s="26">
        <v>266342.01008648792</v>
      </c>
      <c r="E67" s="35">
        <v>264237.19880130998</v>
      </c>
      <c r="F67" s="5">
        <v>6856.982812199999</v>
      </c>
      <c r="G67" s="5">
        <f t="shared" si="6"/>
        <v>273198.99289868789</v>
      </c>
      <c r="H67" s="5">
        <f t="shared" si="7"/>
        <v>-8961.7940973779187</v>
      </c>
      <c r="I67" s="92">
        <f t="shared" si="8"/>
        <v>-3.2803173987911723E-2</v>
      </c>
      <c r="J67" s="92">
        <f t="shared" si="9"/>
        <v>-1.5190366862063556E-2</v>
      </c>
      <c r="K67" s="92"/>
    </row>
    <row r="68" spans="1:11" x14ac:dyDescent="0.25">
      <c r="A68" s="39">
        <v>2014</v>
      </c>
      <c r="B68" s="26">
        <v>30</v>
      </c>
      <c r="C68" s="26">
        <v>10</v>
      </c>
      <c r="D68" s="26">
        <v>183042.41121862899</v>
      </c>
      <c r="E68" s="35">
        <v>186540.47428478001</v>
      </c>
      <c r="F68" s="5">
        <v>5315.1891883999979</v>
      </c>
      <c r="G68" s="5">
        <f t="shared" si="6"/>
        <v>188357.60040702898</v>
      </c>
      <c r="H68" s="5">
        <f t="shared" si="7"/>
        <v>-1817.1261222489702</v>
      </c>
      <c r="I68" s="92">
        <f t="shared" si="8"/>
        <v>-9.6472142261436467E-3</v>
      </c>
      <c r="J68" s="92">
        <f t="shared" si="9"/>
        <v>-3.0800542984665271E-3</v>
      </c>
      <c r="K68" s="92"/>
    </row>
    <row r="69" spans="1:11" x14ac:dyDescent="0.25">
      <c r="A69" s="39">
        <v>2015</v>
      </c>
      <c r="B69" s="26">
        <v>39</v>
      </c>
      <c r="C69" s="26">
        <v>1</v>
      </c>
      <c r="D69" s="26">
        <v>278215.59202814876</v>
      </c>
      <c r="E69" s="35">
        <v>311245.55010198994</v>
      </c>
      <c r="F69" s="5">
        <v>6809.1760611999998</v>
      </c>
      <c r="G69" s="5">
        <f t="shared" si="6"/>
        <v>285024.76808934874</v>
      </c>
      <c r="H69" s="5">
        <f t="shared" si="7"/>
        <v>26220.782012641197</v>
      </c>
      <c r="I69" s="92">
        <f t="shared" si="8"/>
        <v>9.1994749047288341E-2</v>
      </c>
      <c r="J69" s="92">
        <f t="shared" si="9"/>
        <v>4.4444593778242947E-2</v>
      </c>
      <c r="K69" s="92"/>
    </row>
    <row r="70" spans="1:11" x14ac:dyDescent="0.25">
      <c r="A70" s="39">
        <v>2016</v>
      </c>
      <c r="B70" s="26">
        <v>41</v>
      </c>
      <c r="C70" s="26">
        <v>0</v>
      </c>
      <c r="D70" s="26">
        <v>431652.0058607345</v>
      </c>
      <c r="E70" s="35">
        <v>513688.92761661985</v>
      </c>
      <c r="F70" s="5">
        <v>6405.3815252000004</v>
      </c>
      <c r="G70" s="5">
        <f t="shared" si="6"/>
        <v>438057.38738593447</v>
      </c>
      <c r="H70" s="5">
        <f t="shared" si="7"/>
        <v>75631.540230685379</v>
      </c>
      <c r="I70" s="92">
        <f t="shared" si="8"/>
        <v>0.17265212825654958</v>
      </c>
      <c r="J70" s="92">
        <f t="shared" si="9"/>
        <v>0.12819652292426265</v>
      </c>
      <c r="K70" s="92"/>
    </row>
    <row r="71" spans="1:11" x14ac:dyDescent="0.25">
      <c r="A71" s="108">
        <v>2017</v>
      </c>
      <c r="B71" s="109">
        <v>19</v>
      </c>
      <c r="C71" s="109">
        <v>0</v>
      </c>
      <c r="D71" s="109">
        <v>234825.96858803323</v>
      </c>
      <c r="E71" s="35">
        <v>221560.68245740005</v>
      </c>
      <c r="F71" s="7">
        <v>5235.9470460000002</v>
      </c>
      <c r="G71" s="7">
        <f t="shared" si="6"/>
        <v>240061.91563403321</v>
      </c>
      <c r="H71" s="7">
        <f t="shared" si="7"/>
        <v>-18501.233176633163</v>
      </c>
      <c r="I71" s="102">
        <f t="shared" si="8"/>
        <v>-7.7068589275267246E-2</v>
      </c>
      <c r="J71" s="92">
        <f t="shared" si="9"/>
        <v>-3.135985008134335E-2</v>
      </c>
      <c r="K71" s="92"/>
    </row>
    <row r="72" spans="1:11" x14ac:dyDescent="0.25">
      <c r="A72" s="108" t="s">
        <v>104</v>
      </c>
      <c r="B72" s="109"/>
      <c r="C72" s="109"/>
      <c r="D72" s="109"/>
      <c r="E72" s="7"/>
      <c r="F72" s="7"/>
      <c r="G72" s="7">
        <f>AVERAGE(G40:G71)</f>
        <v>589965.61299379251</v>
      </c>
      <c r="H72" s="7"/>
      <c r="I72" s="102"/>
    </row>
  </sheetData>
  <mergeCells count="1">
    <mergeCell ref="A38:J3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44"/>
  <sheetViews>
    <sheetView topLeftCell="J1" workbookViewId="0">
      <selection activeCell="H40" sqref="H40"/>
    </sheetView>
  </sheetViews>
  <sheetFormatPr defaultRowHeight="15" x14ac:dyDescent="0.25"/>
  <cols>
    <col min="1" max="2" width="8.85546875" style="17"/>
    <col min="3" max="3" width="12.140625" style="17" customWidth="1"/>
    <col min="4" max="4" width="12.28515625" style="17" bestFit="1" customWidth="1"/>
    <col min="5" max="5" width="11.5703125" style="17" bestFit="1" customWidth="1"/>
    <col min="6" max="6" width="13.140625" style="17" customWidth="1"/>
    <col min="7" max="7" width="12.28515625" style="17" bestFit="1" customWidth="1"/>
    <col min="8" max="8" width="11.42578125" style="17" bestFit="1" customWidth="1"/>
    <col min="9" max="9" width="16.140625" style="17" bestFit="1" customWidth="1"/>
    <col min="10" max="10" width="11.7109375" style="17" bestFit="1" customWidth="1"/>
    <col min="11" max="11" width="12.7109375" style="17" bestFit="1" customWidth="1"/>
    <col min="12" max="12" width="12" bestFit="1" customWidth="1"/>
    <col min="13" max="13" width="11.85546875" bestFit="1" customWidth="1"/>
    <col min="15" max="15" width="24" bestFit="1" customWidth="1"/>
    <col min="16" max="16" width="12.7109375" bestFit="1" customWidth="1"/>
    <col min="17" max="17" width="10.7109375" bestFit="1" customWidth="1"/>
    <col min="18" max="18" width="11.28515625" bestFit="1" customWidth="1"/>
    <col min="22" max="22" width="12.140625" customWidth="1"/>
    <col min="25" max="25" width="14.5703125" customWidth="1"/>
    <col min="27" max="27" width="10.28515625" bestFit="1" customWidth="1"/>
    <col min="29" max="29" width="11.7109375" bestFit="1" customWidth="1"/>
    <col min="30" max="30" width="12.7109375" bestFit="1" customWidth="1"/>
    <col min="31" max="31" width="12" bestFit="1" customWidth="1"/>
    <col min="32" max="32" width="11.85546875" bestFit="1" customWidth="1"/>
    <col min="33" max="33" width="10" bestFit="1" customWidth="1"/>
    <col min="34" max="34" width="11.7109375" bestFit="1" customWidth="1"/>
    <col min="35" max="35" width="12.7109375" bestFit="1" customWidth="1"/>
    <col min="37" max="37" width="11.28515625" bestFit="1" customWidth="1"/>
    <col min="41" max="41" width="12.28515625" customWidth="1"/>
    <col min="44" max="44" width="16.7109375" customWidth="1"/>
    <col min="48" max="48" width="11.7109375" bestFit="1" customWidth="1"/>
    <col min="49" max="49" width="12.7109375" bestFit="1" customWidth="1"/>
    <col min="50" max="50" width="12" bestFit="1" customWidth="1"/>
    <col min="51" max="51" width="11.85546875" bestFit="1" customWidth="1"/>
    <col min="53" max="53" width="11.7109375" bestFit="1" customWidth="1"/>
    <col min="54" max="54" width="12.7109375" bestFit="1" customWidth="1"/>
    <col min="56" max="56" width="11.28515625" bestFit="1" customWidth="1"/>
    <col min="60" max="60" width="11.85546875" customWidth="1"/>
    <col min="63" max="63" width="14.140625" customWidth="1"/>
    <col min="67" max="67" width="11.7109375" bestFit="1" customWidth="1"/>
    <col min="68" max="68" width="12.7109375" bestFit="1" customWidth="1"/>
    <col min="69" max="69" width="12" bestFit="1" customWidth="1"/>
    <col min="70" max="70" width="11.85546875" bestFit="1" customWidth="1"/>
    <col min="72" max="72" width="10.7109375" bestFit="1" customWidth="1"/>
    <col min="73" max="73" width="11.7109375" bestFit="1" customWidth="1"/>
    <col min="75" max="75" width="11.28515625" bestFit="1" customWidth="1"/>
  </cols>
  <sheetData>
    <row r="1" spans="1:55" x14ac:dyDescent="0.25">
      <c r="B1" s="17" t="s">
        <v>7</v>
      </c>
      <c r="AS1" s="88" t="s">
        <v>20</v>
      </c>
      <c r="AT1" s="88" t="s">
        <v>94</v>
      </c>
      <c r="AU1" s="88" t="s">
        <v>95</v>
      </c>
      <c r="AV1" s="88" t="s">
        <v>101</v>
      </c>
      <c r="AW1" s="93" t="s">
        <v>50</v>
      </c>
      <c r="AX1" s="88" t="s">
        <v>45</v>
      </c>
      <c r="AY1" s="88" t="s">
        <v>98</v>
      </c>
      <c r="AZ1" s="88" t="s">
        <v>97</v>
      </c>
      <c r="BA1" s="88" t="s">
        <v>99</v>
      </c>
      <c r="BB1" s="88" t="s">
        <v>103</v>
      </c>
      <c r="BC1" s="17"/>
    </row>
    <row r="2" spans="1:55" x14ac:dyDescent="0.25">
      <c r="K2" s="63"/>
      <c r="L2" s="64"/>
      <c r="AS2" s="39">
        <v>1986</v>
      </c>
      <c r="AT2" s="26">
        <v>22</v>
      </c>
      <c r="AU2" s="26">
        <v>3</v>
      </c>
      <c r="AV2" s="26">
        <v>113319.23360851065</v>
      </c>
      <c r="AW2" s="35">
        <v>198800.90696327997</v>
      </c>
      <c r="AX2" s="5">
        <v>79936.761154200009</v>
      </c>
      <c r="AY2" s="5">
        <f>AV2+AX2</f>
        <v>193255.99476271064</v>
      </c>
      <c r="AZ2" s="5">
        <f>AW2-AY2</f>
        <v>5544.9122005693207</v>
      </c>
      <c r="BA2" s="92">
        <f>AZ2/AY2</f>
        <v>2.8692057948203058E-2</v>
      </c>
      <c r="BB2" s="92">
        <f t="shared" ref="BB2:BB33" si="0">AZ2/$AY$34</f>
        <v>9.6985131223157519E-3</v>
      </c>
    </row>
    <row r="3" spans="1:55" x14ac:dyDescent="0.25">
      <c r="A3" s="17" t="s">
        <v>66</v>
      </c>
      <c r="B3" s="17" t="s">
        <v>311</v>
      </c>
      <c r="C3" s="18" t="s">
        <v>20</v>
      </c>
      <c r="D3" s="47" t="s">
        <v>316</v>
      </c>
      <c r="E3" s="10" t="s">
        <v>308</v>
      </c>
      <c r="F3" s="9" t="s">
        <v>1</v>
      </c>
      <c r="G3" s="8" t="s">
        <v>305</v>
      </c>
      <c r="H3" s="34" t="s">
        <v>306</v>
      </c>
      <c r="I3" s="144" t="s">
        <v>118</v>
      </c>
      <c r="J3" s="144" t="s">
        <v>119</v>
      </c>
      <c r="K3" s="65" t="s">
        <v>317</v>
      </c>
      <c r="L3" s="68" t="s">
        <v>309</v>
      </c>
      <c r="AS3" s="39">
        <v>1987</v>
      </c>
      <c r="AT3" s="26">
        <v>71</v>
      </c>
      <c r="AU3" s="26">
        <v>2</v>
      </c>
      <c r="AV3" s="26">
        <v>82997.30680949743</v>
      </c>
      <c r="AW3" s="35">
        <v>176472.16172066695</v>
      </c>
      <c r="AX3" s="5">
        <v>70270.401447000011</v>
      </c>
      <c r="AY3" s="5">
        <f t="shared" ref="AY3:AY33" si="1">AV3+AX3</f>
        <v>153267.70825649746</v>
      </c>
      <c r="AZ3" s="5">
        <f t="shared" ref="AZ3:AZ33" si="2">AW3-AY3</f>
        <v>23204.453464169492</v>
      </c>
      <c r="BA3" s="92">
        <f t="shared" ref="BA3:BA33" si="3">AZ3/AY3</f>
        <v>0.15139818901275826</v>
      </c>
      <c r="BB3" s="92">
        <f t="shared" si="0"/>
        <v>4.0586521170760156E-2</v>
      </c>
    </row>
    <row r="4" spans="1:55" x14ac:dyDescent="0.25">
      <c r="B4" s="141"/>
      <c r="C4" s="18">
        <v>1986</v>
      </c>
      <c r="D4" s="41">
        <f t="shared" ref="D4:D35" si="4">E4+F4</f>
        <v>267412.75205805001</v>
      </c>
      <c r="E4" s="22">
        <v>192788.75205805001</v>
      </c>
      <c r="F4" s="21">
        <v>74624</v>
      </c>
      <c r="G4" s="20">
        <f t="shared" ref="G4:G35" si="5">F4+H4</f>
        <v>273424.90696327994</v>
      </c>
      <c r="H4" s="35">
        <v>198800.90696327997</v>
      </c>
      <c r="I4" s="145">
        <f>G4-D4</f>
        <v>6012.1549052299233</v>
      </c>
      <c r="J4" s="146">
        <f>I4/D4</f>
        <v>2.2482678402430126E-2</v>
      </c>
      <c r="K4" s="66"/>
      <c r="L4" s="69"/>
      <c r="AS4" s="39">
        <v>1988</v>
      </c>
      <c r="AT4" s="26">
        <v>44</v>
      </c>
      <c r="AU4" s="26">
        <v>16</v>
      </c>
      <c r="AV4" s="26">
        <v>31396.711112552657</v>
      </c>
      <c r="AW4" s="35">
        <v>330562.43433493411</v>
      </c>
      <c r="AX4" s="5">
        <v>69818.94566360001</v>
      </c>
      <c r="AY4" s="5"/>
      <c r="AZ4" s="5"/>
      <c r="BA4" s="92" t="e">
        <f t="shared" si="3"/>
        <v>#DIV/0!</v>
      </c>
      <c r="BB4" s="92">
        <f t="shared" si="0"/>
        <v>0</v>
      </c>
      <c r="BC4" t="s">
        <v>112</v>
      </c>
    </row>
    <row r="5" spans="1:55" s="2" customFormat="1" x14ac:dyDescent="0.25">
      <c r="A5" s="23"/>
      <c r="B5" s="141"/>
      <c r="C5" s="18">
        <v>1987</v>
      </c>
      <c r="D5" s="41">
        <f t="shared" si="4"/>
        <v>235721.27434544705</v>
      </c>
      <c r="E5" s="22">
        <v>154750.27434544705</v>
      </c>
      <c r="F5" s="21">
        <v>80971</v>
      </c>
      <c r="G5" s="20">
        <f t="shared" si="5"/>
        <v>257443.16172066695</v>
      </c>
      <c r="H5" s="35">
        <v>176472.16172066695</v>
      </c>
      <c r="I5" s="145">
        <f t="shared" ref="I5:I35" si="6">G5-D5</f>
        <v>21721.8873752199</v>
      </c>
      <c r="J5" s="146">
        <f t="shared" ref="J5:J35" si="7">I5/D5</f>
        <v>9.2150729438984377E-2</v>
      </c>
      <c r="K5" s="66"/>
      <c r="L5" s="70"/>
      <c r="AS5" s="39">
        <v>1989</v>
      </c>
      <c r="AT5" s="26">
        <v>92</v>
      </c>
      <c r="AU5" s="26">
        <v>76</v>
      </c>
      <c r="AV5" s="26">
        <v>323520.4919008984</v>
      </c>
      <c r="AW5" s="35">
        <v>421204.84528434894</v>
      </c>
      <c r="AX5" s="5">
        <v>85372.661011000033</v>
      </c>
      <c r="AY5" s="5">
        <f t="shared" si="1"/>
        <v>408893.15291189845</v>
      </c>
      <c r="AZ5" s="5">
        <f t="shared" si="2"/>
        <v>12311.692372450489</v>
      </c>
      <c r="BA5" s="92">
        <f t="shared" si="3"/>
        <v>3.0109803220655075E-2</v>
      </c>
      <c r="BB5" s="92">
        <f t="shared" si="0"/>
        <v>2.1534175062296924E-2</v>
      </c>
      <c r="BC5" s="17"/>
    </row>
    <row r="6" spans="1:55" s="2" customFormat="1" x14ac:dyDescent="0.25">
      <c r="A6" s="23"/>
      <c r="B6" s="141"/>
      <c r="C6" s="18">
        <v>1988</v>
      </c>
      <c r="D6" s="41">
        <f t="shared" si="4"/>
        <v>418993.18807840999</v>
      </c>
      <c r="E6" s="22">
        <v>329573.18807840999</v>
      </c>
      <c r="F6" s="21">
        <v>89420</v>
      </c>
      <c r="G6" s="20">
        <f t="shared" si="5"/>
        <v>419982.43433493411</v>
      </c>
      <c r="H6" s="35">
        <v>330562.43433493411</v>
      </c>
      <c r="I6" s="145">
        <f t="shared" si="6"/>
        <v>989.24625652411487</v>
      </c>
      <c r="J6" s="146">
        <f t="shared" si="7"/>
        <v>2.3610079702274019E-3</v>
      </c>
      <c r="K6" s="66"/>
      <c r="L6" s="71"/>
      <c r="AS6" s="39">
        <v>1990</v>
      </c>
      <c r="AT6" s="26">
        <v>70</v>
      </c>
      <c r="AU6" s="26">
        <v>72</v>
      </c>
      <c r="AV6" s="26">
        <v>245252.69764121927</v>
      </c>
      <c r="AW6" s="35">
        <v>372685.99053210497</v>
      </c>
      <c r="AX6" s="5">
        <v>115672.47397399999</v>
      </c>
      <c r="AY6" s="5">
        <f t="shared" si="1"/>
        <v>360925.17161521927</v>
      </c>
      <c r="AZ6" s="5">
        <f t="shared" si="2"/>
        <v>11760.818916885706</v>
      </c>
      <c r="BA6" s="92">
        <f t="shared" si="3"/>
        <v>3.2585200040921122E-2</v>
      </c>
      <c r="BB6" s="92">
        <f t="shared" si="0"/>
        <v>2.0570651521386409E-2</v>
      </c>
      <c r="BC6" s="17"/>
    </row>
    <row r="7" spans="1:55" x14ac:dyDescent="0.25">
      <c r="B7" s="141"/>
      <c r="C7" s="18">
        <v>1989</v>
      </c>
      <c r="D7" s="41">
        <f t="shared" si="4"/>
        <v>483503.67426699406</v>
      </c>
      <c r="E7" s="22">
        <v>374567.67426699406</v>
      </c>
      <c r="F7" s="21">
        <v>108936</v>
      </c>
      <c r="G7" s="20">
        <f t="shared" si="5"/>
        <v>530140.84528434894</v>
      </c>
      <c r="H7" s="35">
        <v>421204.84528434894</v>
      </c>
      <c r="I7" s="145">
        <f t="shared" si="6"/>
        <v>46637.171017354878</v>
      </c>
      <c r="J7" s="146">
        <f t="shared" si="7"/>
        <v>9.6456704466741053E-2</v>
      </c>
      <c r="K7" s="66"/>
      <c r="L7" s="71"/>
      <c r="AS7" s="39">
        <v>1991</v>
      </c>
      <c r="AT7" s="26">
        <v>76</v>
      </c>
      <c r="AU7" s="26">
        <v>67</v>
      </c>
      <c r="AV7" s="26">
        <v>761652.24386303022</v>
      </c>
      <c r="AW7" s="35">
        <v>1002439.0293875502</v>
      </c>
      <c r="AX7" s="5">
        <v>159624.52596600002</v>
      </c>
      <c r="AY7" s="5">
        <f t="shared" si="1"/>
        <v>921276.76982903027</v>
      </c>
      <c r="AZ7" s="5">
        <f t="shared" si="2"/>
        <v>81162.259558519931</v>
      </c>
      <c r="BA7" s="92">
        <f t="shared" si="3"/>
        <v>8.8097586107139067E-2</v>
      </c>
      <c r="BB7" s="92">
        <f t="shared" si="0"/>
        <v>0.14195954974440933</v>
      </c>
    </row>
    <row r="8" spans="1:55" x14ac:dyDescent="0.25">
      <c r="B8" s="141"/>
      <c r="C8" s="18">
        <v>1990</v>
      </c>
      <c r="D8" s="41">
        <f t="shared" si="4"/>
        <v>582812.65974800498</v>
      </c>
      <c r="E8" s="22">
        <v>366018.65974800498</v>
      </c>
      <c r="F8" s="21">
        <v>216794</v>
      </c>
      <c r="G8" s="20">
        <f t="shared" si="5"/>
        <v>589479.99053210497</v>
      </c>
      <c r="H8" s="35">
        <v>372685.99053210497</v>
      </c>
      <c r="I8" s="145">
        <f t="shared" si="6"/>
        <v>6667.3307840999914</v>
      </c>
      <c r="J8" s="146">
        <f t="shared" si="7"/>
        <v>1.1439920997911739E-2</v>
      </c>
      <c r="K8" s="66"/>
      <c r="L8" s="71"/>
      <c r="AS8" s="39">
        <v>1992</v>
      </c>
      <c r="AT8" s="26">
        <v>379</v>
      </c>
      <c r="AU8" s="26">
        <v>68</v>
      </c>
      <c r="AV8" s="26">
        <v>409515.67548133089</v>
      </c>
      <c r="AW8" s="35">
        <v>822821.44319378026</v>
      </c>
      <c r="AX8" s="5">
        <v>170319.28307199993</v>
      </c>
      <c r="AY8" s="5"/>
      <c r="AZ8" s="5"/>
      <c r="BA8" s="92" t="e">
        <f t="shared" si="3"/>
        <v>#DIV/0!</v>
      </c>
      <c r="BB8" s="92">
        <f t="shared" si="0"/>
        <v>0</v>
      </c>
      <c r="BC8" s="17" t="s">
        <v>112</v>
      </c>
    </row>
    <row r="9" spans="1:55" s="25" customFormat="1" x14ac:dyDescent="0.25">
      <c r="B9" s="141"/>
      <c r="C9" s="18">
        <v>1991</v>
      </c>
      <c r="D9" s="41">
        <f t="shared" si="4"/>
        <v>1298149.9272908201</v>
      </c>
      <c r="E9" s="22">
        <v>1001932.9272908201</v>
      </c>
      <c r="F9" s="21">
        <v>296217</v>
      </c>
      <c r="G9" s="20">
        <f t="shared" si="5"/>
        <v>1298656.0293875502</v>
      </c>
      <c r="H9" s="35">
        <v>1002439.0293875502</v>
      </c>
      <c r="I9" s="145">
        <f t="shared" si="6"/>
        <v>506.10209673014469</v>
      </c>
      <c r="J9" s="146">
        <f t="shared" si="7"/>
        <v>3.8986413363389911E-4</v>
      </c>
      <c r="K9" s="66"/>
      <c r="L9" s="71"/>
      <c r="AS9" s="39">
        <v>1993</v>
      </c>
      <c r="AT9" s="26">
        <v>262</v>
      </c>
      <c r="AU9" s="26">
        <v>50</v>
      </c>
      <c r="AV9" s="26">
        <v>349854.286396852</v>
      </c>
      <c r="AW9" s="35">
        <v>605009.00959829986</v>
      </c>
      <c r="AX9" s="5">
        <v>241356.499514</v>
      </c>
      <c r="AY9" s="5">
        <f t="shared" si="1"/>
        <v>591210.78591085202</v>
      </c>
      <c r="AZ9" s="5">
        <f t="shared" si="2"/>
        <v>13798.22368744784</v>
      </c>
      <c r="BA9" s="92">
        <f t="shared" si="3"/>
        <v>2.3338924147314963E-2</v>
      </c>
      <c r="BB9" s="92">
        <f t="shared" si="0"/>
        <v>2.4134242104612728E-2</v>
      </c>
      <c r="BC9"/>
    </row>
    <row r="10" spans="1:55" s="25" customFormat="1" x14ac:dyDescent="0.25">
      <c r="B10" s="141"/>
      <c r="C10" s="18">
        <v>1992</v>
      </c>
      <c r="D10" s="41">
        <f t="shared" si="4"/>
        <v>1102891.53163908</v>
      </c>
      <c r="E10" s="22">
        <v>817595.53163908015</v>
      </c>
      <c r="F10" s="21">
        <v>285296</v>
      </c>
      <c r="G10" s="20">
        <f t="shared" si="5"/>
        <v>1108117.4431937803</v>
      </c>
      <c r="H10" s="35">
        <v>822821.44319378026</v>
      </c>
      <c r="I10" s="145">
        <f t="shared" si="6"/>
        <v>5225.9115547002293</v>
      </c>
      <c r="J10" s="146">
        <f t="shared" si="7"/>
        <v>4.7383730899934074E-3</v>
      </c>
      <c r="K10" s="66"/>
      <c r="L10" s="71"/>
      <c r="AS10" s="39">
        <v>1994</v>
      </c>
      <c r="AT10" s="26">
        <v>614</v>
      </c>
      <c r="AU10" s="26">
        <v>49</v>
      </c>
      <c r="AV10" s="26">
        <v>201358.24698255115</v>
      </c>
      <c r="AW10" s="35">
        <v>378185.59599782003</v>
      </c>
      <c r="AX10" s="5">
        <v>189962.29111799999</v>
      </c>
      <c r="AY10" s="5">
        <f t="shared" si="1"/>
        <v>391320.53810055112</v>
      </c>
      <c r="AZ10" s="5">
        <f t="shared" si="2"/>
        <v>-13134.942102731089</v>
      </c>
      <c r="BA10" s="92">
        <f t="shared" si="3"/>
        <v>-3.3565685477402726E-2</v>
      </c>
      <c r="BB10" s="92">
        <f t="shared" si="0"/>
        <v>-2.2974107386428137E-2</v>
      </c>
      <c r="BC10"/>
    </row>
    <row r="11" spans="1:55" s="25" customFormat="1" x14ac:dyDescent="0.25">
      <c r="B11" s="141"/>
      <c r="C11" s="18">
        <v>1993</v>
      </c>
      <c r="D11" s="41">
        <f t="shared" si="4"/>
        <v>945275.49312553986</v>
      </c>
      <c r="E11" s="22">
        <v>586725.49312553986</v>
      </c>
      <c r="F11" s="21">
        <v>358550</v>
      </c>
      <c r="G11" s="20">
        <f t="shared" si="5"/>
        <v>963559.00959829986</v>
      </c>
      <c r="H11" s="35">
        <v>605009.00959829986</v>
      </c>
      <c r="I11" s="145">
        <f t="shared" si="6"/>
        <v>18283.516472760006</v>
      </c>
      <c r="J11" s="146">
        <f t="shared" si="7"/>
        <v>1.9341997762266978E-2</v>
      </c>
      <c r="K11" s="66"/>
      <c r="L11" s="71"/>
      <c r="AS11" s="39">
        <v>1995</v>
      </c>
      <c r="AT11" s="26">
        <v>213</v>
      </c>
      <c r="AU11" s="26">
        <v>26</v>
      </c>
      <c r="AV11" s="26">
        <v>111012.63748932931</v>
      </c>
      <c r="AW11" s="35">
        <v>293275.01606610697</v>
      </c>
      <c r="AX11" s="5">
        <v>181908.84322599997</v>
      </c>
      <c r="AY11" s="5">
        <f t="shared" si="1"/>
        <v>292921.48071532929</v>
      </c>
      <c r="AZ11" s="5">
        <f t="shared" si="2"/>
        <v>353.53535077767447</v>
      </c>
      <c r="BA11" s="92">
        <f t="shared" si="3"/>
        <v>1.2069287302328357E-3</v>
      </c>
      <c r="BB11" s="92">
        <f t="shared" si="0"/>
        <v>6.1836276476437836E-4</v>
      </c>
      <c r="BC11"/>
    </row>
    <row r="12" spans="1:55" x14ac:dyDescent="0.25">
      <c r="B12" s="141"/>
      <c r="C12" s="18">
        <v>1994</v>
      </c>
      <c r="D12" s="41">
        <f t="shared" si="4"/>
        <v>795650.9112653801</v>
      </c>
      <c r="E12" s="22">
        <v>375743.9112653801</v>
      </c>
      <c r="F12" s="21">
        <v>419907</v>
      </c>
      <c r="G12" s="20">
        <f t="shared" si="5"/>
        <v>798092.59599782003</v>
      </c>
      <c r="H12" s="35">
        <v>378185.59599782003</v>
      </c>
      <c r="I12" s="145">
        <f t="shared" si="6"/>
        <v>2441.6847324399278</v>
      </c>
      <c r="J12" s="146">
        <f t="shared" si="7"/>
        <v>3.0687889599180416E-3</v>
      </c>
      <c r="K12" s="66"/>
      <c r="L12" s="71"/>
      <c r="AS12" s="39">
        <v>1996</v>
      </c>
      <c r="AT12" s="26">
        <v>568</v>
      </c>
      <c r="AU12" s="26">
        <v>29</v>
      </c>
      <c r="AV12" s="26">
        <v>232400.42824243105</v>
      </c>
      <c r="AW12" s="35">
        <v>403610.26388088008</v>
      </c>
      <c r="AX12" s="5">
        <v>163680.01994199987</v>
      </c>
      <c r="AY12" s="5">
        <f t="shared" si="1"/>
        <v>396080.44818443095</v>
      </c>
      <c r="AZ12" s="5">
        <f t="shared" si="2"/>
        <v>7529.8156964491354</v>
      </c>
      <c r="BA12" s="92">
        <f t="shared" si="3"/>
        <v>1.9010824015587235E-2</v>
      </c>
      <c r="BB12" s="92">
        <f t="shared" si="0"/>
        <v>1.3170274604732777E-2</v>
      </c>
    </row>
    <row r="13" spans="1:55" x14ac:dyDescent="0.25">
      <c r="B13" s="141"/>
      <c r="C13" s="18">
        <v>1995</v>
      </c>
      <c r="D13" s="41">
        <f t="shared" si="4"/>
        <v>799891.03025182697</v>
      </c>
      <c r="E13" s="22">
        <v>288618.03025182697</v>
      </c>
      <c r="F13" s="21">
        <v>511273</v>
      </c>
      <c r="G13" s="20">
        <f t="shared" si="5"/>
        <v>804548.01606610697</v>
      </c>
      <c r="H13" s="35">
        <v>293275.01606610697</v>
      </c>
      <c r="I13" s="145">
        <f t="shared" si="6"/>
        <v>4656.9858142799931</v>
      </c>
      <c r="J13" s="146">
        <f t="shared" si="7"/>
        <v>5.8220252986383031E-3</v>
      </c>
      <c r="K13" s="66"/>
      <c r="L13" s="71"/>
      <c r="AS13" s="39">
        <v>1997</v>
      </c>
      <c r="AT13" s="26">
        <v>369</v>
      </c>
      <c r="AU13" s="26">
        <v>69</v>
      </c>
      <c r="AV13" s="26">
        <v>169878.52124424159</v>
      </c>
      <c r="AW13" s="35">
        <v>369992.26960576006</v>
      </c>
      <c r="AX13" s="5">
        <v>192411.910362</v>
      </c>
      <c r="AY13" s="5">
        <f t="shared" si="1"/>
        <v>362290.43160624162</v>
      </c>
      <c r="AZ13" s="5">
        <f t="shared" si="2"/>
        <v>7701.8379995184368</v>
      </c>
      <c r="BA13" s="92">
        <f t="shared" si="3"/>
        <v>2.1258739750237853E-2</v>
      </c>
      <c r="BB13" s="92">
        <f t="shared" si="0"/>
        <v>1.3471155935816307E-2</v>
      </c>
    </row>
    <row r="14" spans="1:55" x14ac:dyDescent="0.25">
      <c r="B14" s="141"/>
      <c r="C14" s="18">
        <v>1996</v>
      </c>
      <c r="D14" s="41">
        <f t="shared" si="4"/>
        <v>848711.23284702201</v>
      </c>
      <c r="E14" s="22">
        <v>378660.23284702201</v>
      </c>
      <c r="F14" s="21">
        <v>470051</v>
      </c>
      <c r="G14" s="20">
        <f t="shared" si="5"/>
        <v>873661.26388088008</v>
      </c>
      <c r="H14" s="35">
        <v>403610.26388088008</v>
      </c>
      <c r="I14" s="145">
        <f t="shared" si="6"/>
        <v>24950.031033858075</v>
      </c>
      <c r="J14" s="146">
        <f t="shared" si="7"/>
        <v>2.939755015397004E-2</v>
      </c>
      <c r="K14" s="66"/>
      <c r="L14" s="71"/>
      <c r="AS14" s="39">
        <v>1998</v>
      </c>
      <c r="AT14" s="26">
        <v>155</v>
      </c>
      <c r="AU14" s="26">
        <v>65</v>
      </c>
      <c r="AV14" s="26">
        <v>270037.05365588207</v>
      </c>
      <c r="AW14" s="35">
        <v>337749.336158399</v>
      </c>
      <c r="AX14" s="5">
        <v>134726.14834800005</v>
      </c>
      <c r="AY14" s="5">
        <f t="shared" si="1"/>
        <v>404763.20200388215</v>
      </c>
      <c r="AZ14" s="5">
        <f t="shared" si="2"/>
        <v>-67013.865845483146</v>
      </c>
      <c r="BA14" s="92">
        <f t="shared" si="3"/>
        <v>-0.16556313793772293</v>
      </c>
      <c r="BB14" s="92">
        <f t="shared" si="0"/>
        <v>-0.11721283110899285</v>
      </c>
    </row>
    <row r="15" spans="1:55" x14ac:dyDescent="0.25">
      <c r="B15" s="141"/>
      <c r="C15" s="18">
        <v>1997</v>
      </c>
      <c r="D15" s="41">
        <f t="shared" si="4"/>
        <v>960816.42836612999</v>
      </c>
      <c r="E15" s="22">
        <v>371257.42836612993</v>
      </c>
      <c r="F15" s="21">
        <v>589559</v>
      </c>
      <c r="G15" s="20">
        <f t="shared" si="5"/>
        <v>959551.26960576</v>
      </c>
      <c r="H15" s="35">
        <v>369992.26960576006</v>
      </c>
      <c r="I15" s="145">
        <f t="shared" si="6"/>
        <v>-1265.1587603699882</v>
      </c>
      <c r="J15" s="146">
        <f t="shared" si="7"/>
        <v>-1.3167538803654647E-3</v>
      </c>
      <c r="K15" s="66"/>
      <c r="L15" s="71"/>
      <c r="AS15" s="39">
        <v>1999</v>
      </c>
      <c r="AT15" s="26">
        <v>274</v>
      </c>
      <c r="AU15" s="26">
        <v>60</v>
      </c>
      <c r="AV15" s="26">
        <v>254176.77894152753</v>
      </c>
      <c r="AW15" s="35">
        <v>312267.30148508021</v>
      </c>
      <c r="AX15" s="5">
        <v>74482.168494000012</v>
      </c>
      <c r="AY15" s="5">
        <f t="shared" si="1"/>
        <v>328658.94743552757</v>
      </c>
      <c r="AZ15" s="5">
        <f t="shared" si="2"/>
        <v>-16391.645950447361</v>
      </c>
      <c r="BA15" s="92">
        <f t="shared" si="3"/>
        <v>-4.9874333494793657E-2</v>
      </c>
      <c r="BB15" s="92">
        <f t="shared" si="0"/>
        <v>-2.8670353577545368E-2</v>
      </c>
    </row>
    <row r="16" spans="1:55" x14ac:dyDescent="0.25">
      <c r="B16" s="141"/>
      <c r="C16" s="18">
        <v>1998</v>
      </c>
      <c r="D16" s="41">
        <f t="shared" si="4"/>
        <v>781471.33047937916</v>
      </c>
      <c r="E16" s="22">
        <v>337082.33047937916</v>
      </c>
      <c r="F16" s="21">
        <v>444389</v>
      </c>
      <c r="G16" s="20">
        <f t="shared" si="5"/>
        <v>782138.336158399</v>
      </c>
      <c r="H16" s="35">
        <v>337749.336158399</v>
      </c>
      <c r="I16" s="145">
        <f t="shared" si="6"/>
        <v>667.00567901984323</v>
      </c>
      <c r="J16" s="146">
        <f t="shared" si="7"/>
        <v>8.5352546280959647E-4</v>
      </c>
      <c r="K16" s="66"/>
      <c r="L16" s="71"/>
      <c r="AS16" s="39">
        <v>2000</v>
      </c>
      <c r="AT16" s="26">
        <v>196</v>
      </c>
      <c r="AU16" s="26">
        <v>27</v>
      </c>
      <c r="AV16" s="26">
        <v>147163.34663936883</v>
      </c>
      <c r="AW16" s="35">
        <v>215988.608974075</v>
      </c>
      <c r="AX16" s="5">
        <v>62474.263443999982</v>
      </c>
      <c r="AY16" s="5">
        <f t="shared" si="1"/>
        <v>209637.61008336881</v>
      </c>
      <c r="AZ16" s="5">
        <f t="shared" si="2"/>
        <v>6350.9988907061925</v>
      </c>
      <c r="BA16" s="92">
        <f t="shared" si="3"/>
        <v>3.0295131146460423E-2</v>
      </c>
      <c r="BB16" s="92">
        <f t="shared" si="0"/>
        <v>1.1108425860197125E-2</v>
      </c>
    </row>
    <row r="17" spans="1:55" x14ac:dyDescent="0.25">
      <c r="A17" s="17">
        <f>_xlfn.RANK.AVG(D17,$D$17:$D$25)</f>
        <v>7</v>
      </c>
      <c r="B17" s="141">
        <f>_xlfn.RANK.AVG(G17,$G$17:$G$25)</f>
        <v>7</v>
      </c>
      <c r="C17" s="18">
        <v>1999</v>
      </c>
      <c r="D17" s="41">
        <f t="shared" si="4"/>
        <v>613840.83165725041</v>
      </c>
      <c r="E17" s="22">
        <v>319482.83165725041</v>
      </c>
      <c r="F17" s="21">
        <v>294358</v>
      </c>
      <c r="G17" s="20">
        <f t="shared" si="5"/>
        <v>606625.30148508027</v>
      </c>
      <c r="H17" s="35">
        <v>312267.30148508021</v>
      </c>
      <c r="I17" s="145">
        <f t="shared" si="6"/>
        <v>-7215.5301721701398</v>
      </c>
      <c r="J17" s="146">
        <f t="shared" si="7"/>
        <v>-1.1754725003694552E-2</v>
      </c>
      <c r="K17" s="66"/>
      <c r="L17" s="71"/>
      <c r="M17" s="17">
        <v>1999</v>
      </c>
      <c r="AS17" s="39">
        <v>2001</v>
      </c>
      <c r="AT17" s="26">
        <v>268</v>
      </c>
      <c r="AU17" s="26">
        <v>21</v>
      </c>
      <c r="AV17" s="26">
        <v>206798.7496842788</v>
      </c>
      <c r="AW17" s="35">
        <v>298786.22876722884</v>
      </c>
      <c r="AX17" s="5">
        <v>64002.800808</v>
      </c>
      <c r="AY17" s="5">
        <f t="shared" si="1"/>
        <v>270801.55049227877</v>
      </c>
      <c r="AZ17" s="5">
        <f t="shared" si="2"/>
        <v>27984.678274950071</v>
      </c>
      <c r="BA17" s="92">
        <f t="shared" si="3"/>
        <v>0.10334017003993477</v>
      </c>
      <c r="BB17" s="92">
        <f t="shared" si="0"/>
        <v>4.8947532378514659E-2</v>
      </c>
    </row>
    <row r="18" spans="1:55" x14ac:dyDescent="0.25">
      <c r="A18" s="17">
        <f t="shared" ref="A18:A25" si="8">_xlfn.RANK.AVG(D18,$D$17:$D$25)</f>
        <v>9</v>
      </c>
      <c r="B18" s="141">
        <f t="shared" ref="B18:B25" si="9">_xlfn.RANK.AVG(G18,$G$17:$G$25)</f>
        <v>9</v>
      </c>
      <c r="C18" s="18">
        <v>2000</v>
      </c>
      <c r="D18" s="41">
        <f t="shared" si="4"/>
        <v>427576.86098667484</v>
      </c>
      <c r="E18" s="22">
        <v>215607.86098667484</v>
      </c>
      <c r="F18" s="21">
        <v>211969</v>
      </c>
      <c r="G18" s="20">
        <f t="shared" si="5"/>
        <v>427957.608974075</v>
      </c>
      <c r="H18" s="35">
        <v>215988.608974075</v>
      </c>
      <c r="I18" s="145">
        <f t="shared" si="6"/>
        <v>380.74798740015831</v>
      </c>
      <c r="J18" s="146">
        <f t="shared" si="7"/>
        <v>8.9047846630789518E-4</v>
      </c>
      <c r="K18" s="66"/>
      <c r="L18" s="71"/>
      <c r="M18" s="17">
        <v>2000</v>
      </c>
      <c r="AS18" s="39">
        <v>2002</v>
      </c>
      <c r="AT18" s="26">
        <v>423</v>
      </c>
      <c r="AU18" s="26">
        <v>55</v>
      </c>
      <c r="AV18" s="26">
        <v>328722.10182601743</v>
      </c>
      <c r="AW18" s="35">
        <v>471202.85799955396</v>
      </c>
      <c r="AX18" s="5">
        <v>98338.85056599995</v>
      </c>
      <c r="AY18" s="5">
        <f t="shared" si="1"/>
        <v>427060.95239201735</v>
      </c>
      <c r="AZ18" s="5">
        <f t="shared" si="2"/>
        <v>44141.90560753661</v>
      </c>
      <c r="BA18" s="92">
        <f t="shared" si="3"/>
        <v>0.10336207363443728</v>
      </c>
      <c r="BB18" s="92">
        <f t="shared" si="0"/>
        <v>7.7207868275129959E-2</v>
      </c>
    </row>
    <row r="19" spans="1:55" x14ac:dyDescent="0.25">
      <c r="A19" s="17">
        <f t="shared" si="8"/>
        <v>8</v>
      </c>
      <c r="B19" s="141">
        <f t="shared" si="9"/>
        <v>8</v>
      </c>
      <c r="C19" s="18">
        <v>2001</v>
      </c>
      <c r="D19" s="41">
        <f t="shared" si="4"/>
        <v>514211.49942199094</v>
      </c>
      <c r="E19" s="22">
        <v>305967.49942199094</v>
      </c>
      <c r="F19" s="21">
        <v>208244</v>
      </c>
      <c r="G19" s="20">
        <f t="shared" si="5"/>
        <v>507030.22876722884</v>
      </c>
      <c r="H19" s="35">
        <v>298786.22876722884</v>
      </c>
      <c r="I19" s="145">
        <f t="shared" si="6"/>
        <v>-7181.2706547621056</v>
      </c>
      <c r="J19" s="146">
        <f t="shared" si="7"/>
        <v>-1.396559715765662E-2</v>
      </c>
      <c r="K19" s="66"/>
      <c r="L19" s="71"/>
      <c r="M19" s="17">
        <v>2001</v>
      </c>
      <c r="AS19" s="39">
        <v>2003</v>
      </c>
      <c r="AT19" s="26">
        <v>468</v>
      </c>
      <c r="AU19" s="26">
        <v>47</v>
      </c>
      <c r="AV19" s="26">
        <v>427028.40407736006</v>
      </c>
      <c r="AW19" s="35">
        <v>532710.66305764101</v>
      </c>
      <c r="AX19" s="5">
        <v>81680.121355999974</v>
      </c>
      <c r="AY19" s="5">
        <f t="shared" si="1"/>
        <v>508708.52543336002</v>
      </c>
      <c r="AZ19" s="5">
        <f t="shared" si="2"/>
        <v>24002.137624280993</v>
      </c>
      <c r="BA19" s="92">
        <f t="shared" si="3"/>
        <v>4.7182495327425439E-2</v>
      </c>
      <c r="BB19" s="92">
        <f t="shared" si="0"/>
        <v>4.1981737184011096E-2</v>
      </c>
    </row>
    <row r="20" spans="1:55" x14ac:dyDescent="0.25">
      <c r="A20" s="17">
        <f t="shared" si="8"/>
        <v>6</v>
      </c>
      <c r="B20" s="141">
        <f t="shared" si="9"/>
        <v>6</v>
      </c>
      <c r="C20" s="18">
        <v>2002</v>
      </c>
      <c r="D20" s="41">
        <f t="shared" si="4"/>
        <v>663509.47632474406</v>
      </c>
      <c r="E20" s="22">
        <v>472318.47632474406</v>
      </c>
      <c r="F20" s="21">
        <v>191191</v>
      </c>
      <c r="G20" s="20">
        <f t="shared" si="5"/>
        <v>662393.8579995539</v>
      </c>
      <c r="H20" s="35">
        <v>471202.85799955396</v>
      </c>
      <c r="I20" s="145">
        <f t="shared" si="6"/>
        <v>-1115.618325190153</v>
      </c>
      <c r="J20" s="146">
        <f t="shared" si="7"/>
        <v>-1.6813901910937162E-3</v>
      </c>
      <c r="K20" s="66"/>
      <c r="L20" s="71"/>
      <c r="M20" s="17">
        <v>2002</v>
      </c>
      <c r="AS20" s="39">
        <v>2004</v>
      </c>
      <c r="AT20" s="26">
        <v>614</v>
      </c>
      <c r="AU20" s="26">
        <v>61</v>
      </c>
      <c r="AV20" s="26">
        <v>412526.59081292292</v>
      </c>
      <c r="AW20" s="35">
        <v>552772.11011086695</v>
      </c>
      <c r="AX20" s="5">
        <v>149473.84209399996</v>
      </c>
      <c r="AY20" s="5">
        <f t="shared" si="1"/>
        <v>562000.43290692288</v>
      </c>
      <c r="AZ20" s="5">
        <f t="shared" si="2"/>
        <v>-9228.3227960559307</v>
      </c>
      <c r="BA20" s="92">
        <f t="shared" si="3"/>
        <v>-1.6420490547174191E-2</v>
      </c>
      <c r="BB20" s="92">
        <f t="shared" si="0"/>
        <v>-1.614110494397451E-2</v>
      </c>
    </row>
    <row r="21" spans="1:55" x14ac:dyDescent="0.25">
      <c r="A21" s="17">
        <f t="shared" si="8"/>
        <v>4</v>
      </c>
      <c r="B21" s="141">
        <f t="shared" si="9"/>
        <v>4</v>
      </c>
      <c r="C21" s="18">
        <v>2003</v>
      </c>
      <c r="D21" s="41">
        <f t="shared" si="4"/>
        <v>717715.06007700309</v>
      </c>
      <c r="E21" s="22">
        <v>531528.06007700309</v>
      </c>
      <c r="F21" s="21">
        <v>186187</v>
      </c>
      <c r="G21" s="20">
        <f t="shared" si="5"/>
        <v>718897.66305764101</v>
      </c>
      <c r="H21" s="35">
        <v>532710.66305764101</v>
      </c>
      <c r="I21" s="145">
        <f t="shared" si="6"/>
        <v>1182.6029806379229</v>
      </c>
      <c r="J21" s="146">
        <f t="shared" si="7"/>
        <v>1.6477332668915186E-3</v>
      </c>
      <c r="K21" s="66"/>
      <c r="L21" s="71"/>
      <c r="M21" s="17">
        <v>2003</v>
      </c>
      <c r="AS21" s="39">
        <v>2005</v>
      </c>
      <c r="AT21" s="26">
        <v>287</v>
      </c>
      <c r="AU21" s="26">
        <v>54</v>
      </c>
      <c r="AV21" s="26">
        <v>270310.02897340961</v>
      </c>
      <c r="AW21" s="35">
        <v>396775.9882821074</v>
      </c>
      <c r="AX21" s="5">
        <v>114220.61259799996</v>
      </c>
      <c r="AY21" s="5">
        <f t="shared" si="1"/>
        <v>384530.64157140959</v>
      </c>
      <c r="AZ21" s="5">
        <f t="shared" si="2"/>
        <v>12245.346710697806</v>
      </c>
      <c r="BA21" s="92">
        <f t="shared" si="3"/>
        <v>3.1844917899536945E-2</v>
      </c>
      <c r="BB21" s="92">
        <f t="shared" si="0"/>
        <v>2.1418130975782615E-2</v>
      </c>
    </row>
    <row r="22" spans="1:55" x14ac:dyDescent="0.25">
      <c r="A22" s="17">
        <f t="shared" si="8"/>
        <v>2</v>
      </c>
      <c r="B22" s="141">
        <f t="shared" si="9"/>
        <v>2</v>
      </c>
      <c r="C22" s="18">
        <v>2004</v>
      </c>
      <c r="D22" s="41">
        <f t="shared" si="4"/>
        <v>817916.047895442</v>
      </c>
      <c r="E22" s="22">
        <v>551843.047895442</v>
      </c>
      <c r="F22" s="21">
        <v>266073</v>
      </c>
      <c r="G22" s="20">
        <f t="shared" si="5"/>
        <v>818845.11011086695</v>
      </c>
      <c r="H22" s="35">
        <v>552772.11011086695</v>
      </c>
      <c r="I22" s="145">
        <f t="shared" si="6"/>
        <v>929.06221542495769</v>
      </c>
      <c r="J22" s="146">
        <f t="shared" si="7"/>
        <v>1.1358894568892527E-3</v>
      </c>
      <c r="K22" s="66"/>
      <c r="L22" s="71"/>
      <c r="M22" s="17">
        <v>2004</v>
      </c>
      <c r="AS22" s="39">
        <v>2006</v>
      </c>
      <c r="AT22" s="26">
        <v>358</v>
      </c>
      <c r="AU22" s="26">
        <v>44</v>
      </c>
      <c r="AV22" s="26">
        <v>430475.91776054876</v>
      </c>
      <c r="AW22" s="35">
        <v>509130.16056882084</v>
      </c>
      <c r="AX22" s="5">
        <v>82523.645407999982</v>
      </c>
      <c r="AY22" s="5">
        <f t="shared" si="1"/>
        <v>512999.56316854875</v>
      </c>
      <c r="AZ22" s="5">
        <f t="shared" si="2"/>
        <v>-3869.4025997279095</v>
      </c>
      <c r="BA22" s="92">
        <f t="shared" si="3"/>
        <v>-7.5427015489613518E-3</v>
      </c>
      <c r="BB22" s="92">
        <f t="shared" si="0"/>
        <v>-6.7679073232450298E-3</v>
      </c>
    </row>
    <row r="23" spans="1:55" x14ac:dyDescent="0.25">
      <c r="A23" s="17">
        <f t="shared" si="8"/>
        <v>5</v>
      </c>
      <c r="B23" s="141">
        <f t="shared" si="9"/>
        <v>5</v>
      </c>
      <c r="C23" s="18">
        <v>2005</v>
      </c>
      <c r="D23" s="41">
        <f t="shared" si="4"/>
        <v>694659.0769789489</v>
      </c>
      <c r="E23" s="22">
        <v>402774.07697894884</v>
      </c>
      <c r="F23" s="21">
        <v>291885</v>
      </c>
      <c r="G23" s="20">
        <f t="shared" si="5"/>
        <v>688660.9882821074</v>
      </c>
      <c r="H23" s="35">
        <v>396775.9882821074</v>
      </c>
      <c r="I23" s="145">
        <f t="shared" si="6"/>
        <v>-5998.0886968414998</v>
      </c>
      <c r="J23" s="146">
        <f t="shared" si="7"/>
        <v>-8.6345790267752694E-3</v>
      </c>
      <c r="K23" s="66"/>
      <c r="L23" s="71"/>
      <c r="M23" s="17">
        <v>2005</v>
      </c>
      <c r="AS23" s="39">
        <v>2007</v>
      </c>
      <c r="AT23" s="26">
        <v>463</v>
      </c>
      <c r="AU23" s="26">
        <v>131</v>
      </c>
      <c r="AV23" s="26">
        <v>662649.18067947112</v>
      </c>
      <c r="AW23" s="35">
        <v>807142.91730393877</v>
      </c>
      <c r="AX23" s="5">
        <v>133286.19401639997</v>
      </c>
      <c r="AY23" s="5">
        <f t="shared" si="1"/>
        <v>795935.37469587103</v>
      </c>
      <c r="AZ23" s="5">
        <f t="shared" si="2"/>
        <v>11207.542608067743</v>
      </c>
      <c r="BA23" s="92">
        <f t="shared" si="3"/>
        <v>1.4080970596827882E-2</v>
      </c>
      <c r="BB23" s="92">
        <f t="shared" si="0"/>
        <v>1.9602925190068395E-2</v>
      </c>
    </row>
    <row r="24" spans="1:55" x14ac:dyDescent="0.25">
      <c r="A24" s="17">
        <f t="shared" si="8"/>
        <v>3</v>
      </c>
      <c r="B24" s="141">
        <f t="shared" si="9"/>
        <v>3</v>
      </c>
      <c r="C24" s="18">
        <v>2006</v>
      </c>
      <c r="D24" s="41">
        <f t="shared" si="4"/>
        <v>735129.23249664786</v>
      </c>
      <c r="E24" s="22">
        <v>485845.23249664792</v>
      </c>
      <c r="F24" s="21">
        <v>249284</v>
      </c>
      <c r="G24" s="20">
        <f t="shared" si="5"/>
        <v>758414.16056882078</v>
      </c>
      <c r="H24" s="35">
        <v>509130.16056882084</v>
      </c>
      <c r="I24" s="145">
        <f t="shared" si="6"/>
        <v>23284.928072172916</v>
      </c>
      <c r="J24" s="146">
        <f t="shared" si="7"/>
        <v>3.1674605012090976E-2</v>
      </c>
      <c r="K24" s="66"/>
      <c r="L24" s="71"/>
      <c r="M24" s="17">
        <v>2006</v>
      </c>
      <c r="AS24" s="39">
        <v>2008</v>
      </c>
      <c r="AT24" s="26">
        <v>370</v>
      </c>
      <c r="AU24" s="26">
        <v>110</v>
      </c>
      <c r="AV24" s="26">
        <v>747247.64217639796</v>
      </c>
      <c r="AW24" s="35">
        <v>840818.41984928434</v>
      </c>
      <c r="AX24" s="5">
        <v>90624.333468400044</v>
      </c>
      <c r="AY24" s="5">
        <f t="shared" si="1"/>
        <v>837871.97564479802</v>
      </c>
      <c r="AZ24" s="5">
        <f t="shared" si="2"/>
        <v>2946.4442044863245</v>
      </c>
      <c r="BA24" s="92">
        <f t="shared" si="3"/>
        <v>3.5165804444274918E-3</v>
      </c>
      <c r="BB24" s="92">
        <f t="shared" si="0"/>
        <v>5.1535762420995192E-3</v>
      </c>
    </row>
    <row r="25" spans="1:55" x14ac:dyDescent="0.25">
      <c r="A25" s="17">
        <f t="shared" si="8"/>
        <v>1</v>
      </c>
      <c r="B25" s="141">
        <f t="shared" si="9"/>
        <v>1</v>
      </c>
      <c r="C25" s="18">
        <v>2007</v>
      </c>
      <c r="D25" s="41">
        <f t="shared" si="4"/>
        <v>1160691.3493053392</v>
      </c>
      <c r="E25" s="22">
        <v>820203.34930533927</v>
      </c>
      <c r="F25" s="21">
        <v>340488</v>
      </c>
      <c r="G25" s="20">
        <f t="shared" si="5"/>
        <v>1147630.9173039389</v>
      </c>
      <c r="H25" s="35">
        <v>807142.91730393877</v>
      </c>
      <c r="I25" s="145">
        <f t="shared" si="6"/>
        <v>-13060.432001400273</v>
      </c>
      <c r="J25" s="146">
        <f t="shared" si="7"/>
        <v>-1.1252286845436383E-2</v>
      </c>
      <c r="K25" s="66"/>
      <c r="L25" s="71"/>
      <c r="M25" s="17">
        <v>2007</v>
      </c>
      <c r="AS25" s="39">
        <v>2009</v>
      </c>
      <c r="AT25" s="26">
        <v>628</v>
      </c>
      <c r="AU25" s="26">
        <v>179</v>
      </c>
      <c r="AV25" s="26">
        <v>1010266.8988198938</v>
      </c>
      <c r="AW25" s="35">
        <v>1021214.9796758845</v>
      </c>
      <c r="AX25" s="5">
        <v>128656.27607839995</v>
      </c>
      <c r="AY25" s="5">
        <f t="shared" si="1"/>
        <v>1138923.1748982938</v>
      </c>
      <c r="AZ25" s="5">
        <f t="shared" si="2"/>
        <v>-117708.19522240933</v>
      </c>
      <c r="BA25" s="92">
        <f t="shared" si="3"/>
        <v>-0.10335042592571769</v>
      </c>
      <c r="BB25" s="92">
        <f t="shared" si="0"/>
        <v>-0.20588143412828586</v>
      </c>
    </row>
    <row r="26" spans="1:55" x14ac:dyDescent="0.25">
      <c r="B26" s="141"/>
      <c r="C26" s="18">
        <v>2008</v>
      </c>
      <c r="D26" s="41">
        <f t="shared" si="4"/>
        <v>1152518.1693887189</v>
      </c>
      <c r="E26" s="22">
        <v>818075.16938871902</v>
      </c>
      <c r="F26" s="21">
        <v>334443</v>
      </c>
      <c r="G26" s="20">
        <f t="shared" si="5"/>
        <v>1175261.4198492845</v>
      </c>
      <c r="H26" s="35">
        <v>840818.41984928434</v>
      </c>
      <c r="I26" s="145">
        <f t="shared" si="6"/>
        <v>22743.250460565556</v>
      </c>
      <c r="J26" s="146">
        <f t="shared" si="7"/>
        <v>1.9733528776061108E-2</v>
      </c>
      <c r="K26" s="66"/>
      <c r="L26" s="71"/>
      <c r="AS26" s="39">
        <v>2010</v>
      </c>
      <c r="AT26" s="26">
        <v>914</v>
      </c>
      <c r="AU26" s="26">
        <v>189</v>
      </c>
      <c r="AV26" s="26">
        <v>757559.46715800848</v>
      </c>
      <c r="AW26" s="35">
        <v>852061.00808872539</v>
      </c>
      <c r="AX26" s="5">
        <v>152559.72433019991</v>
      </c>
      <c r="AY26" s="5">
        <f t="shared" si="1"/>
        <v>910119.19148820837</v>
      </c>
      <c r="AZ26" s="5">
        <f t="shared" si="2"/>
        <v>-58058.183399482979</v>
      </c>
      <c r="BA26" s="92">
        <f t="shared" si="3"/>
        <v>-6.3791846103747593E-2</v>
      </c>
      <c r="BB26" s="92">
        <f t="shared" si="0"/>
        <v>-0.10154859683799619</v>
      </c>
    </row>
    <row r="27" spans="1:55" x14ac:dyDescent="0.25">
      <c r="B27" s="141"/>
      <c r="C27" s="18">
        <v>2009</v>
      </c>
      <c r="D27" s="41">
        <f t="shared" si="4"/>
        <v>1381040.2605149145</v>
      </c>
      <c r="E27" s="22">
        <v>1006913.2605149145</v>
      </c>
      <c r="F27" s="21">
        <v>374127</v>
      </c>
      <c r="G27" s="20">
        <f t="shared" si="5"/>
        <v>1395341.9796758844</v>
      </c>
      <c r="H27" s="35">
        <v>1021214.9796758845</v>
      </c>
      <c r="I27" s="145">
        <f t="shared" si="6"/>
        <v>14301.719160969835</v>
      </c>
      <c r="J27" s="146">
        <f t="shared" si="7"/>
        <v>1.0355758314849927E-2</v>
      </c>
      <c r="K27" s="66"/>
      <c r="L27" s="71"/>
      <c r="AS27" s="39">
        <v>2011</v>
      </c>
      <c r="AT27" s="26">
        <v>858</v>
      </c>
      <c r="AU27" s="26">
        <v>110</v>
      </c>
      <c r="AV27" s="26">
        <v>535034.35782804992</v>
      </c>
      <c r="AW27" s="35">
        <v>658376.51713513082</v>
      </c>
      <c r="AX27" s="5">
        <v>125600.48001839999</v>
      </c>
      <c r="AY27" s="5">
        <f t="shared" si="1"/>
        <v>660634.83784644993</v>
      </c>
      <c r="AZ27" s="5">
        <f t="shared" si="2"/>
        <v>-2258.320711319102</v>
      </c>
      <c r="BA27" s="92">
        <f t="shared" si="3"/>
        <v>-3.4184099625760261E-3</v>
      </c>
      <c r="BB27" s="92">
        <f t="shared" si="0"/>
        <v>-3.9499909576344496E-3</v>
      </c>
    </row>
    <row r="28" spans="1:55" x14ac:dyDescent="0.25">
      <c r="C28" s="18">
        <v>2010</v>
      </c>
      <c r="D28" s="41">
        <f t="shared" si="4"/>
        <v>1310945.3471932996</v>
      </c>
      <c r="E28" s="22">
        <v>839159.34719329956</v>
      </c>
      <c r="F28" s="21">
        <v>471786</v>
      </c>
      <c r="G28" s="20">
        <f t="shared" si="5"/>
        <v>1323847.0080887254</v>
      </c>
      <c r="H28" s="35">
        <v>852061.00808872539</v>
      </c>
      <c r="I28" s="145">
        <f t="shared" si="6"/>
        <v>12901.660895425826</v>
      </c>
      <c r="J28" s="146">
        <f t="shared" si="7"/>
        <v>9.8414940966440375E-3</v>
      </c>
      <c r="K28" s="66"/>
      <c r="L28" s="71"/>
      <c r="AS28" s="39">
        <v>2012</v>
      </c>
      <c r="AT28" s="26">
        <v>1028</v>
      </c>
      <c r="AU28" s="26">
        <v>75</v>
      </c>
      <c r="AV28" s="26">
        <v>365182.69795158843</v>
      </c>
      <c r="AW28" s="35">
        <v>472237.37987435813</v>
      </c>
      <c r="AX28" s="5">
        <v>116407.5846164</v>
      </c>
      <c r="AY28" s="5">
        <f t="shared" si="1"/>
        <v>481590.28256798844</v>
      </c>
      <c r="AZ28" s="5">
        <f t="shared" si="2"/>
        <v>-9352.9026936303126</v>
      </c>
      <c r="BA28" s="92">
        <f t="shared" si="3"/>
        <v>-1.9420870877538767E-2</v>
      </c>
      <c r="BB28" s="92">
        <f t="shared" si="0"/>
        <v>-1.6359005557671846E-2</v>
      </c>
    </row>
    <row r="29" spans="1:55" x14ac:dyDescent="0.25">
      <c r="C29" s="18">
        <v>2011</v>
      </c>
      <c r="D29" s="41">
        <f t="shared" si="4"/>
        <v>1174963.4028382609</v>
      </c>
      <c r="E29" s="22">
        <v>651967.40283826098</v>
      </c>
      <c r="F29" s="21">
        <v>522996</v>
      </c>
      <c r="G29" s="20">
        <f t="shared" si="5"/>
        <v>1181372.5171351307</v>
      </c>
      <c r="H29" s="35">
        <v>658376.51713513082</v>
      </c>
      <c r="I29" s="145">
        <f t="shared" si="6"/>
        <v>6409.1142968698405</v>
      </c>
      <c r="J29" s="146">
        <f t="shared" si="7"/>
        <v>5.4547352550623103E-3</v>
      </c>
      <c r="K29" s="66"/>
      <c r="L29" s="71"/>
      <c r="AS29" s="39">
        <v>2013</v>
      </c>
      <c r="AT29" s="26">
        <v>969</v>
      </c>
      <c r="AU29" s="26">
        <v>108</v>
      </c>
      <c r="AV29" s="26">
        <v>544273.19284158689</v>
      </c>
      <c r="AW29" s="35">
        <v>627920.23814997252</v>
      </c>
      <c r="AX29" s="5">
        <v>121232.45974199998</v>
      </c>
      <c r="AY29" s="5">
        <f t="shared" si="1"/>
        <v>665505.65258358687</v>
      </c>
      <c r="AZ29" s="5">
        <f t="shared" si="2"/>
        <v>-37585.414433614351</v>
      </c>
      <c r="BA29" s="92">
        <f t="shared" si="3"/>
        <v>-5.6476476627512429E-2</v>
      </c>
      <c r="BB29" s="92">
        <f t="shared" si="0"/>
        <v>-6.5740019301776767E-2</v>
      </c>
    </row>
    <row r="30" spans="1:55" s="17" customFormat="1" x14ac:dyDescent="0.25">
      <c r="C30" s="18">
        <v>2012</v>
      </c>
      <c r="D30" s="41">
        <f t="shared" si="4"/>
        <v>788946.49723091803</v>
      </c>
      <c r="E30" s="22">
        <v>471800.49723091803</v>
      </c>
      <c r="F30" s="21">
        <v>317146</v>
      </c>
      <c r="G30" s="20">
        <f t="shared" si="5"/>
        <v>789383.37987435819</v>
      </c>
      <c r="H30" s="35">
        <v>472237.37987435813</v>
      </c>
      <c r="I30" s="145">
        <f t="shared" si="6"/>
        <v>436.88264344015624</v>
      </c>
      <c r="J30" s="146">
        <f t="shared" si="7"/>
        <v>5.5375446240467222E-4</v>
      </c>
      <c r="K30" s="67">
        <f>VLOOKUP(VLOOKUP(3,$A$17:$C$25,3,FALSE),$C$17:$D$25,2,FALSE)</f>
        <v>735129.23249664786</v>
      </c>
      <c r="L30" s="72">
        <f>VLOOKUP(VLOOKUP(3,$B$17:$C$25,2,FALSE),$C$17:$G$25,5,FALSE)</f>
        <v>758414.16056882078</v>
      </c>
      <c r="AS30" s="39">
        <v>2014</v>
      </c>
      <c r="AT30" s="26">
        <v>1210</v>
      </c>
      <c r="AU30" s="26">
        <v>122</v>
      </c>
      <c r="AV30" s="26">
        <v>859901.49213419331</v>
      </c>
      <c r="AW30" s="35">
        <v>993060.60401296883</v>
      </c>
      <c r="AX30" s="5">
        <v>113271.87621559996</v>
      </c>
      <c r="AY30" s="5">
        <f t="shared" si="1"/>
        <v>973173.36834979325</v>
      </c>
      <c r="AZ30" s="5">
        <f t="shared" si="2"/>
        <v>19887.235663175583</v>
      </c>
      <c r="BA30" s="92">
        <f t="shared" si="3"/>
        <v>2.0435449951634311E-2</v>
      </c>
      <c r="BB30" s="92">
        <f t="shared" si="0"/>
        <v>3.4784431036814382E-2</v>
      </c>
      <c r="BC30"/>
    </row>
    <row r="31" spans="1:55" x14ac:dyDescent="0.25">
      <c r="C31" s="18">
        <v>2013</v>
      </c>
      <c r="D31" s="41">
        <f t="shared" si="4"/>
        <v>992861.92080652213</v>
      </c>
      <c r="E31" s="22">
        <v>660799.92080652213</v>
      </c>
      <c r="F31" s="21">
        <v>332062</v>
      </c>
      <c r="G31" s="20">
        <f t="shared" si="5"/>
        <v>959982.23814997252</v>
      </c>
      <c r="H31" s="35">
        <v>627920.23814997252</v>
      </c>
      <c r="I31" s="145">
        <f t="shared" si="6"/>
        <v>-32879.682656549616</v>
      </c>
      <c r="J31" s="146">
        <f t="shared" si="7"/>
        <v>-3.3116067770874696E-2</v>
      </c>
      <c r="K31" s="67">
        <f t="shared" ref="K31:K32" si="10">VLOOKUP(VLOOKUP(3,$A$17:$C$25,3,FALSE),$C$17:$D$25,2,FALSE)</f>
        <v>735129.23249664786</v>
      </c>
      <c r="L31" s="72">
        <f t="shared" ref="L31:L32" si="11">VLOOKUP(VLOOKUP(3,$B$17:$C$25,2,FALSE),$C$17:$G$25,5,FALSE)</f>
        <v>758414.16056882078</v>
      </c>
      <c r="AS31" s="39">
        <v>2015</v>
      </c>
      <c r="AT31" s="26">
        <v>554</v>
      </c>
      <c r="AU31" s="26">
        <v>17</v>
      </c>
      <c r="AV31" s="26">
        <v>468029.10440959776</v>
      </c>
      <c r="AW31" s="35">
        <v>571155.6453042716</v>
      </c>
      <c r="AX31" s="5">
        <v>109599.84595440002</v>
      </c>
      <c r="AY31" s="5">
        <f t="shared" si="1"/>
        <v>577628.95036399784</v>
      </c>
      <c r="AZ31" s="5">
        <f t="shared" si="2"/>
        <v>-6473.3050597262336</v>
      </c>
      <c r="BA31" s="92">
        <f t="shared" si="3"/>
        <v>-1.120668390261088E-2</v>
      </c>
      <c r="BB31" s="92">
        <f t="shared" si="0"/>
        <v>-1.1322349533336485E-2</v>
      </c>
    </row>
    <row r="32" spans="1:55" x14ac:dyDescent="0.25">
      <c r="C32" s="18">
        <v>2014</v>
      </c>
      <c r="D32" s="41">
        <f t="shared" si="4"/>
        <v>1233977.010901903</v>
      </c>
      <c r="E32" s="22">
        <v>971321.01090190304</v>
      </c>
      <c r="F32" s="21">
        <v>262656</v>
      </c>
      <c r="G32" s="20">
        <f t="shared" si="5"/>
        <v>1255716.6040129689</v>
      </c>
      <c r="H32" s="35">
        <v>993060.60401296883</v>
      </c>
      <c r="I32" s="145">
        <f t="shared" si="6"/>
        <v>21739.593111065915</v>
      </c>
      <c r="J32" s="146">
        <f t="shared" si="7"/>
        <v>1.7617502529627061E-2</v>
      </c>
      <c r="K32" s="67">
        <f t="shared" si="10"/>
        <v>735129.23249664786</v>
      </c>
      <c r="L32" s="72">
        <f t="shared" si="11"/>
        <v>758414.16056882078</v>
      </c>
      <c r="AS32" s="39">
        <v>2016</v>
      </c>
      <c r="AT32" s="26">
        <v>985</v>
      </c>
      <c r="AU32" s="26">
        <v>88</v>
      </c>
      <c r="AV32" s="26">
        <v>1427956.3664024784</v>
      </c>
      <c r="AW32" s="35">
        <v>1469596.7531590499</v>
      </c>
      <c r="AX32" s="5">
        <v>80412.809250599996</v>
      </c>
      <c r="AY32" s="5">
        <f t="shared" si="1"/>
        <v>1508369.1756530784</v>
      </c>
      <c r="AZ32" s="5">
        <f t="shared" si="2"/>
        <v>-38772.422494028462</v>
      </c>
      <c r="BA32" s="92">
        <f t="shared" si="3"/>
        <v>-2.5704862655550602E-2</v>
      </c>
      <c r="BB32" s="92">
        <f t="shared" si="0"/>
        <v>-6.7816195232757032E-2</v>
      </c>
    </row>
    <row r="33" spans="3:55" s="17" customFormat="1" x14ac:dyDescent="0.25">
      <c r="C33" s="18">
        <v>2015</v>
      </c>
      <c r="D33" s="41">
        <f t="shared" si="4"/>
        <v>903518.76670719136</v>
      </c>
      <c r="E33" s="22">
        <v>591570.76670719136</v>
      </c>
      <c r="F33" s="21">
        <v>311948</v>
      </c>
      <c r="G33" s="20">
        <f t="shared" si="5"/>
        <v>883103.6453042716</v>
      </c>
      <c r="H33" s="35">
        <v>571155.6453042716</v>
      </c>
      <c r="I33" s="145">
        <f t="shared" si="6"/>
        <v>-20415.121402919758</v>
      </c>
      <c r="J33" s="146">
        <f t="shared" si="7"/>
        <v>-2.259512713534572E-2</v>
      </c>
      <c r="K33" s="67">
        <f>$P$41</f>
        <v>1015604.9306421716</v>
      </c>
      <c r="L33" s="72">
        <f>$Q$41</f>
        <v>1004177.0526409463</v>
      </c>
      <c r="O33" s="365" t="s">
        <v>74</v>
      </c>
      <c r="P33" s="365"/>
      <c r="Q33" s="365"/>
      <c r="AS33" s="39">
        <v>2017</v>
      </c>
      <c r="AT33" s="26">
        <v>1488</v>
      </c>
      <c r="AU33" s="26">
        <v>100</v>
      </c>
      <c r="AV33" s="26">
        <v>834838.01186581317</v>
      </c>
      <c r="AW33" s="35">
        <v>923442.42826093582</v>
      </c>
      <c r="AX33" s="5">
        <v>86648.231547999982</v>
      </c>
      <c r="AY33" s="5">
        <f t="shared" si="1"/>
        <v>921486.24341381318</v>
      </c>
      <c r="AZ33" s="5">
        <f t="shared" si="2"/>
        <v>1956.1848471226403</v>
      </c>
      <c r="BA33" s="92">
        <f t="shared" si="3"/>
        <v>2.1228584377728727E-3</v>
      </c>
      <c r="BB33" s="92">
        <f t="shared" si="0"/>
        <v>3.4215301745528473E-3</v>
      </c>
      <c r="BC33"/>
    </row>
    <row r="34" spans="3:55" s="17" customFormat="1" x14ac:dyDescent="0.25">
      <c r="C34" s="18">
        <v>2016</v>
      </c>
      <c r="D34" s="41">
        <f t="shared" si="4"/>
        <v>1735842.3367461364</v>
      </c>
      <c r="E34" s="22">
        <v>1455555.3367461364</v>
      </c>
      <c r="F34" s="21">
        <v>280287</v>
      </c>
      <c r="G34" s="20">
        <f t="shared" si="5"/>
        <v>1749883.7531590499</v>
      </c>
      <c r="H34" s="35">
        <v>1469596.7531590499</v>
      </c>
      <c r="I34" s="145">
        <f t="shared" si="6"/>
        <v>14041.416412913473</v>
      </c>
      <c r="J34" s="146">
        <f t="shared" si="7"/>
        <v>8.0891081613058986E-3</v>
      </c>
      <c r="K34" s="67">
        <f t="shared" ref="K34:K35" si="12">$P$41</f>
        <v>1015604.9306421716</v>
      </c>
      <c r="L34" s="72">
        <f t="shared" ref="L34:L35" si="13">$Q$41</f>
        <v>1004177.0526409463</v>
      </c>
      <c r="O34" s="62" t="s">
        <v>56</v>
      </c>
      <c r="P34" s="62" t="s">
        <v>75</v>
      </c>
      <c r="Q34" s="62" t="s">
        <v>76</v>
      </c>
      <c r="AS34"/>
      <c r="AT34"/>
      <c r="AU34"/>
      <c r="AV34"/>
      <c r="AW34"/>
      <c r="AX34"/>
      <c r="AY34" s="5">
        <f>AVERAGE(AY2:AY33)</f>
        <v>571728.07116286503</v>
      </c>
      <c r="AZ34"/>
      <c r="BA34"/>
      <c r="BB34"/>
      <c r="BC34"/>
    </row>
    <row r="35" spans="3:55" x14ac:dyDescent="0.25">
      <c r="C35" s="18">
        <v>2017</v>
      </c>
      <c r="D35" s="41">
        <f t="shared" si="4"/>
        <v>1163235.3325254661</v>
      </c>
      <c r="E35" s="22">
        <v>918014.33252546599</v>
      </c>
      <c r="F35" s="21">
        <v>245221</v>
      </c>
      <c r="G35" s="20">
        <f t="shared" si="5"/>
        <v>1168663.4282609359</v>
      </c>
      <c r="H35" s="35">
        <v>923442.42826093582</v>
      </c>
      <c r="I35" s="145">
        <f t="shared" si="6"/>
        <v>5428.095735469833</v>
      </c>
      <c r="J35" s="146">
        <f t="shared" si="7"/>
        <v>4.666377975026819E-3</v>
      </c>
      <c r="K35" s="67">
        <f t="shared" si="12"/>
        <v>1015604.9306421716</v>
      </c>
      <c r="L35" s="72">
        <f t="shared" si="13"/>
        <v>1004177.0526409463</v>
      </c>
      <c r="O35" s="49" t="s">
        <v>57</v>
      </c>
      <c r="P35" s="49" t="s">
        <v>73</v>
      </c>
      <c r="Q35" s="49" t="s">
        <v>73</v>
      </c>
    </row>
    <row r="36" spans="3:55" x14ac:dyDescent="0.25">
      <c r="C36" s="61" t="s">
        <v>71</v>
      </c>
      <c r="D36" s="5">
        <f>AVERAGE(D17:D25)</f>
        <v>705027.71501600463</v>
      </c>
      <c r="E36" s="19"/>
      <c r="F36" s="5"/>
      <c r="G36" s="5">
        <f>AVERAGE(G17:G25)</f>
        <v>704050.6485054791</v>
      </c>
      <c r="H36" s="5"/>
      <c r="I36" s="5"/>
      <c r="J36" s="5"/>
      <c r="K36" s="63"/>
      <c r="L36" s="63"/>
      <c r="O36" s="49" t="s">
        <v>52</v>
      </c>
      <c r="P36" s="49">
        <v>1.25</v>
      </c>
      <c r="Q36" s="49">
        <f>VLOOKUP(Q35,'ORCS Categories'!$A$5:$C$9,2,FALSE)</f>
        <v>1.25</v>
      </c>
    </row>
    <row r="37" spans="3:55" ht="14.45" customHeight="1" x14ac:dyDescent="0.25">
      <c r="C37" s="61" t="s">
        <v>47</v>
      </c>
      <c r="D37" s="5">
        <f>AVERAGE(D30:D32)</f>
        <v>1005261.8096464478</v>
      </c>
      <c r="F37" s="5"/>
      <c r="G37" s="5">
        <f>AVERAGE(G30:G32)</f>
        <v>1001694.0740124332</v>
      </c>
      <c r="H37" s="5"/>
      <c r="I37" s="5"/>
      <c r="J37" s="5"/>
      <c r="L37" s="17"/>
      <c r="O37" s="49" t="s">
        <v>53</v>
      </c>
      <c r="P37" s="49" t="s">
        <v>54</v>
      </c>
      <c r="Q37" s="49" t="s">
        <v>54</v>
      </c>
    </row>
    <row r="38" spans="3:55" s="17" customFormat="1" ht="14.45" customHeight="1" x14ac:dyDescent="0.25">
      <c r="C38" s="363" t="s">
        <v>69</v>
      </c>
      <c r="D38" s="364">
        <f>D37/D36</f>
        <v>1.4258472230749504</v>
      </c>
      <c r="G38" s="364">
        <f>G37/G36</f>
        <v>1.4227585417878323</v>
      </c>
      <c r="O38" s="49" t="s">
        <v>58</v>
      </c>
      <c r="P38" s="49" t="e">
        <f>VLOOKUP(Q39,D17:M25,10,FALSE)</f>
        <v>#N/A</v>
      </c>
      <c r="Q38" s="49">
        <f>VLOOKUP(Q39,G17:M25,7,FALSE)</f>
        <v>2007</v>
      </c>
    </row>
    <row r="39" spans="3:55" s="17" customFormat="1" ht="14.45" customHeight="1" x14ac:dyDescent="0.25">
      <c r="C39" s="363"/>
      <c r="D39" s="364"/>
      <c r="E39" s="61"/>
      <c r="G39" s="364"/>
      <c r="O39" s="49" t="s">
        <v>55</v>
      </c>
      <c r="P39" s="24">
        <f>MAX(D17:D25)</f>
        <v>1160691.3493053392</v>
      </c>
      <c r="Q39" s="24">
        <f>MAX(G17:G25)</f>
        <v>1147630.9173039389</v>
      </c>
    </row>
    <row r="40" spans="3:55" x14ac:dyDescent="0.25">
      <c r="C40" s="5" t="s">
        <v>71</v>
      </c>
      <c r="D40" s="5">
        <f>AVERAGE(D17:D25)</f>
        <v>705027.71501600463</v>
      </c>
      <c r="E40" s="5"/>
      <c r="G40" s="5">
        <f>AVERAGE(G17:G25)</f>
        <v>704050.6485054791</v>
      </c>
      <c r="L40" s="17"/>
      <c r="O40" s="49" t="s">
        <v>59</v>
      </c>
      <c r="P40" s="49">
        <v>0.7</v>
      </c>
      <c r="Q40" s="49">
        <f>VLOOKUP(Q35,'ORCS Categories'!$A$5:$C$9,3,FALSE)</f>
        <v>0.7</v>
      </c>
    </row>
    <row r="41" spans="3:55" x14ac:dyDescent="0.25">
      <c r="C41" s="5" t="s">
        <v>68</v>
      </c>
      <c r="D41" s="5">
        <f>AVERAGE(D33:D35)</f>
        <v>1267532.1453262647</v>
      </c>
      <c r="E41" s="5"/>
      <c r="G41" s="5">
        <f>AVERAGE(G33:G35)</f>
        <v>1267216.9422414191</v>
      </c>
      <c r="L41" s="17"/>
      <c r="O41" s="49" t="s">
        <v>41</v>
      </c>
      <c r="P41" s="24">
        <f>P39*P36*P40</f>
        <v>1015604.9306421716</v>
      </c>
      <c r="Q41" s="24">
        <f>Q39*Q36*Q40</f>
        <v>1004177.0526409463</v>
      </c>
    </row>
    <row r="42" spans="3:55" x14ac:dyDescent="0.25">
      <c r="C42" s="17" t="s">
        <v>72</v>
      </c>
      <c r="D42" s="73">
        <f>D41/D40</f>
        <v>1.7978472595187138</v>
      </c>
      <c r="G42" s="73">
        <f>G41/G40</f>
        <v>1.7998945742488828</v>
      </c>
      <c r="L42" s="17"/>
    </row>
    <row r="43" spans="3:55" x14ac:dyDescent="0.25">
      <c r="C43" s="363" t="s">
        <v>334</v>
      </c>
      <c r="D43" s="364">
        <f>K30/D36</f>
        <v>1.0426955094665462</v>
      </c>
      <c r="G43" s="364">
        <f>L30/G36</f>
        <v>1.0772153426443702</v>
      </c>
    </row>
    <row r="44" spans="3:55" x14ac:dyDescent="0.25">
      <c r="C44" s="363"/>
      <c r="D44" s="364"/>
      <c r="E44" s="141"/>
      <c r="G44" s="364"/>
    </row>
  </sheetData>
  <mergeCells count="7">
    <mergeCell ref="C38:C39"/>
    <mergeCell ref="D38:D39"/>
    <mergeCell ref="G38:G39"/>
    <mergeCell ref="O33:Q33"/>
    <mergeCell ref="C43:C44"/>
    <mergeCell ref="D43:D44"/>
    <mergeCell ref="G43:G44"/>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64"/>
  <sheetViews>
    <sheetView topLeftCell="H1" workbookViewId="0">
      <selection activeCell="G42" sqref="G42:G43"/>
    </sheetView>
  </sheetViews>
  <sheetFormatPr defaultColWidth="8.85546875" defaultRowHeight="15" x14ac:dyDescent="0.25"/>
  <cols>
    <col min="1" max="1" width="8.85546875" style="17"/>
    <col min="2" max="2" width="9.85546875" style="17" bestFit="1" customWidth="1"/>
    <col min="3" max="3" width="12.28515625" style="17" customWidth="1"/>
    <col min="4" max="4" width="13.28515625" style="17" bestFit="1" customWidth="1"/>
    <col min="5" max="5" width="11.5703125" style="17" bestFit="1" customWidth="1"/>
    <col min="6" max="6" width="13.140625" style="17" customWidth="1"/>
    <col min="7" max="7" width="12.28515625" style="17" bestFit="1" customWidth="1"/>
    <col min="8" max="8" width="11" style="17" bestFit="1" customWidth="1"/>
    <col min="9" max="9" width="12" style="17" bestFit="1" customWidth="1"/>
    <col min="10" max="10" width="11.5703125" style="17" bestFit="1" customWidth="1"/>
    <col min="11" max="12" width="8.85546875" style="17"/>
    <col min="13" max="13" width="24" style="17" bestFit="1" customWidth="1"/>
    <col min="14" max="14" width="13.140625" style="17" bestFit="1" customWidth="1"/>
    <col min="15" max="15" width="14" style="17" bestFit="1" customWidth="1"/>
    <col min="16" max="25" width="8.85546875" style="17"/>
    <col min="26" max="26" width="9.28515625" style="17" customWidth="1"/>
    <col min="27" max="16384" width="8.85546875" style="17"/>
  </cols>
  <sheetData>
    <row r="1" spans="1:11" x14ac:dyDescent="0.25">
      <c r="A1" s="17" t="s">
        <v>44</v>
      </c>
    </row>
    <row r="2" spans="1:11" ht="14.45" customHeight="1" x14ac:dyDescent="0.25">
      <c r="A2" s="17" t="s">
        <v>115</v>
      </c>
      <c r="B2" s="17" t="s">
        <v>66</v>
      </c>
      <c r="C2" s="18" t="s">
        <v>20</v>
      </c>
      <c r="D2" s="47" t="s">
        <v>316</v>
      </c>
      <c r="E2" s="10" t="s">
        <v>308</v>
      </c>
      <c r="F2" s="9" t="s">
        <v>1</v>
      </c>
      <c r="G2" s="8" t="s">
        <v>305</v>
      </c>
      <c r="H2" s="34" t="s">
        <v>306</v>
      </c>
      <c r="I2" s="65" t="s">
        <v>317</v>
      </c>
      <c r="J2" s="68" t="s">
        <v>309</v>
      </c>
    </row>
    <row r="3" spans="1:11" x14ac:dyDescent="0.25">
      <c r="A3" s="23"/>
      <c r="B3" s="23"/>
      <c r="C3" s="18">
        <v>1986</v>
      </c>
      <c r="D3" s="41">
        <f t="shared" ref="D3:D34" si="0">E3+F3</f>
        <v>39984.325427800002</v>
      </c>
      <c r="E3" s="22">
        <v>31944.325427800002</v>
      </c>
      <c r="F3" s="21">
        <v>8040</v>
      </c>
      <c r="G3" s="20">
        <f t="shared" ref="G3:G34" si="1">F3+H3</f>
        <v>38287.684454799994</v>
      </c>
      <c r="H3" s="35">
        <v>30247.684454799994</v>
      </c>
      <c r="I3" s="66"/>
      <c r="J3" s="69"/>
      <c r="K3" s="23"/>
    </row>
    <row r="4" spans="1:11" s="23" customFormat="1" x14ac:dyDescent="0.25">
      <c r="A4" s="17"/>
      <c r="B4" s="17"/>
      <c r="C4" s="18">
        <v>1987</v>
      </c>
      <c r="D4" s="41">
        <f t="shared" si="0"/>
        <v>13292.66173003</v>
      </c>
      <c r="E4" s="22">
        <v>3997.6617300299999</v>
      </c>
      <c r="F4" s="21">
        <v>9295</v>
      </c>
      <c r="G4" s="20">
        <f t="shared" si="1"/>
        <v>13292.66173003</v>
      </c>
      <c r="H4" s="35">
        <v>3997.6617300299999</v>
      </c>
      <c r="I4" s="66"/>
      <c r="J4" s="70"/>
      <c r="K4" s="17"/>
    </row>
    <row r="5" spans="1:11" x14ac:dyDescent="0.25">
      <c r="C5" s="18">
        <v>1988</v>
      </c>
      <c r="D5" s="41">
        <f t="shared" si="0"/>
        <v>14133.775102600001</v>
      </c>
      <c r="E5" s="22">
        <v>3947.7751026000001</v>
      </c>
      <c r="F5" s="21">
        <v>10186</v>
      </c>
      <c r="G5" s="20">
        <f t="shared" si="1"/>
        <v>14133.463643499999</v>
      </c>
      <c r="H5" s="35">
        <v>3947.4636434999998</v>
      </c>
      <c r="I5" s="66"/>
      <c r="J5" s="71"/>
    </row>
    <row r="6" spans="1:11" x14ac:dyDescent="0.25">
      <c r="C6" s="18">
        <v>1989</v>
      </c>
      <c r="D6" s="41">
        <f t="shared" si="0"/>
        <v>16144.67644379</v>
      </c>
      <c r="E6" s="22">
        <v>967.67644379000012</v>
      </c>
      <c r="F6" s="21">
        <v>15177</v>
      </c>
      <c r="G6" s="20">
        <f t="shared" si="1"/>
        <v>16144.60048995</v>
      </c>
      <c r="H6" s="35">
        <v>967.60048994999988</v>
      </c>
      <c r="I6" s="66"/>
      <c r="J6" s="71"/>
    </row>
    <row r="7" spans="1:11" x14ac:dyDescent="0.25">
      <c r="C7" s="18">
        <v>1990</v>
      </c>
      <c r="D7" s="41">
        <f t="shared" si="0"/>
        <v>35362.90586898</v>
      </c>
      <c r="E7" s="22">
        <v>7500.9058689799995</v>
      </c>
      <c r="F7" s="21">
        <v>27862</v>
      </c>
      <c r="G7" s="20">
        <f t="shared" si="1"/>
        <v>35362.303570429998</v>
      </c>
      <c r="H7" s="35">
        <v>7500.3035704300009</v>
      </c>
      <c r="I7" s="66"/>
      <c r="J7" s="71"/>
    </row>
    <row r="8" spans="1:11" x14ac:dyDescent="0.25">
      <c r="C8" s="18">
        <v>1991</v>
      </c>
      <c r="D8" s="41">
        <f t="shared" si="0"/>
        <v>27067.149616000002</v>
      </c>
      <c r="E8" s="22">
        <v>3181.1496160000006</v>
      </c>
      <c r="F8" s="21">
        <v>23886</v>
      </c>
      <c r="G8" s="20">
        <f t="shared" si="1"/>
        <v>27067.149616000002</v>
      </c>
      <c r="H8" s="35">
        <v>3181.1496160000006</v>
      </c>
      <c r="I8" s="66"/>
      <c r="J8" s="71"/>
    </row>
    <row r="9" spans="1:11" x14ac:dyDescent="0.25">
      <c r="C9" s="18">
        <v>1992</v>
      </c>
      <c r="D9" s="41">
        <f t="shared" si="0"/>
        <v>35071.015581722997</v>
      </c>
      <c r="E9" s="22">
        <v>2797.0155817229997</v>
      </c>
      <c r="F9" s="21">
        <v>32274</v>
      </c>
      <c r="G9" s="20">
        <f t="shared" si="1"/>
        <v>35071.015581722997</v>
      </c>
      <c r="H9" s="35">
        <v>2797.0155817229997</v>
      </c>
      <c r="I9" s="66"/>
      <c r="J9" s="71"/>
    </row>
    <row r="10" spans="1:11" x14ac:dyDescent="0.25">
      <c r="C10" s="18">
        <v>1993</v>
      </c>
      <c r="D10" s="41">
        <f t="shared" si="0"/>
        <v>37424.074532400002</v>
      </c>
      <c r="E10" s="22">
        <v>5685.0745324</v>
      </c>
      <c r="F10" s="21">
        <v>31739</v>
      </c>
      <c r="G10" s="20">
        <f t="shared" si="1"/>
        <v>37424.074532400002</v>
      </c>
      <c r="H10" s="35">
        <v>5685.0745324</v>
      </c>
      <c r="I10" s="66"/>
      <c r="J10" s="71"/>
    </row>
    <row r="11" spans="1:11" x14ac:dyDescent="0.25">
      <c r="C11" s="18">
        <v>1994</v>
      </c>
      <c r="D11" s="41">
        <f t="shared" si="0"/>
        <v>24346.35430879</v>
      </c>
      <c r="E11" s="22">
        <v>1283.35430879</v>
      </c>
      <c r="F11" s="21">
        <v>23063</v>
      </c>
      <c r="G11" s="20">
        <f t="shared" si="1"/>
        <v>24346.35430879</v>
      </c>
      <c r="H11" s="35">
        <v>1283.3543087900002</v>
      </c>
      <c r="I11" s="66"/>
      <c r="J11" s="71"/>
    </row>
    <row r="12" spans="1:11" x14ac:dyDescent="0.25">
      <c r="C12" s="18">
        <v>1995</v>
      </c>
      <c r="D12" s="41">
        <f t="shared" si="0"/>
        <v>107904.01589560001</v>
      </c>
      <c r="E12" s="22">
        <v>71001.015895600009</v>
      </c>
      <c r="F12" s="21">
        <v>36903</v>
      </c>
      <c r="G12" s="20">
        <f t="shared" si="1"/>
        <v>106114.59184959999</v>
      </c>
      <c r="H12" s="35">
        <v>69211.591849599994</v>
      </c>
      <c r="I12" s="66"/>
      <c r="J12" s="71"/>
    </row>
    <row r="13" spans="1:11" x14ac:dyDescent="0.25">
      <c r="C13" s="18">
        <v>1996</v>
      </c>
      <c r="D13" s="41">
        <f t="shared" si="0"/>
        <v>18161.679134000002</v>
      </c>
      <c r="E13" s="22">
        <v>690.67913400000009</v>
      </c>
      <c r="F13" s="21">
        <v>17471</v>
      </c>
      <c r="G13" s="20">
        <f t="shared" si="1"/>
        <v>18134.849151999999</v>
      </c>
      <c r="H13" s="35">
        <v>663.849152</v>
      </c>
      <c r="I13" s="66"/>
      <c r="J13" s="71"/>
    </row>
    <row r="14" spans="1:11" x14ac:dyDescent="0.25">
      <c r="C14" s="18">
        <v>1997</v>
      </c>
      <c r="D14" s="41">
        <f t="shared" si="0"/>
        <v>27113.46494482</v>
      </c>
      <c r="E14" s="22">
        <v>1719.4649448199998</v>
      </c>
      <c r="F14" s="21">
        <v>25394</v>
      </c>
      <c r="G14" s="20">
        <f t="shared" si="1"/>
        <v>26980.373242819998</v>
      </c>
      <c r="H14" s="35">
        <v>1586.3732428199996</v>
      </c>
      <c r="I14" s="66"/>
      <c r="J14" s="71"/>
    </row>
    <row r="15" spans="1:11" x14ac:dyDescent="0.25">
      <c r="C15" s="18">
        <v>1998</v>
      </c>
      <c r="D15" s="41">
        <f t="shared" si="0"/>
        <v>27366.694379200002</v>
      </c>
      <c r="E15" s="22">
        <v>5407.6943792000002</v>
      </c>
      <c r="F15" s="21">
        <v>21959</v>
      </c>
      <c r="G15" s="20">
        <f t="shared" si="1"/>
        <v>27366.694379199995</v>
      </c>
      <c r="H15" s="35">
        <v>5407.6943791999965</v>
      </c>
      <c r="I15" s="66"/>
      <c r="J15" s="71"/>
    </row>
    <row r="16" spans="1:11" x14ac:dyDescent="0.25">
      <c r="A16" s="141">
        <f>_xlfn.RANK.AVG(D16,$D$16:$D$24)</f>
        <v>1</v>
      </c>
      <c r="B16" s="141">
        <f>_xlfn.RANK.AVG(G16,$G$16:$G$24)</f>
        <v>1</v>
      </c>
      <c r="C16" s="18">
        <v>1999</v>
      </c>
      <c r="D16" s="41">
        <f t="shared" si="0"/>
        <v>32728.102491770002</v>
      </c>
      <c r="E16" s="22">
        <v>3542.1024917700001</v>
      </c>
      <c r="F16" s="21">
        <v>29186</v>
      </c>
      <c r="G16" s="20">
        <f t="shared" si="1"/>
        <v>32728.102491770002</v>
      </c>
      <c r="H16" s="35">
        <v>3542.1024917700001</v>
      </c>
      <c r="I16" s="66"/>
      <c r="J16" s="71"/>
      <c r="K16" s="17">
        <v>1999</v>
      </c>
    </row>
    <row r="17" spans="1:34" x14ac:dyDescent="0.25">
      <c r="A17" s="141">
        <f t="shared" ref="A17:A24" si="2">_xlfn.RANK.AVG(D17,$D$16:$D$24)</f>
        <v>4</v>
      </c>
      <c r="B17" s="141">
        <f t="shared" ref="B17:B24" si="3">_xlfn.RANK.AVG(G17,$G$16:$G$24)</f>
        <v>4</v>
      </c>
      <c r="C17" s="18">
        <v>2000</v>
      </c>
      <c r="D17" s="41">
        <f t="shared" si="0"/>
        <v>26534.991768075</v>
      </c>
      <c r="E17" s="22">
        <v>2430.9917680750009</v>
      </c>
      <c r="F17" s="21">
        <v>24104</v>
      </c>
      <c r="G17" s="20">
        <f t="shared" si="1"/>
        <v>26493.715974631999</v>
      </c>
      <c r="H17" s="35">
        <v>2389.7159746320008</v>
      </c>
      <c r="I17" s="66"/>
      <c r="J17" s="71"/>
      <c r="K17" s="17">
        <v>2000</v>
      </c>
    </row>
    <row r="18" spans="1:34" x14ac:dyDescent="0.25">
      <c r="A18" s="141">
        <f t="shared" si="2"/>
        <v>9</v>
      </c>
      <c r="B18" s="141">
        <f t="shared" si="3"/>
        <v>9</v>
      </c>
      <c r="C18" s="18">
        <v>2001</v>
      </c>
      <c r="D18" s="41">
        <f t="shared" si="0"/>
        <v>15565.165086000001</v>
      </c>
      <c r="E18" s="22">
        <v>1372.165086</v>
      </c>
      <c r="F18" s="21">
        <v>14193</v>
      </c>
      <c r="G18" s="20">
        <f t="shared" si="1"/>
        <v>15491.972366</v>
      </c>
      <c r="H18" s="35">
        <v>1298.972366</v>
      </c>
      <c r="I18" s="66"/>
      <c r="J18" s="71"/>
      <c r="K18" s="17">
        <v>2001</v>
      </c>
    </row>
    <row r="19" spans="1:34" x14ac:dyDescent="0.25">
      <c r="A19" s="141">
        <f t="shared" si="2"/>
        <v>3</v>
      </c>
      <c r="B19" s="141">
        <f t="shared" si="3"/>
        <v>3</v>
      </c>
      <c r="C19" s="18">
        <v>2002</v>
      </c>
      <c r="D19" s="41">
        <f t="shared" si="0"/>
        <v>29824.255493290002</v>
      </c>
      <c r="E19" s="22">
        <v>9267.2554932900002</v>
      </c>
      <c r="F19" s="21">
        <v>20557</v>
      </c>
      <c r="G19" s="20">
        <f t="shared" si="1"/>
        <v>29563.164715289997</v>
      </c>
      <c r="H19" s="35">
        <v>9006.1647152899968</v>
      </c>
      <c r="I19" s="66"/>
      <c r="J19" s="71"/>
      <c r="K19" s="17">
        <v>2002</v>
      </c>
    </row>
    <row r="20" spans="1:34" x14ac:dyDescent="0.25">
      <c r="A20" s="141">
        <f t="shared" si="2"/>
        <v>8</v>
      </c>
      <c r="B20" s="141">
        <f t="shared" si="3"/>
        <v>8</v>
      </c>
      <c r="C20" s="18">
        <v>2003</v>
      </c>
      <c r="D20" s="41">
        <f t="shared" si="0"/>
        <v>18014.453414049</v>
      </c>
      <c r="E20" s="22">
        <v>677.453414049</v>
      </c>
      <c r="F20" s="21">
        <v>17337</v>
      </c>
      <c r="G20" s="20">
        <f t="shared" si="1"/>
        <v>18014.453414049</v>
      </c>
      <c r="H20" s="35">
        <v>677.45341404900023</v>
      </c>
      <c r="I20" s="66"/>
      <c r="J20" s="71"/>
      <c r="K20" s="17">
        <v>2003</v>
      </c>
    </row>
    <row r="21" spans="1:34" x14ac:dyDescent="0.25">
      <c r="A21" s="141">
        <f t="shared" si="2"/>
        <v>7</v>
      </c>
      <c r="B21" s="141">
        <f t="shared" si="3"/>
        <v>7</v>
      </c>
      <c r="C21" s="18">
        <v>2004</v>
      </c>
      <c r="D21" s="41">
        <f t="shared" si="0"/>
        <v>20969.563967999999</v>
      </c>
      <c r="E21" s="22">
        <v>1676.5639679999999</v>
      </c>
      <c r="F21" s="21">
        <v>19293</v>
      </c>
      <c r="G21" s="20">
        <f t="shared" si="1"/>
        <v>20969.563967999999</v>
      </c>
      <c r="H21" s="35">
        <v>1676.5639679999997</v>
      </c>
      <c r="I21" s="66"/>
      <c r="J21" s="71"/>
      <c r="K21" s="17">
        <v>2004</v>
      </c>
    </row>
    <row r="22" spans="1:34" x14ac:dyDescent="0.25">
      <c r="A22" s="141">
        <f t="shared" si="2"/>
        <v>6</v>
      </c>
      <c r="B22" s="141">
        <f t="shared" si="3"/>
        <v>6</v>
      </c>
      <c r="C22" s="18">
        <v>2005</v>
      </c>
      <c r="D22" s="41">
        <f t="shared" si="0"/>
        <v>25198.0843695</v>
      </c>
      <c r="E22" s="22">
        <v>5942.0843694999994</v>
      </c>
      <c r="F22" s="21">
        <v>19256</v>
      </c>
      <c r="G22" s="20">
        <f t="shared" si="1"/>
        <v>25198.0843695</v>
      </c>
      <c r="H22" s="35">
        <v>5942.0843694999994</v>
      </c>
      <c r="I22" s="66"/>
      <c r="J22" s="71"/>
      <c r="K22" s="17">
        <v>2005</v>
      </c>
    </row>
    <row r="23" spans="1:34" x14ac:dyDescent="0.25">
      <c r="A23" s="141">
        <f t="shared" si="2"/>
        <v>2</v>
      </c>
      <c r="B23" s="141">
        <f t="shared" si="3"/>
        <v>2</v>
      </c>
      <c r="C23" s="18">
        <v>2006</v>
      </c>
      <c r="D23" s="41">
        <f t="shared" si="0"/>
        <v>32634.891861730001</v>
      </c>
      <c r="E23" s="22">
        <v>9037.8918617300005</v>
      </c>
      <c r="F23" s="21">
        <v>23597</v>
      </c>
      <c r="G23" s="20">
        <f t="shared" si="1"/>
        <v>32634.891861729997</v>
      </c>
      <c r="H23" s="35">
        <v>9037.8918617299969</v>
      </c>
      <c r="I23" s="66"/>
      <c r="J23" s="71"/>
      <c r="K23" s="17">
        <v>2006</v>
      </c>
    </row>
    <row r="24" spans="1:34" x14ac:dyDescent="0.25">
      <c r="A24" s="141">
        <f t="shared" si="2"/>
        <v>5</v>
      </c>
      <c r="B24" s="141">
        <f t="shared" si="3"/>
        <v>5</v>
      </c>
      <c r="C24" s="18">
        <v>2007</v>
      </c>
      <c r="D24" s="41">
        <f t="shared" si="0"/>
        <v>26155.531178101999</v>
      </c>
      <c r="E24" s="22">
        <v>4954.5311781020009</v>
      </c>
      <c r="F24" s="21">
        <v>21201</v>
      </c>
      <c r="G24" s="20">
        <f t="shared" si="1"/>
        <v>26155.531178101999</v>
      </c>
      <c r="H24" s="35">
        <v>4954.5311781019991</v>
      </c>
      <c r="I24" s="66"/>
      <c r="J24" s="71"/>
      <c r="K24" s="17">
        <v>2007</v>
      </c>
    </row>
    <row r="25" spans="1:34" x14ac:dyDescent="0.25">
      <c r="A25" s="141"/>
      <c r="B25" s="141"/>
      <c r="C25" s="18">
        <v>2008</v>
      </c>
      <c r="D25" s="41">
        <f t="shared" si="0"/>
        <v>33178.816266383998</v>
      </c>
      <c r="E25" s="22">
        <v>2802.8162663839998</v>
      </c>
      <c r="F25" s="21">
        <v>30376</v>
      </c>
      <c r="G25" s="20">
        <f t="shared" si="1"/>
        <v>33178.816266383998</v>
      </c>
      <c r="H25" s="35">
        <v>2802.8162663839998</v>
      </c>
      <c r="I25" s="66"/>
      <c r="J25" s="71"/>
    </row>
    <row r="26" spans="1:34" x14ac:dyDescent="0.25">
      <c r="C26" s="18">
        <v>2009</v>
      </c>
      <c r="D26" s="41">
        <f t="shared" si="0"/>
        <v>35351.991875348998</v>
      </c>
      <c r="E26" s="22">
        <v>1107.9918753489999</v>
      </c>
      <c r="F26" s="21">
        <v>34244</v>
      </c>
      <c r="G26" s="20">
        <f t="shared" si="1"/>
        <v>35351.991875348998</v>
      </c>
      <c r="H26" s="35">
        <v>1107.9918753490001</v>
      </c>
      <c r="I26" s="66"/>
      <c r="J26" s="71"/>
    </row>
    <row r="27" spans="1:34" x14ac:dyDescent="0.25">
      <c r="C27" s="18">
        <v>2010</v>
      </c>
      <c r="D27" s="41">
        <f t="shared" si="0"/>
        <v>49008.1700356</v>
      </c>
      <c r="E27" s="22">
        <v>7111.1700356000001</v>
      </c>
      <c r="F27" s="21">
        <v>41897</v>
      </c>
      <c r="G27" s="20">
        <f t="shared" si="1"/>
        <v>49008.170035599993</v>
      </c>
      <c r="H27" s="35">
        <v>7111.1700355999965</v>
      </c>
      <c r="I27" s="66"/>
      <c r="J27" s="71"/>
    </row>
    <row r="28" spans="1:34" x14ac:dyDescent="0.25">
      <c r="C28" s="18">
        <v>2011</v>
      </c>
      <c r="D28" s="41">
        <f t="shared" si="0"/>
        <v>36591.86264721</v>
      </c>
      <c r="E28" s="22">
        <v>635.86264720999998</v>
      </c>
      <c r="F28" s="21">
        <v>35956</v>
      </c>
      <c r="G28" s="20">
        <f t="shared" si="1"/>
        <v>36591.86264721</v>
      </c>
      <c r="H28" s="35">
        <v>635.86264720999986</v>
      </c>
      <c r="I28" s="66"/>
      <c r="J28" s="71"/>
    </row>
    <row r="29" spans="1:34" x14ac:dyDescent="0.25">
      <c r="C29" s="18">
        <v>2012</v>
      </c>
      <c r="D29" s="41">
        <f t="shared" si="0"/>
        <v>26757.39993928</v>
      </c>
      <c r="E29" s="22">
        <v>6128.3999392799997</v>
      </c>
      <c r="F29" s="21">
        <v>20629</v>
      </c>
      <c r="G29" s="20">
        <f t="shared" si="1"/>
        <v>26757.39993928</v>
      </c>
      <c r="H29" s="35">
        <v>6128.3999392799988</v>
      </c>
      <c r="I29" s="67"/>
      <c r="J29" s="72"/>
    </row>
    <row r="30" spans="1:34" x14ac:dyDescent="0.25">
      <c r="C30" s="18">
        <v>2013</v>
      </c>
      <c r="D30" s="41">
        <f t="shared" si="0"/>
        <v>22452.115432679999</v>
      </c>
      <c r="E30" s="22">
        <v>1449.1154326800001</v>
      </c>
      <c r="F30" s="21">
        <v>21003</v>
      </c>
      <c r="G30" s="20">
        <f t="shared" si="1"/>
        <v>22452.115432679999</v>
      </c>
      <c r="H30" s="35">
        <v>1449.1154326800001</v>
      </c>
      <c r="I30" s="67"/>
      <c r="J30" s="72"/>
    </row>
    <row r="31" spans="1:34" x14ac:dyDescent="0.25">
      <c r="C31" s="18">
        <v>2014</v>
      </c>
      <c r="D31" s="41">
        <f t="shared" si="0"/>
        <v>21368.809679999998</v>
      </c>
      <c r="E31" s="22">
        <v>23.809680000000004</v>
      </c>
      <c r="F31" s="21">
        <v>21345</v>
      </c>
      <c r="G31" s="20">
        <f t="shared" si="1"/>
        <v>21368.809679999998</v>
      </c>
      <c r="H31" s="35">
        <v>23.809680000000004</v>
      </c>
      <c r="I31" s="67"/>
      <c r="J31" s="72"/>
      <c r="Y31" s="110" t="s">
        <v>20</v>
      </c>
      <c r="Z31" s="110" t="s">
        <v>94</v>
      </c>
      <c r="AA31" s="110" t="s">
        <v>95</v>
      </c>
      <c r="AB31" s="110" t="s">
        <v>101</v>
      </c>
      <c r="AC31" s="93" t="s">
        <v>50</v>
      </c>
      <c r="AD31" s="110" t="s">
        <v>45</v>
      </c>
      <c r="AE31" s="110" t="s">
        <v>98</v>
      </c>
      <c r="AF31" s="110" t="s">
        <v>97</v>
      </c>
      <c r="AG31" s="110" t="s">
        <v>99</v>
      </c>
      <c r="AH31" s="110" t="s">
        <v>103</v>
      </c>
    </row>
    <row r="32" spans="1:34" x14ac:dyDescent="0.25">
      <c r="C32" s="18">
        <v>2015</v>
      </c>
      <c r="D32" s="41">
        <f t="shared" si="0"/>
        <v>14653.0737058</v>
      </c>
      <c r="E32" s="22">
        <v>11.073705799999999</v>
      </c>
      <c r="F32" s="21">
        <v>14642</v>
      </c>
      <c r="G32" s="20">
        <f t="shared" si="1"/>
        <v>14653.0737058</v>
      </c>
      <c r="H32" s="35">
        <v>11.073705799999999</v>
      </c>
      <c r="I32" s="67">
        <f>$O$41</f>
        <v>28637.089680298752</v>
      </c>
      <c r="J32" s="72">
        <f>$N$41</f>
        <v>28637.089680298752</v>
      </c>
      <c r="Y32" s="95">
        <v>1986</v>
      </c>
      <c r="Z32" s="96">
        <v>8</v>
      </c>
      <c r="AA32" s="96">
        <v>0</v>
      </c>
      <c r="AB32" s="96">
        <v>15893.908527985161</v>
      </c>
      <c r="AC32" s="97">
        <v>30247.684454799994</v>
      </c>
      <c r="AD32" s="97">
        <v>568.50681580000003</v>
      </c>
      <c r="AE32" s="97">
        <f>AB32+AD32</f>
        <v>16462.41534378516</v>
      </c>
      <c r="AF32" s="97">
        <f>AC32-AE32</f>
        <v>13785.269111014833</v>
      </c>
      <c r="AG32" s="98">
        <f>AF32/AE32</f>
        <v>0.83737828399640069</v>
      </c>
      <c r="AH32" s="98">
        <f>AF32/$AE$64</f>
        <v>1.2569035163033042</v>
      </c>
    </row>
    <row r="33" spans="3:34" x14ac:dyDescent="0.25">
      <c r="C33" s="18">
        <v>2016</v>
      </c>
      <c r="D33" s="41">
        <f t="shared" si="0"/>
        <v>17110.048195179999</v>
      </c>
      <c r="E33" s="22">
        <v>171.04819517999999</v>
      </c>
      <c r="F33" s="21">
        <v>16939</v>
      </c>
      <c r="G33" s="20">
        <f t="shared" si="1"/>
        <v>17110.048195179999</v>
      </c>
      <c r="H33" s="35">
        <v>171.04819517999999</v>
      </c>
      <c r="I33" s="67">
        <f>$O$41</f>
        <v>28637.089680298752</v>
      </c>
      <c r="J33" s="72">
        <f t="shared" ref="J33:J34" si="4">$N$41</f>
        <v>28637.089680298752</v>
      </c>
      <c r="M33" s="365" t="s">
        <v>74</v>
      </c>
      <c r="N33" s="365"/>
      <c r="O33" s="365"/>
      <c r="Y33" s="39">
        <v>1987</v>
      </c>
      <c r="Z33" s="26">
        <v>4</v>
      </c>
      <c r="AA33" s="26">
        <v>0</v>
      </c>
      <c r="AB33" s="26">
        <v>3072.1324741749954</v>
      </c>
      <c r="AC33" s="35">
        <v>3997.6617300299999</v>
      </c>
      <c r="AD33" s="5">
        <v>166.75594399999997</v>
      </c>
      <c r="AE33" s="5">
        <f t="shared" ref="AE33:AE63" si="5">AB33+AD33</f>
        <v>3238.8884181749954</v>
      </c>
      <c r="AF33" s="5">
        <f t="shared" ref="AF33:AF63" si="6">AC33-AE33</f>
        <v>758.77331185500452</v>
      </c>
      <c r="AG33" s="92">
        <f t="shared" ref="AG33:AG63" si="7">AF33/AE33</f>
        <v>0.23426966720963724</v>
      </c>
      <c r="AH33" s="92">
        <f>AF33/$AE$64</f>
        <v>6.9182896327038015E-2</v>
      </c>
    </row>
    <row r="34" spans="3:34" x14ac:dyDescent="0.25">
      <c r="C34" s="18">
        <v>2017</v>
      </c>
      <c r="D34" s="41">
        <f t="shared" si="0"/>
        <v>23836.5395202</v>
      </c>
      <c r="E34" s="22">
        <v>7903.5395202</v>
      </c>
      <c r="F34" s="21">
        <v>15933</v>
      </c>
      <c r="G34" s="20">
        <f t="shared" si="1"/>
        <v>23836.5395202</v>
      </c>
      <c r="H34" s="35">
        <v>7903.5395202</v>
      </c>
      <c r="I34" s="67">
        <f>$O$41</f>
        <v>28637.089680298752</v>
      </c>
      <c r="J34" s="72">
        <f t="shared" si="4"/>
        <v>28637.089680298752</v>
      </c>
      <c r="M34" s="62" t="s">
        <v>56</v>
      </c>
      <c r="N34" s="62" t="s">
        <v>314</v>
      </c>
      <c r="O34" s="332" t="s">
        <v>315</v>
      </c>
      <c r="Y34" s="39">
        <v>1988</v>
      </c>
      <c r="Z34" s="26">
        <v>1</v>
      </c>
      <c r="AA34" s="26">
        <v>0</v>
      </c>
      <c r="AB34" s="26">
        <v>4360.3719252773153</v>
      </c>
      <c r="AC34" s="35">
        <v>3947.4636434999998</v>
      </c>
      <c r="AD34" s="5">
        <v>307.03464200000002</v>
      </c>
      <c r="AE34" s="5">
        <f t="shared" ref="AE34" si="8">AB34+AD34</f>
        <v>4667.4065672773149</v>
      </c>
      <c r="AF34" s="5">
        <f t="shared" ref="AF34" si="9">AC34-AE34</f>
        <v>-719.94292377731517</v>
      </c>
      <c r="AG34" s="92">
        <f t="shared" si="7"/>
        <v>-0.15424902746307928</v>
      </c>
      <c r="AH34" s="92">
        <f t="shared" ref="AH34:AH63" si="10">AF34/$AE$64</f>
        <v>-6.5642446668694232E-2</v>
      </c>
    </row>
    <row r="35" spans="3:34" x14ac:dyDescent="0.25">
      <c r="C35" s="61" t="s">
        <v>71</v>
      </c>
      <c r="D35" s="5">
        <f>AVERAGE(D16:D24)</f>
        <v>25291.671070057331</v>
      </c>
      <c r="E35" s="19"/>
      <c r="F35" s="5"/>
      <c r="G35" s="5">
        <f>AVERAGE(G16:G24)</f>
        <v>25249.942259896998</v>
      </c>
      <c r="H35" s="5"/>
      <c r="I35" s="63"/>
      <c r="J35" s="63"/>
      <c r="M35" s="49" t="s">
        <v>57</v>
      </c>
      <c r="N35" s="49" t="s">
        <v>73</v>
      </c>
      <c r="O35" s="49" t="s">
        <v>73</v>
      </c>
      <c r="Y35" s="95">
        <v>1989</v>
      </c>
      <c r="Z35" s="96">
        <v>2</v>
      </c>
      <c r="AA35" s="96">
        <v>0</v>
      </c>
      <c r="AB35" s="96">
        <v>4403.4699950640706</v>
      </c>
      <c r="AC35" s="97">
        <v>967.60048994999988</v>
      </c>
      <c r="AD35" s="97">
        <v>79.828565999999995</v>
      </c>
      <c r="AE35" s="97">
        <f t="shared" si="5"/>
        <v>4483.2985610640708</v>
      </c>
      <c r="AF35" s="97">
        <f t="shared" si="6"/>
        <v>-3515.6980711140709</v>
      </c>
      <c r="AG35" s="98">
        <f t="shared" si="7"/>
        <v>-0.78417665547566195</v>
      </c>
      <c r="AH35" s="98">
        <f t="shared" si="10"/>
        <v>-0.32055183197788972</v>
      </c>
    </row>
    <row r="36" spans="3:34" x14ac:dyDescent="0.25">
      <c r="C36" s="61" t="s">
        <v>47</v>
      </c>
      <c r="D36" s="5">
        <f>AVERAGE(D29:D31)</f>
        <v>23526.108350653332</v>
      </c>
      <c r="F36" s="5"/>
      <c r="G36" s="5">
        <f>AVERAGE(G29:G31)</f>
        <v>23526.108350653332</v>
      </c>
      <c r="H36" s="5"/>
      <c r="M36" s="49" t="s">
        <v>52</v>
      </c>
      <c r="N36" s="49">
        <f>VLOOKUP(N35,'ORCS Categories'!$A$5:$C$9,2,FALSE)</f>
        <v>1.25</v>
      </c>
      <c r="O36" s="49">
        <f>VLOOKUP(O35,'ORCS Categories'!$A$5:$C$9,2,FALSE)</f>
        <v>1.25</v>
      </c>
      <c r="Y36" s="95">
        <v>1990</v>
      </c>
      <c r="Z36" s="96">
        <v>2</v>
      </c>
      <c r="AA36" s="96">
        <v>0</v>
      </c>
      <c r="AB36" s="96">
        <v>24162.585348602755</v>
      </c>
      <c r="AC36" s="97">
        <v>7500.3035704300009</v>
      </c>
      <c r="AD36" s="97">
        <v>460.45275599999991</v>
      </c>
      <c r="AE36" s="97">
        <f t="shared" si="5"/>
        <v>24623.038104602754</v>
      </c>
      <c r="AF36" s="97">
        <f t="shared" si="6"/>
        <v>-17122.734534172752</v>
      </c>
      <c r="AG36" s="98">
        <f t="shared" si="7"/>
        <v>-0.69539487619003526</v>
      </c>
      <c r="AH36" s="98">
        <f t="shared" si="10"/>
        <v>-1.5612045779747123</v>
      </c>
    </row>
    <row r="37" spans="3:34" ht="15.6" customHeight="1" x14ac:dyDescent="0.25">
      <c r="C37" s="363" t="s">
        <v>69</v>
      </c>
      <c r="D37" s="364">
        <f>D36/D35</f>
        <v>0.93019193099129627</v>
      </c>
      <c r="G37" s="364">
        <f>G36/G35</f>
        <v>0.93172919401160259</v>
      </c>
      <c r="M37" s="49" t="s">
        <v>53</v>
      </c>
      <c r="N37" s="49" t="s">
        <v>54</v>
      </c>
      <c r="O37" s="49" t="s">
        <v>54</v>
      </c>
      <c r="Y37" s="39">
        <v>1991</v>
      </c>
      <c r="Z37" s="26"/>
      <c r="AA37" s="26"/>
      <c r="AB37" s="26"/>
      <c r="AC37" s="35">
        <v>3181.1496160000006</v>
      </c>
      <c r="AD37" s="5">
        <v>3181.1496160000006</v>
      </c>
      <c r="AE37" s="5">
        <f t="shared" si="5"/>
        <v>3181.1496160000006</v>
      </c>
      <c r="AF37" s="5">
        <f t="shared" si="6"/>
        <v>0</v>
      </c>
      <c r="AG37" s="92">
        <f t="shared" si="7"/>
        <v>0</v>
      </c>
      <c r="AH37" s="92">
        <f t="shared" si="10"/>
        <v>0</v>
      </c>
    </row>
    <row r="38" spans="3:34" ht="15.6" customHeight="1" x14ac:dyDescent="0.25">
      <c r="C38" s="363"/>
      <c r="D38" s="364"/>
      <c r="E38" s="61"/>
      <c r="G38" s="364"/>
      <c r="M38" s="49" t="s">
        <v>58</v>
      </c>
      <c r="N38" s="49">
        <f>VLOOKUP(N39,G16:K24,5,FALSE)</f>
        <v>1999</v>
      </c>
      <c r="O38" s="49">
        <f>VLOOKUP(O39,D16:K24,8,FALSE)</f>
        <v>1999</v>
      </c>
      <c r="Y38" s="39">
        <v>1992</v>
      </c>
      <c r="Z38" s="26">
        <v>10</v>
      </c>
      <c r="AA38" s="26">
        <v>0</v>
      </c>
      <c r="AB38" s="26">
        <v>4877.1383692074005</v>
      </c>
      <c r="AC38" s="35">
        <v>2797.0155817229997</v>
      </c>
      <c r="AD38" s="5">
        <v>1668.529464</v>
      </c>
      <c r="AE38" s="5">
        <f t="shared" ref="AE38" si="11">AB38+AD38</f>
        <v>6545.6678332074007</v>
      </c>
      <c r="AF38" s="5">
        <f t="shared" ref="AF38" si="12">AC38-AE38</f>
        <v>-3748.6522514844009</v>
      </c>
      <c r="AG38" s="92">
        <f t="shared" si="7"/>
        <v>-0.57269209911122976</v>
      </c>
      <c r="AH38" s="92">
        <f t="shared" si="10"/>
        <v>-0.34179196346078294</v>
      </c>
    </row>
    <row r="39" spans="3:34" ht="15.6" customHeight="1" x14ac:dyDescent="0.25">
      <c r="C39" s="5" t="s">
        <v>71</v>
      </c>
      <c r="D39" s="5">
        <f>AVERAGE(D16:D24)</f>
        <v>25291.671070057331</v>
      </c>
      <c r="E39" s="5"/>
      <c r="G39" s="5">
        <f>AVERAGE(G16:G24)</f>
        <v>25249.942259896998</v>
      </c>
      <c r="M39" s="49" t="s">
        <v>55</v>
      </c>
      <c r="N39" s="24">
        <f>MAX(G16:G24)</f>
        <v>32728.102491770002</v>
      </c>
      <c r="O39" s="24">
        <f>MAX(D16:D24)</f>
        <v>32728.102491770002</v>
      </c>
      <c r="Y39" s="39">
        <v>1993</v>
      </c>
      <c r="Z39" s="26">
        <v>10</v>
      </c>
      <c r="AA39" s="26">
        <v>0</v>
      </c>
      <c r="AB39" s="26">
        <v>9161.0291758324765</v>
      </c>
      <c r="AC39" s="35">
        <v>5685.0745324</v>
      </c>
      <c r="AD39" s="5">
        <v>1232.92255</v>
      </c>
      <c r="AE39" s="5">
        <f t="shared" si="5"/>
        <v>10393.951725832476</v>
      </c>
      <c r="AF39" s="5">
        <f t="shared" si="6"/>
        <v>-4708.8771934324759</v>
      </c>
      <c r="AG39" s="92">
        <f t="shared" si="7"/>
        <v>-0.45304012541537286</v>
      </c>
      <c r="AH39" s="92">
        <f t="shared" si="10"/>
        <v>-0.42934267402415638</v>
      </c>
    </row>
    <row r="40" spans="3:34" ht="15.6" customHeight="1" x14ac:dyDescent="0.25">
      <c r="C40" s="5" t="s">
        <v>68</v>
      </c>
      <c r="D40" s="5">
        <f>AVERAGE(D32:D34)</f>
        <v>18533.220473726666</v>
      </c>
      <c r="E40" s="5"/>
      <c r="G40" s="5">
        <f>AVERAGE(G32:G34)</f>
        <v>18533.220473726666</v>
      </c>
      <c r="M40" s="49" t="s">
        <v>59</v>
      </c>
      <c r="N40" s="49">
        <f>VLOOKUP(N35,'ORCS Categories'!$A$5:$C$9,3,FALSE)</f>
        <v>0.7</v>
      </c>
      <c r="O40" s="49">
        <f>VLOOKUP(O35,'ORCS Categories'!$A$5:$C$9,3,FALSE)</f>
        <v>0.7</v>
      </c>
      <c r="Y40" s="39">
        <v>1994</v>
      </c>
      <c r="Z40" s="26">
        <v>1</v>
      </c>
      <c r="AA40" s="26">
        <v>0</v>
      </c>
      <c r="AB40" s="26">
        <v>256.05538814508714</v>
      </c>
      <c r="AC40" s="35">
        <v>1283.3543087900002</v>
      </c>
      <c r="AD40" s="5">
        <v>1119.319512</v>
      </c>
      <c r="AE40" s="5">
        <f t="shared" si="5"/>
        <v>1375.3749001450872</v>
      </c>
      <c r="AF40" s="5">
        <f t="shared" si="6"/>
        <v>-92.020591355086935</v>
      </c>
      <c r="AG40" s="92">
        <f t="shared" si="7"/>
        <v>-6.6905824255902704E-2</v>
      </c>
      <c r="AH40" s="92">
        <f t="shared" si="10"/>
        <v>-8.390188389873484E-3</v>
      </c>
    </row>
    <row r="41" spans="3:34" x14ac:dyDescent="0.25">
      <c r="C41" s="17" t="s">
        <v>72</v>
      </c>
      <c r="D41" s="73">
        <f>D40/D39</f>
        <v>0.73277959461002329</v>
      </c>
      <c r="G41" s="73">
        <f>G40/G39</f>
        <v>0.73399060809584082</v>
      </c>
      <c r="M41" s="49" t="s">
        <v>41</v>
      </c>
      <c r="N41" s="24">
        <f>N39*N36*N40</f>
        <v>28637.089680298752</v>
      </c>
      <c r="O41" s="24">
        <f>O39*O36*O40</f>
        <v>28637.089680298752</v>
      </c>
      <c r="Y41" s="95">
        <v>1995</v>
      </c>
      <c r="Z41" s="96">
        <v>267</v>
      </c>
      <c r="AA41" s="96">
        <v>0</v>
      </c>
      <c r="AB41" s="96">
        <v>88318.673375084341</v>
      </c>
      <c r="AC41" s="97">
        <v>69211.591849599994</v>
      </c>
      <c r="AD41" s="97">
        <v>1417.3152940000002</v>
      </c>
      <c r="AE41" s="97">
        <f t="shared" si="5"/>
        <v>89735.988669084341</v>
      </c>
      <c r="AF41" s="97">
        <f t="shared" si="6"/>
        <v>-20524.396819484347</v>
      </c>
      <c r="AG41" s="98">
        <f t="shared" si="7"/>
        <v>-0.22871979374040563</v>
      </c>
      <c r="AH41" s="98">
        <f t="shared" si="10"/>
        <v>-1.8713589357353584</v>
      </c>
    </row>
    <row r="42" spans="3:34" x14ac:dyDescent="0.25">
      <c r="C42" s="363" t="s">
        <v>334</v>
      </c>
      <c r="D42" s="364">
        <f>VLOOKUP(3,$A$16:$D$24,4,FALSE)/D35</f>
        <v>1.1792125324846081</v>
      </c>
      <c r="G42" s="364">
        <f>VLOOKUP(3,$B$16:$G$24,6,FALSE)/D35</f>
        <v>1.1688893404236014</v>
      </c>
      <c r="Y42" s="39">
        <v>1996</v>
      </c>
      <c r="Z42" s="26">
        <v>0</v>
      </c>
      <c r="AA42" s="26">
        <v>0</v>
      </c>
      <c r="AB42" s="26">
        <v>0</v>
      </c>
      <c r="AC42" s="35">
        <v>663.849152</v>
      </c>
      <c r="AD42" s="5">
        <v>690.67913400000009</v>
      </c>
      <c r="AE42" s="5">
        <f t="shared" si="5"/>
        <v>690.67913400000009</v>
      </c>
      <c r="AF42" s="5">
        <f t="shared" si="6"/>
        <v>-26.829982000000086</v>
      </c>
      <c r="AG42" s="92">
        <f t="shared" si="7"/>
        <v>-3.8845797823103316E-2</v>
      </c>
      <c r="AH42" s="92">
        <f t="shared" si="10"/>
        <v>-2.4462851212102231E-3</v>
      </c>
    </row>
    <row r="43" spans="3:34" x14ac:dyDescent="0.25">
      <c r="C43" s="363"/>
      <c r="D43" s="364"/>
      <c r="E43" s="141"/>
      <c r="G43" s="364"/>
      <c r="Y43" s="39">
        <v>1997</v>
      </c>
      <c r="Z43" s="26">
        <v>1</v>
      </c>
      <c r="AA43" s="26">
        <v>0</v>
      </c>
      <c r="AB43" s="26">
        <v>1146.3158659943949</v>
      </c>
      <c r="AC43" s="35">
        <v>1586.3732428199996</v>
      </c>
      <c r="AD43" s="5">
        <v>1327.8305799999998</v>
      </c>
      <c r="AE43" s="5">
        <f t="shared" si="5"/>
        <v>2474.1464459943945</v>
      </c>
      <c r="AF43" s="5">
        <f t="shared" si="6"/>
        <v>-887.77320317439489</v>
      </c>
      <c r="AG43" s="92">
        <f t="shared" si="7"/>
        <v>-0.35881999006634641</v>
      </c>
      <c r="AH43" s="92">
        <f t="shared" si="10"/>
        <v>-8.0944757172578638E-2</v>
      </c>
    </row>
    <row r="44" spans="3:34" x14ac:dyDescent="0.25">
      <c r="Y44" s="95">
        <v>1998</v>
      </c>
      <c r="Z44" s="96">
        <v>5</v>
      </c>
      <c r="AA44" s="96">
        <v>0</v>
      </c>
      <c r="AB44" s="96">
        <v>13119.068979586229</v>
      </c>
      <c r="AC44" s="97">
        <v>5407.6943791999965</v>
      </c>
      <c r="AD44" s="97">
        <v>1500.9798639999999</v>
      </c>
      <c r="AE44" s="97">
        <f t="shared" si="5"/>
        <v>14620.048843586228</v>
      </c>
      <c r="AF44" s="97">
        <f t="shared" si="6"/>
        <v>-9212.3544643862315</v>
      </c>
      <c r="AG44" s="98">
        <f t="shared" si="7"/>
        <v>-0.63011789925911665</v>
      </c>
      <c r="AH44" s="98">
        <f t="shared" si="10"/>
        <v>-0.83995753920157457</v>
      </c>
    </row>
    <row r="45" spans="3:34" x14ac:dyDescent="0.25">
      <c r="Y45" s="39">
        <v>1999</v>
      </c>
      <c r="Z45" s="26">
        <v>1</v>
      </c>
      <c r="AA45" s="26">
        <v>0</v>
      </c>
      <c r="AB45" s="26">
        <v>432.89310943700394</v>
      </c>
      <c r="AC45" s="35">
        <v>3542.1024917700001</v>
      </c>
      <c r="AD45" s="5">
        <v>2864.5249640000002</v>
      </c>
      <c r="AE45" s="5">
        <f t="shared" si="5"/>
        <v>3297.4180734370043</v>
      </c>
      <c r="AF45" s="5">
        <f t="shared" si="6"/>
        <v>244.68441833299585</v>
      </c>
      <c r="AG45" s="92">
        <f t="shared" si="7"/>
        <v>7.4204851457599211E-2</v>
      </c>
      <c r="AH45" s="92">
        <f t="shared" si="10"/>
        <v>2.230966282273256E-2</v>
      </c>
    </row>
    <row r="46" spans="3:34" x14ac:dyDescent="0.25">
      <c r="Y46" s="39">
        <v>2000</v>
      </c>
      <c r="Z46" s="26">
        <v>1</v>
      </c>
      <c r="AA46" s="26">
        <v>0</v>
      </c>
      <c r="AB46" s="26">
        <v>496.16790696280884</v>
      </c>
      <c r="AC46" s="35">
        <v>2389.7159746320008</v>
      </c>
      <c r="AD46" s="5">
        <v>2331.1881320000007</v>
      </c>
      <c r="AE46" s="5">
        <f t="shared" si="5"/>
        <v>2827.3560389628096</v>
      </c>
      <c r="AF46" s="5">
        <f t="shared" si="6"/>
        <v>-437.64006433080885</v>
      </c>
      <c r="AG46" s="92">
        <f t="shared" si="7"/>
        <v>-0.15478774455705027</v>
      </c>
      <c r="AH46" s="92">
        <f t="shared" si="10"/>
        <v>-3.9902836230674296E-2</v>
      </c>
    </row>
    <row r="47" spans="3:34" x14ac:dyDescent="0.25">
      <c r="Y47" s="39">
        <v>2001</v>
      </c>
      <c r="Z47" s="26"/>
      <c r="AA47" s="26"/>
      <c r="AB47" s="26"/>
      <c r="AC47" s="35">
        <v>1298.972366</v>
      </c>
      <c r="AD47" s="5">
        <v>1372.165086</v>
      </c>
      <c r="AE47" s="5">
        <f t="shared" si="5"/>
        <v>1372.165086</v>
      </c>
      <c r="AF47" s="5">
        <f t="shared" si="6"/>
        <v>-73.192720000000008</v>
      </c>
      <c r="AG47" s="92">
        <f t="shared" si="7"/>
        <v>-5.3341045291688767E-2</v>
      </c>
      <c r="AH47" s="92">
        <f t="shared" si="10"/>
        <v>-6.6735140529317304E-3</v>
      </c>
    </row>
    <row r="48" spans="3:34" x14ac:dyDescent="0.25">
      <c r="Y48" s="39">
        <v>2002</v>
      </c>
      <c r="Z48" s="26">
        <v>11</v>
      </c>
      <c r="AA48" s="26">
        <v>0</v>
      </c>
      <c r="AB48" s="26">
        <v>12580.45836544693</v>
      </c>
      <c r="AC48" s="35">
        <v>9006.1647152899968</v>
      </c>
      <c r="AD48" s="5">
        <v>875.40256799999997</v>
      </c>
      <c r="AE48" s="5">
        <f t="shared" si="5"/>
        <v>13455.860933446929</v>
      </c>
      <c r="AF48" s="5">
        <f t="shared" si="6"/>
        <v>-4449.6962181569324</v>
      </c>
      <c r="AG48" s="92">
        <f t="shared" si="7"/>
        <v>-0.33068833277671761</v>
      </c>
      <c r="AH48" s="92">
        <f t="shared" si="10"/>
        <v>-0.40571125438633049</v>
      </c>
    </row>
    <row r="49" spans="25:34" x14ac:dyDescent="0.25">
      <c r="Y49" s="39">
        <v>2003</v>
      </c>
      <c r="Z49" s="26">
        <v>2</v>
      </c>
      <c r="AA49" s="26">
        <v>0</v>
      </c>
      <c r="AB49" s="26">
        <v>1736.3750300934075</v>
      </c>
      <c r="AC49" s="35">
        <v>677.45341404900023</v>
      </c>
      <c r="AD49" s="5">
        <v>139.44094999999999</v>
      </c>
      <c r="AE49" s="5">
        <f t="shared" si="5"/>
        <v>1875.8159800934075</v>
      </c>
      <c r="AF49" s="5">
        <f t="shared" si="6"/>
        <v>-1198.3625660444072</v>
      </c>
      <c r="AG49" s="92">
        <f t="shared" si="7"/>
        <v>-0.63884868172662335</v>
      </c>
      <c r="AH49" s="92">
        <f t="shared" si="10"/>
        <v>-0.10926345441192348</v>
      </c>
    </row>
    <row r="50" spans="25:34" x14ac:dyDescent="0.25">
      <c r="Y50" s="39">
        <v>2004</v>
      </c>
      <c r="Z50" s="26">
        <v>1</v>
      </c>
      <c r="AA50" s="26">
        <v>0</v>
      </c>
      <c r="AB50" s="26">
        <v>1300.0877665362964</v>
      </c>
      <c r="AC50" s="35">
        <v>1676.5639679999997</v>
      </c>
      <c r="AD50" s="5">
        <v>216.73422599999998</v>
      </c>
      <c r="AE50" s="5">
        <f t="shared" si="5"/>
        <v>1516.8219925362964</v>
      </c>
      <c r="AF50" s="5">
        <f t="shared" si="6"/>
        <v>159.74197546370328</v>
      </c>
      <c r="AG50" s="92">
        <f t="shared" si="7"/>
        <v>0.10531359398118746</v>
      </c>
      <c r="AH50" s="92">
        <f t="shared" si="10"/>
        <v>1.4564840848927316E-2</v>
      </c>
    </row>
    <row r="51" spans="25:34" x14ac:dyDescent="0.25">
      <c r="Y51" s="95">
        <v>2005</v>
      </c>
      <c r="Z51" s="96">
        <v>2</v>
      </c>
      <c r="AA51" s="96">
        <v>0</v>
      </c>
      <c r="AB51" s="96">
        <v>19318.726011320286</v>
      </c>
      <c r="AC51" s="97">
        <v>5942.0843694999994</v>
      </c>
      <c r="AD51" s="97">
        <v>93.210488000000012</v>
      </c>
      <c r="AE51" s="97">
        <f t="shared" si="5"/>
        <v>19411.936499320287</v>
      </c>
      <c r="AF51" s="97">
        <f t="shared" si="6"/>
        <v>-13469.852129820287</v>
      </c>
      <c r="AG51" s="98">
        <f t="shared" si="7"/>
        <v>-0.69389533240498369</v>
      </c>
      <c r="AH51" s="98">
        <f t="shared" si="10"/>
        <v>-1.2281446498950725</v>
      </c>
    </row>
    <row r="52" spans="25:34" x14ac:dyDescent="0.25">
      <c r="Y52" s="95">
        <v>2006</v>
      </c>
      <c r="Z52" s="96">
        <v>6</v>
      </c>
      <c r="AA52" s="96">
        <v>0</v>
      </c>
      <c r="AB52" s="96">
        <v>19487.36709012949</v>
      </c>
      <c r="AC52" s="97">
        <v>9037.8918617299969</v>
      </c>
      <c r="AD52" s="97">
        <v>385.76090800000003</v>
      </c>
      <c r="AE52" s="97">
        <f t="shared" si="5"/>
        <v>19873.12799812949</v>
      </c>
      <c r="AF52" s="97">
        <f t="shared" si="6"/>
        <v>-10835.236136399493</v>
      </c>
      <c r="AG52" s="98">
        <f t="shared" si="7"/>
        <v>-0.5452204674281439</v>
      </c>
      <c r="AH52" s="98">
        <f t="shared" si="10"/>
        <v>-0.98792749638346156</v>
      </c>
    </row>
    <row r="53" spans="25:34" x14ac:dyDescent="0.25">
      <c r="Y53" s="39">
        <v>2007</v>
      </c>
      <c r="Z53" s="26">
        <v>2</v>
      </c>
      <c r="AA53" s="26">
        <v>0</v>
      </c>
      <c r="AB53" s="26">
        <v>1055.2904277799689</v>
      </c>
      <c r="AC53" s="35">
        <v>4954.5311781019991</v>
      </c>
      <c r="AD53" s="5">
        <v>3001.2255962000013</v>
      </c>
      <c r="AE53" s="5">
        <f t="shared" si="5"/>
        <v>4056.5160239799702</v>
      </c>
      <c r="AF53" s="5">
        <f t="shared" si="6"/>
        <v>898.01515412202889</v>
      </c>
      <c r="AG53" s="92">
        <f t="shared" si="7"/>
        <v>0.2213759661772417</v>
      </c>
      <c r="AH53" s="92">
        <f t="shared" si="10"/>
        <v>8.1878590531667808E-2</v>
      </c>
    </row>
    <row r="54" spans="25:34" x14ac:dyDescent="0.25">
      <c r="Y54" s="39">
        <v>2008</v>
      </c>
      <c r="Z54" s="26">
        <v>1</v>
      </c>
      <c r="AA54" s="26">
        <v>1</v>
      </c>
      <c r="AB54" s="26">
        <v>1812.9059762495124</v>
      </c>
      <c r="AC54" s="35">
        <v>2802.8162663839998</v>
      </c>
      <c r="AD54" s="5">
        <v>726.16437559999997</v>
      </c>
      <c r="AE54" s="5">
        <f t="shared" si="5"/>
        <v>2539.0703518495125</v>
      </c>
      <c r="AF54" s="5">
        <f t="shared" si="6"/>
        <v>263.74591453448738</v>
      </c>
      <c r="AG54" s="92">
        <f t="shared" si="7"/>
        <v>0.10387499280686306</v>
      </c>
      <c r="AH54" s="92">
        <f t="shared" si="10"/>
        <v>2.40476384406705E-2</v>
      </c>
    </row>
    <row r="55" spans="25:34" x14ac:dyDescent="0.25">
      <c r="Y55" s="95">
        <v>2009</v>
      </c>
      <c r="Z55" s="96">
        <v>2</v>
      </c>
      <c r="AA55" s="96">
        <v>0</v>
      </c>
      <c r="AB55" s="96">
        <v>5447.8324532938677</v>
      </c>
      <c r="AC55" s="97">
        <v>1107.9918753490001</v>
      </c>
      <c r="AD55" s="97">
        <v>28.895692199999999</v>
      </c>
      <c r="AE55" s="97">
        <f t="shared" si="5"/>
        <v>5476.7281454938675</v>
      </c>
      <c r="AF55" s="97">
        <f t="shared" si="6"/>
        <v>-4368.7362701448674</v>
      </c>
      <c r="AG55" s="98">
        <f t="shared" si="7"/>
        <v>-0.79769091218072752</v>
      </c>
      <c r="AH55" s="98">
        <f t="shared" si="10"/>
        <v>-0.39832954551168914</v>
      </c>
    </row>
    <row r="56" spans="25:34" x14ac:dyDescent="0.25">
      <c r="Y56" s="39">
        <v>2010</v>
      </c>
      <c r="Z56" s="26">
        <v>2</v>
      </c>
      <c r="AA56" s="26">
        <v>3</v>
      </c>
      <c r="AB56" s="26">
        <v>13004.487304209593</v>
      </c>
      <c r="AC56" s="35">
        <v>7111.1700355999965</v>
      </c>
      <c r="AD56" s="5">
        <v>80.247439999999969</v>
      </c>
      <c r="AE56" s="5">
        <f t="shared" si="5"/>
        <v>13084.734744209592</v>
      </c>
      <c r="AF56" s="5">
        <f t="shared" si="6"/>
        <v>-5973.564708609596</v>
      </c>
      <c r="AG56" s="92">
        <f t="shared" si="7"/>
        <v>-0.45652929351533755</v>
      </c>
      <c r="AH56" s="92">
        <f t="shared" si="10"/>
        <v>-0.54465345773463769</v>
      </c>
    </row>
    <row r="57" spans="25:34" x14ac:dyDescent="0.25">
      <c r="Y57" s="39">
        <v>2011</v>
      </c>
      <c r="Z57" s="26">
        <v>1</v>
      </c>
      <c r="AA57" s="26">
        <v>0</v>
      </c>
      <c r="AB57" s="26">
        <v>2430.7763882902723</v>
      </c>
      <c r="AC57" s="35">
        <v>635.86264720999986</v>
      </c>
      <c r="AD57" s="5">
        <v>92.672565599999999</v>
      </c>
      <c r="AE57" s="5">
        <f t="shared" si="5"/>
        <v>2523.4489538902722</v>
      </c>
      <c r="AF57" s="5">
        <f t="shared" si="6"/>
        <v>-1887.5863066802722</v>
      </c>
      <c r="AG57" s="92">
        <f t="shared" si="7"/>
        <v>-0.74801842286933407</v>
      </c>
      <c r="AH57" s="92">
        <f t="shared" si="10"/>
        <v>-0.17210500912867152</v>
      </c>
    </row>
    <row r="58" spans="25:34" x14ac:dyDescent="0.25">
      <c r="Y58" s="95">
        <v>2012</v>
      </c>
      <c r="Z58" s="96">
        <v>8</v>
      </c>
      <c r="AA58" s="96">
        <v>0</v>
      </c>
      <c r="AB58" s="96">
        <v>24243.273703040544</v>
      </c>
      <c r="AC58" s="97">
        <v>6128.3999392799988</v>
      </c>
      <c r="AD58" s="97">
        <v>182.2234176</v>
      </c>
      <c r="AE58" s="97">
        <f t="shared" si="5"/>
        <v>24425.497120640543</v>
      </c>
      <c r="AF58" s="97">
        <f t="shared" si="6"/>
        <v>-18297.097181360543</v>
      </c>
      <c r="AG58" s="98">
        <f t="shared" si="7"/>
        <v>-0.74909825134730823</v>
      </c>
      <c r="AH58" s="98">
        <f t="shared" si="10"/>
        <v>-1.6682797847609314</v>
      </c>
    </row>
    <row r="59" spans="25:34" x14ac:dyDescent="0.25">
      <c r="Y59" s="95">
        <v>2013</v>
      </c>
      <c r="Z59" s="96">
        <v>4</v>
      </c>
      <c r="AA59" s="96">
        <v>0</v>
      </c>
      <c r="AB59" s="96">
        <v>7116.4187448916528</v>
      </c>
      <c r="AC59" s="97">
        <v>1449.1154326800001</v>
      </c>
      <c r="AD59" s="97">
        <v>7.9365600000000001</v>
      </c>
      <c r="AE59" s="97">
        <f t="shared" si="5"/>
        <v>7124.3553048916528</v>
      </c>
      <c r="AF59" s="97">
        <f t="shared" si="6"/>
        <v>-5675.2398722116523</v>
      </c>
      <c r="AG59" s="98">
        <f t="shared" si="7"/>
        <v>-0.7965969732468251</v>
      </c>
      <c r="AH59" s="98">
        <f t="shared" si="10"/>
        <v>-0.51745300681492545</v>
      </c>
    </row>
    <row r="60" spans="25:34" x14ac:dyDescent="0.25">
      <c r="Y60" s="39">
        <v>2014</v>
      </c>
      <c r="Z60" s="26">
        <v>0</v>
      </c>
      <c r="AA60" s="26">
        <v>0</v>
      </c>
      <c r="AB60" s="26">
        <v>0</v>
      </c>
      <c r="AC60" s="35">
        <v>23.809680000000004</v>
      </c>
      <c r="AD60" s="5">
        <v>23.809680000000004</v>
      </c>
      <c r="AE60" s="5">
        <f t="shared" si="5"/>
        <v>23.809680000000004</v>
      </c>
      <c r="AF60" s="5">
        <f t="shared" si="6"/>
        <v>0</v>
      </c>
      <c r="AG60" s="92">
        <f t="shared" si="7"/>
        <v>0</v>
      </c>
      <c r="AH60" s="92">
        <f t="shared" si="10"/>
        <v>0</v>
      </c>
    </row>
    <row r="61" spans="25:34" x14ac:dyDescent="0.25">
      <c r="Y61" s="39">
        <v>2015</v>
      </c>
      <c r="Z61" s="26"/>
      <c r="AA61" s="26"/>
      <c r="AB61" s="26"/>
      <c r="AC61" s="35">
        <v>11.073705799999999</v>
      </c>
      <c r="AD61" s="5">
        <v>11.073705799999999</v>
      </c>
      <c r="AE61" s="5">
        <f t="shared" si="5"/>
        <v>11.073705799999999</v>
      </c>
      <c r="AF61" s="5">
        <f t="shared" si="6"/>
        <v>0</v>
      </c>
      <c r="AG61" s="92">
        <f t="shared" si="7"/>
        <v>0</v>
      </c>
      <c r="AH61" s="92">
        <f t="shared" si="10"/>
        <v>0</v>
      </c>
    </row>
    <row r="62" spans="25:34" x14ac:dyDescent="0.25">
      <c r="Y62" s="39">
        <v>2016</v>
      </c>
      <c r="Z62" s="26">
        <v>3</v>
      </c>
      <c r="AA62" s="26">
        <v>0</v>
      </c>
      <c r="AB62" s="26">
        <v>465.76471165953842</v>
      </c>
      <c r="AC62" s="35">
        <v>171.04819517999999</v>
      </c>
      <c r="AD62" s="5">
        <v>4.9978281999999998</v>
      </c>
      <c r="AE62" s="5">
        <f t="shared" si="5"/>
        <v>470.76253985953844</v>
      </c>
      <c r="AF62" s="5">
        <f t="shared" si="6"/>
        <v>-299.71434467953844</v>
      </c>
      <c r="AG62" s="92">
        <f t="shared" si="7"/>
        <v>-0.63665716641125336</v>
      </c>
      <c r="AH62" s="92">
        <f t="shared" si="10"/>
        <v>-2.7327142522973923E-2</v>
      </c>
    </row>
    <row r="63" spans="25:34" x14ac:dyDescent="0.25">
      <c r="Y63" s="95">
        <v>2017</v>
      </c>
      <c r="Z63" s="96">
        <v>2</v>
      </c>
      <c r="AA63" s="96">
        <v>0</v>
      </c>
      <c r="AB63" s="96">
        <v>45064.134555984281</v>
      </c>
      <c r="AC63" s="97">
        <v>7903.5395202</v>
      </c>
      <c r="AD63" s="97">
        <v>41.889604599999998</v>
      </c>
      <c r="AE63" s="97">
        <f t="shared" si="5"/>
        <v>45106.024160584282</v>
      </c>
      <c r="AF63" s="97">
        <f t="shared" si="6"/>
        <v>-37202.484640384282</v>
      </c>
      <c r="AG63" s="98">
        <f t="shared" si="7"/>
        <v>-0.824778626197197</v>
      </c>
      <c r="AH63" s="98">
        <f t="shared" si="10"/>
        <v>-3.392021830198158</v>
      </c>
    </row>
    <row r="64" spans="25:34" x14ac:dyDescent="0.25">
      <c r="Y64" s="61" t="s">
        <v>104</v>
      </c>
      <c r="AE64" s="5">
        <f>AVERAGE(AE32:AE63)</f>
        <v>10967.64304674624</v>
      </c>
    </row>
  </sheetData>
  <mergeCells count="7">
    <mergeCell ref="C37:C38"/>
    <mergeCell ref="D37:D38"/>
    <mergeCell ref="G37:G38"/>
    <mergeCell ref="M33:O33"/>
    <mergeCell ref="C42:C43"/>
    <mergeCell ref="D42:D43"/>
    <mergeCell ref="G42:G43"/>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67"/>
  <sheetViews>
    <sheetView topLeftCell="H1" workbookViewId="0">
      <selection activeCell="H46" sqref="H46"/>
    </sheetView>
  </sheetViews>
  <sheetFormatPr defaultRowHeight="15" x14ac:dyDescent="0.25"/>
  <cols>
    <col min="1" max="2" width="9.140625" style="17"/>
    <col min="3" max="3" width="14.28515625" style="17" bestFit="1" customWidth="1"/>
    <col min="4" max="4" width="13.28515625" style="17" bestFit="1" customWidth="1"/>
    <col min="5" max="5" width="11.5703125" style="17" bestFit="1" customWidth="1"/>
    <col min="6" max="6" width="11.5703125" style="17" customWidth="1"/>
    <col min="7" max="7" width="13.140625" style="17" customWidth="1"/>
    <col min="8" max="8" width="12.28515625" style="17" bestFit="1" customWidth="1"/>
    <col min="9" max="9" width="11" style="17" bestFit="1" customWidth="1"/>
    <col min="10" max="10" width="10.85546875" style="17" bestFit="1" customWidth="1"/>
    <col min="11" max="11" width="12.28515625" bestFit="1" customWidth="1"/>
    <col min="12" max="12" width="11.5703125" bestFit="1" customWidth="1"/>
    <col min="14" max="14" width="12" customWidth="1"/>
    <col min="15" max="15" width="17.28515625" bestFit="1" customWidth="1"/>
    <col min="16" max="16" width="9.7109375" bestFit="1" customWidth="1"/>
    <col min="17" max="17" width="10.7109375" bestFit="1" customWidth="1"/>
    <col min="18" max="18" width="10" bestFit="1" customWidth="1"/>
    <col min="20" max="20" width="9.85546875" bestFit="1" customWidth="1"/>
    <col min="21" max="21" width="11" bestFit="1" customWidth="1"/>
    <col min="22" max="22" width="9.7109375" bestFit="1" customWidth="1"/>
    <col min="25" max="25" width="12.85546875" bestFit="1" customWidth="1"/>
    <col min="27" max="27" width="10.28515625" bestFit="1" customWidth="1"/>
    <col min="32" max="32" width="10.85546875" bestFit="1" customWidth="1"/>
    <col min="33" max="33" width="10" bestFit="1" customWidth="1"/>
    <col min="39" max="39" width="10.7109375" bestFit="1" customWidth="1"/>
  </cols>
  <sheetData>
    <row r="1" spans="1:12" x14ac:dyDescent="0.25">
      <c r="C1" s="17" t="s">
        <v>14</v>
      </c>
    </row>
    <row r="2" spans="1:12" ht="14.45" customHeight="1" x14ac:dyDescent="0.25">
      <c r="K2" s="63"/>
      <c r="L2" s="64"/>
    </row>
    <row r="3" spans="1:12" x14ac:dyDescent="0.25">
      <c r="C3" s="18" t="s">
        <v>20</v>
      </c>
      <c r="D3" s="47" t="s">
        <v>316</v>
      </c>
      <c r="E3" s="10" t="s">
        <v>322</v>
      </c>
      <c r="F3" s="10" t="s">
        <v>323</v>
      </c>
      <c r="G3" s="9" t="s">
        <v>1</v>
      </c>
      <c r="H3" s="8" t="s">
        <v>305</v>
      </c>
      <c r="I3" s="34" t="s">
        <v>306</v>
      </c>
      <c r="J3" s="34" t="s">
        <v>324</v>
      </c>
      <c r="K3" s="65" t="s">
        <v>317</v>
      </c>
      <c r="L3" s="68" t="s">
        <v>309</v>
      </c>
    </row>
    <row r="4" spans="1:12" x14ac:dyDescent="0.25">
      <c r="C4" s="18">
        <v>1986</v>
      </c>
      <c r="D4" s="41">
        <f t="shared" ref="D4:D35" si="0">E4+G4</f>
        <v>330014.3225833</v>
      </c>
      <c r="E4" s="22">
        <v>56880.322583299989</v>
      </c>
      <c r="F4" s="22"/>
      <c r="G4" s="21">
        <v>273134</v>
      </c>
      <c r="H4" s="20">
        <f t="shared" ref="H4:H35" si="1">G4+I4</f>
        <v>329991.12718409998</v>
      </c>
      <c r="I4" s="35">
        <v>56857.127184099998</v>
      </c>
      <c r="J4" s="35"/>
      <c r="K4" s="66"/>
      <c r="L4" s="69"/>
    </row>
    <row r="5" spans="1:12" s="2" customFormat="1" x14ac:dyDescent="0.25">
      <c r="A5" s="23"/>
      <c r="B5" s="23"/>
      <c r="C5" s="18">
        <v>1987</v>
      </c>
      <c r="D5" s="41">
        <f t="shared" si="0"/>
        <v>386342.47975064605</v>
      </c>
      <c r="E5" s="22">
        <v>63836.479750646024</v>
      </c>
      <c r="F5" s="22"/>
      <c r="G5" s="21">
        <v>322506</v>
      </c>
      <c r="H5" s="20">
        <f t="shared" si="1"/>
        <v>386330.28554792004</v>
      </c>
      <c r="I5" s="35">
        <v>63824.285547920023</v>
      </c>
      <c r="J5" s="35"/>
      <c r="K5" s="66"/>
      <c r="L5" s="70"/>
    </row>
    <row r="6" spans="1:12" x14ac:dyDescent="0.25">
      <c r="C6" s="18">
        <v>1988</v>
      </c>
      <c r="D6" s="41">
        <f t="shared" si="0"/>
        <v>434445.90408756002</v>
      </c>
      <c r="E6" s="22">
        <v>133055.90408755999</v>
      </c>
      <c r="F6" s="22"/>
      <c r="G6" s="21">
        <v>301390</v>
      </c>
      <c r="H6" s="20">
        <f t="shared" si="1"/>
        <v>483637.61235550011</v>
      </c>
      <c r="I6" s="35">
        <v>182247.61235550008</v>
      </c>
      <c r="J6" s="35"/>
      <c r="K6" s="66"/>
      <c r="L6" s="71"/>
    </row>
    <row r="7" spans="1:12" x14ac:dyDescent="0.25">
      <c r="C7" s="18">
        <v>1989</v>
      </c>
      <c r="D7" s="41">
        <f t="shared" si="0"/>
        <v>494436.44433168898</v>
      </c>
      <c r="E7" s="22">
        <v>113997.44433168898</v>
      </c>
      <c r="F7" s="22"/>
      <c r="G7" s="21">
        <v>380439</v>
      </c>
      <c r="H7" s="20">
        <f t="shared" si="1"/>
        <v>506147.52685018902</v>
      </c>
      <c r="I7" s="35">
        <v>125708.52685018902</v>
      </c>
      <c r="J7" s="35"/>
      <c r="K7" s="66"/>
      <c r="L7" s="71"/>
    </row>
    <row r="8" spans="1:12" x14ac:dyDescent="0.25">
      <c r="C8" s="18">
        <v>1990</v>
      </c>
      <c r="D8" s="41">
        <f t="shared" si="0"/>
        <v>616511.26069972001</v>
      </c>
      <c r="E8" s="22">
        <v>124502.26069971999</v>
      </c>
      <c r="F8" s="22"/>
      <c r="G8" s="21">
        <v>492009</v>
      </c>
      <c r="H8" s="20">
        <f t="shared" si="1"/>
        <v>620553.80704048998</v>
      </c>
      <c r="I8" s="35">
        <v>128544.80704049002</v>
      </c>
      <c r="J8" s="35"/>
      <c r="K8" s="66"/>
      <c r="L8" s="71"/>
    </row>
    <row r="9" spans="1:12" s="6" customFormat="1" x14ac:dyDescent="0.25">
      <c r="A9" s="17"/>
      <c r="B9" s="17"/>
      <c r="C9" s="18">
        <v>1991</v>
      </c>
      <c r="D9" s="41">
        <f t="shared" si="0"/>
        <v>613207.04606521991</v>
      </c>
      <c r="E9" s="22">
        <v>206847.04606521997</v>
      </c>
      <c r="F9" s="22"/>
      <c r="G9" s="21">
        <v>406360</v>
      </c>
      <c r="H9" s="20">
        <f t="shared" si="1"/>
        <v>612606.69434793992</v>
      </c>
      <c r="I9" s="35">
        <v>206246.69434793995</v>
      </c>
      <c r="J9" s="35"/>
      <c r="K9" s="66"/>
      <c r="L9" s="71"/>
    </row>
    <row r="10" spans="1:12" x14ac:dyDescent="0.25">
      <c r="C10" s="18">
        <v>1992</v>
      </c>
      <c r="D10" s="41">
        <f t="shared" si="0"/>
        <v>400581.17364747002</v>
      </c>
      <c r="E10" s="22">
        <v>106096.17364747</v>
      </c>
      <c r="F10" s="22"/>
      <c r="G10" s="21">
        <v>294485</v>
      </c>
      <c r="H10" s="20">
        <f t="shared" si="1"/>
        <v>400012.51566947001</v>
      </c>
      <c r="I10" s="35">
        <v>105527.51566947001</v>
      </c>
      <c r="J10" s="35"/>
      <c r="K10" s="66"/>
      <c r="L10" s="71"/>
    </row>
    <row r="11" spans="1:12" x14ac:dyDescent="0.25">
      <c r="C11" s="18">
        <v>1993</v>
      </c>
      <c r="D11" s="41">
        <f t="shared" si="0"/>
        <v>423617.67012919998</v>
      </c>
      <c r="E11" s="22">
        <v>107146.67012920001</v>
      </c>
      <c r="F11" s="22"/>
      <c r="G11" s="21">
        <v>316471</v>
      </c>
      <c r="H11" s="20">
        <f t="shared" si="1"/>
        <v>422995.52628539997</v>
      </c>
      <c r="I11" s="35">
        <v>106524.52628539996</v>
      </c>
      <c r="J11" s="35"/>
      <c r="K11" s="66"/>
      <c r="L11" s="71"/>
    </row>
    <row r="12" spans="1:12" x14ac:dyDescent="0.25">
      <c r="C12" s="18">
        <v>1994</v>
      </c>
      <c r="D12" s="41">
        <f t="shared" si="0"/>
        <v>479093.13188761997</v>
      </c>
      <c r="E12" s="22">
        <v>143142.13188761997</v>
      </c>
      <c r="F12" s="22"/>
      <c r="G12" s="21">
        <v>335951</v>
      </c>
      <c r="H12" s="20">
        <f t="shared" si="1"/>
        <v>479557.59136962006</v>
      </c>
      <c r="I12" s="35">
        <v>143606.59136962006</v>
      </c>
      <c r="J12" s="35"/>
      <c r="K12" s="66"/>
      <c r="L12" s="71"/>
    </row>
    <row r="13" spans="1:12" x14ac:dyDescent="0.25">
      <c r="C13" s="18">
        <v>1995</v>
      </c>
      <c r="D13" s="41">
        <f t="shared" si="0"/>
        <v>454240.65081273997</v>
      </c>
      <c r="E13" s="22">
        <v>78965.650812739987</v>
      </c>
      <c r="F13" s="22"/>
      <c r="G13" s="21">
        <v>375275</v>
      </c>
      <c r="H13" s="20">
        <f t="shared" si="1"/>
        <v>454239.89115519996</v>
      </c>
      <c r="I13" s="35">
        <v>78964.891155199992</v>
      </c>
      <c r="J13" s="35"/>
      <c r="K13" s="66"/>
      <c r="L13" s="71"/>
    </row>
    <row r="14" spans="1:12" x14ac:dyDescent="0.25">
      <c r="C14" s="18">
        <v>1996</v>
      </c>
      <c r="D14" s="41">
        <f t="shared" si="0"/>
        <v>389321.36457613</v>
      </c>
      <c r="E14" s="22">
        <v>82315.364576129985</v>
      </c>
      <c r="F14" s="22"/>
      <c r="G14" s="21">
        <v>307006</v>
      </c>
      <c r="H14" s="20">
        <f t="shared" si="1"/>
        <v>415976.8992321</v>
      </c>
      <c r="I14" s="35">
        <v>108970.8992321</v>
      </c>
      <c r="J14" s="35"/>
      <c r="K14" s="66"/>
      <c r="L14" s="71"/>
    </row>
    <row r="15" spans="1:12" x14ac:dyDescent="0.25">
      <c r="C15" s="18">
        <v>1997</v>
      </c>
      <c r="D15" s="41">
        <f t="shared" si="0"/>
        <v>393121.42608177004</v>
      </c>
      <c r="E15" s="22">
        <v>80758.426081770027</v>
      </c>
      <c r="F15" s="22"/>
      <c r="G15" s="21">
        <v>312363</v>
      </c>
      <c r="H15" s="20">
        <f t="shared" si="1"/>
        <v>392289.12607602001</v>
      </c>
      <c r="I15" s="35">
        <v>79926.126076020024</v>
      </c>
      <c r="J15" s="35"/>
      <c r="K15" s="66"/>
      <c r="L15" s="71"/>
    </row>
    <row r="16" spans="1:12" x14ac:dyDescent="0.25">
      <c r="C16" s="18">
        <v>1998</v>
      </c>
      <c r="D16" s="41">
        <f t="shared" si="0"/>
        <v>393435.71147025004</v>
      </c>
      <c r="E16" s="22">
        <v>99565.711470250011</v>
      </c>
      <c r="F16" s="22"/>
      <c r="G16" s="21">
        <v>293870</v>
      </c>
      <c r="H16" s="20">
        <f t="shared" si="1"/>
        <v>393607.17313022004</v>
      </c>
      <c r="I16" s="35">
        <v>99737.173130220006</v>
      </c>
      <c r="J16" s="35"/>
      <c r="K16" s="66"/>
      <c r="L16" s="71"/>
    </row>
    <row r="17" spans="1:13" x14ac:dyDescent="0.25">
      <c r="A17" s="141">
        <f>_xlfn.RANK.AVG(D17,$D$17:$D$25)</f>
        <v>5</v>
      </c>
      <c r="B17" s="141">
        <f>_xlfn.RANK.AVG(G17,$G$17:$G$25)</f>
        <v>1</v>
      </c>
      <c r="C17" s="18">
        <v>1999</v>
      </c>
      <c r="D17" s="41">
        <f t="shared" si="0"/>
        <v>609071.84973529086</v>
      </c>
      <c r="E17" s="22">
        <v>193987.84973529089</v>
      </c>
      <c r="F17" s="22"/>
      <c r="G17" s="21">
        <v>415084</v>
      </c>
      <c r="H17" s="20">
        <f t="shared" si="1"/>
        <v>598616.57401141617</v>
      </c>
      <c r="I17" s="35">
        <v>183532.57401141612</v>
      </c>
      <c r="J17" s="35"/>
      <c r="K17" s="66"/>
      <c r="L17" s="71"/>
      <c r="M17" s="17"/>
    </row>
    <row r="18" spans="1:13" x14ac:dyDescent="0.25">
      <c r="A18" s="141">
        <f t="shared" ref="A18:A25" si="2">_xlfn.RANK.AVG(D18,$D$17:$D$25)</f>
        <v>4</v>
      </c>
      <c r="B18" s="141">
        <f t="shared" ref="B18:B25" si="3">_xlfn.RANK.AVG(G18,$G$17:$G$25)</f>
        <v>4</v>
      </c>
      <c r="C18" s="18">
        <v>2000</v>
      </c>
      <c r="D18" s="41">
        <f t="shared" si="0"/>
        <v>671923.21018169005</v>
      </c>
      <c r="E18" s="22">
        <v>344799.21018169005</v>
      </c>
      <c r="F18" s="22"/>
      <c r="G18" s="21">
        <v>327124</v>
      </c>
      <c r="H18" s="20">
        <f t="shared" si="1"/>
        <v>666674.24158585572</v>
      </c>
      <c r="I18" s="35">
        <v>339550.24158585572</v>
      </c>
      <c r="J18" s="35"/>
      <c r="K18" s="66"/>
      <c r="L18" s="71"/>
      <c r="M18" s="17"/>
    </row>
    <row r="19" spans="1:13" x14ac:dyDescent="0.25">
      <c r="A19" s="141">
        <f t="shared" si="2"/>
        <v>9</v>
      </c>
      <c r="B19" s="141">
        <f t="shared" si="3"/>
        <v>9</v>
      </c>
      <c r="C19" s="18">
        <v>2001</v>
      </c>
      <c r="D19" s="41">
        <f t="shared" si="0"/>
        <v>417973.87976291002</v>
      </c>
      <c r="E19" s="22">
        <v>165809.87976291002</v>
      </c>
      <c r="F19" s="22"/>
      <c r="G19" s="21">
        <v>252164</v>
      </c>
      <c r="H19" s="20">
        <f t="shared" si="1"/>
        <v>423768.53953720012</v>
      </c>
      <c r="I19" s="35">
        <v>171604.53953720009</v>
      </c>
      <c r="J19" s="35"/>
      <c r="K19" s="66"/>
      <c r="L19" s="71"/>
      <c r="M19" s="17"/>
    </row>
    <row r="20" spans="1:13" x14ac:dyDescent="0.25">
      <c r="A20" s="141">
        <f t="shared" si="2"/>
        <v>3</v>
      </c>
      <c r="B20" s="141">
        <f t="shared" si="3"/>
        <v>8</v>
      </c>
      <c r="C20" s="18">
        <v>2002</v>
      </c>
      <c r="D20" s="41">
        <f t="shared" si="0"/>
        <v>673047.95668317005</v>
      </c>
      <c r="E20" s="22">
        <v>405513.95668316999</v>
      </c>
      <c r="F20" s="22"/>
      <c r="G20" s="21">
        <v>267534</v>
      </c>
      <c r="H20" s="20">
        <f t="shared" si="1"/>
        <v>675620.93567342032</v>
      </c>
      <c r="I20" s="35">
        <v>408086.93567342032</v>
      </c>
      <c r="J20" s="35"/>
      <c r="K20" s="66"/>
      <c r="L20" s="71"/>
      <c r="M20" s="17"/>
    </row>
    <row r="21" spans="1:13" x14ac:dyDescent="0.25">
      <c r="A21" s="141">
        <f t="shared" si="2"/>
        <v>7</v>
      </c>
      <c r="B21" s="141">
        <f t="shared" si="3"/>
        <v>6</v>
      </c>
      <c r="C21" s="18">
        <v>2003</v>
      </c>
      <c r="D21" s="41">
        <f t="shared" si="0"/>
        <v>551542.97469314002</v>
      </c>
      <c r="E21" s="22">
        <v>259386.97469313996</v>
      </c>
      <c r="F21" s="22"/>
      <c r="G21" s="21">
        <v>292156</v>
      </c>
      <c r="H21" s="20">
        <f t="shared" si="1"/>
        <v>550061.98474094004</v>
      </c>
      <c r="I21" s="35">
        <v>257905.98474094001</v>
      </c>
      <c r="J21" s="35"/>
      <c r="K21" s="66"/>
      <c r="L21" s="71"/>
      <c r="M21" s="17"/>
    </row>
    <row r="22" spans="1:13" x14ac:dyDescent="0.25">
      <c r="A22" s="141">
        <f t="shared" si="2"/>
        <v>6</v>
      </c>
      <c r="B22" s="141">
        <f t="shared" si="3"/>
        <v>7</v>
      </c>
      <c r="C22" s="18">
        <v>2004</v>
      </c>
      <c r="D22" s="41">
        <f t="shared" si="0"/>
        <v>571233.82360161003</v>
      </c>
      <c r="E22" s="22">
        <v>282228.82360161003</v>
      </c>
      <c r="F22" s="22"/>
      <c r="G22" s="21">
        <v>289005</v>
      </c>
      <c r="H22" s="20">
        <f t="shared" si="1"/>
        <v>570966.37304928014</v>
      </c>
      <c r="I22" s="35">
        <v>281961.37304928014</v>
      </c>
      <c r="J22" s="35"/>
      <c r="K22" s="66"/>
      <c r="L22" s="71"/>
      <c r="M22" s="17"/>
    </row>
    <row r="23" spans="1:13" x14ac:dyDescent="0.25">
      <c r="A23" s="141">
        <f t="shared" si="2"/>
        <v>8</v>
      </c>
      <c r="B23" s="141">
        <f t="shared" si="3"/>
        <v>5</v>
      </c>
      <c r="C23" s="18">
        <v>2005</v>
      </c>
      <c r="D23" s="41">
        <f t="shared" si="0"/>
        <v>493606.18404144899</v>
      </c>
      <c r="E23" s="22">
        <v>186391.18404144899</v>
      </c>
      <c r="F23" s="22"/>
      <c r="G23" s="21">
        <v>307215</v>
      </c>
      <c r="H23" s="20">
        <f t="shared" si="1"/>
        <v>490465.23002031608</v>
      </c>
      <c r="I23" s="35">
        <v>183250.23002031608</v>
      </c>
      <c r="J23" s="35"/>
      <c r="K23" s="66"/>
      <c r="L23" s="71"/>
      <c r="M23" s="17"/>
    </row>
    <row r="24" spans="1:13" x14ac:dyDescent="0.25">
      <c r="A24" s="141">
        <f t="shared" si="2"/>
        <v>2</v>
      </c>
      <c r="B24" s="141">
        <f t="shared" si="3"/>
        <v>3</v>
      </c>
      <c r="C24" s="18">
        <v>2006</v>
      </c>
      <c r="D24" s="41">
        <f t="shared" si="0"/>
        <v>715125.373354426</v>
      </c>
      <c r="E24" s="22">
        <v>359569.373354426</v>
      </c>
      <c r="F24" s="22"/>
      <c r="G24" s="21">
        <v>355556</v>
      </c>
      <c r="H24" s="20">
        <f t="shared" si="1"/>
        <v>669040.16903717013</v>
      </c>
      <c r="I24" s="35">
        <v>313484.16903717013</v>
      </c>
      <c r="J24" s="35"/>
      <c r="K24" s="66"/>
      <c r="L24" s="71"/>
      <c r="M24" s="17"/>
    </row>
    <row r="25" spans="1:13" x14ac:dyDescent="0.25">
      <c r="A25" s="141">
        <f t="shared" si="2"/>
        <v>1</v>
      </c>
      <c r="B25" s="141">
        <f t="shared" si="3"/>
        <v>2</v>
      </c>
      <c r="C25" s="18">
        <v>2007</v>
      </c>
      <c r="D25" s="41">
        <f t="shared" si="0"/>
        <v>716402.28843603004</v>
      </c>
      <c r="E25" s="22">
        <v>336841.28843602998</v>
      </c>
      <c r="F25" s="22"/>
      <c r="G25" s="21">
        <v>379561</v>
      </c>
      <c r="H25" s="20">
        <f t="shared" si="1"/>
        <v>716011.17360323016</v>
      </c>
      <c r="I25" s="35">
        <v>336450.17360323016</v>
      </c>
      <c r="J25" s="35"/>
      <c r="K25" s="66"/>
      <c r="L25" s="71"/>
      <c r="M25" s="17"/>
    </row>
    <row r="26" spans="1:13" x14ac:dyDescent="0.25">
      <c r="C26" s="18">
        <v>2008</v>
      </c>
      <c r="D26" s="41">
        <f t="shared" si="0"/>
        <v>451562.09684147802</v>
      </c>
      <c r="E26" s="22">
        <v>167669.09684147799</v>
      </c>
      <c r="F26" s="22"/>
      <c r="G26" s="21">
        <v>283893</v>
      </c>
      <c r="H26" s="20">
        <f t="shared" si="1"/>
        <v>456011.06073783792</v>
      </c>
      <c r="I26" s="35">
        <v>172118.06073783795</v>
      </c>
      <c r="J26" s="35"/>
      <c r="K26" s="66"/>
      <c r="L26" s="71"/>
    </row>
    <row r="27" spans="1:13" x14ac:dyDescent="0.25">
      <c r="C27" s="18">
        <v>2009</v>
      </c>
      <c r="D27" s="41">
        <f t="shared" si="0"/>
        <v>411037.55838433304</v>
      </c>
      <c r="E27" s="22">
        <v>127405.55838433302</v>
      </c>
      <c r="F27" s="22"/>
      <c r="G27" s="21">
        <v>283632</v>
      </c>
      <c r="H27" s="20">
        <f t="shared" si="1"/>
        <v>411491.96098799189</v>
      </c>
      <c r="I27" s="35">
        <v>127859.96098799192</v>
      </c>
      <c r="J27" s="35"/>
      <c r="K27" s="66"/>
      <c r="L27" s="71"/>
    </row>
    <row r="28" spans="1:13" x14ac:dyDescent="0.25">
      <c r="C28" s="18">
        <v>2010</v>
      </c>
      <c r="D28" s="41">
        <f t="shared" si="0"/>
        <v>284285.98230797</v>
      </c>
      <c r="E28" s="22">
        <v>81883.98230797</v>
      </c>
      <c r="F28" s="22"/>
      <c r="G28" s="21">
        <v>202402</v>
      </c>
      <c r="H28" s="20">
        <f t="shared" si="1"/>
        <v>284019.95316806994</v>
      </c>
      <c r="I28" s="35">
        <v>81617.953168069973</v>
      </c>
      <c r="J28" s="35"/>
      <c r="K28" s="66"/>
      <c r="L28" s="71"/>
    </row>
    <row r="29" spans="1:13" x14ac:dyDescent="0.25">
      <c r="C29" s="18">
        <v>2011</v>
      </c>
      <c r="D29" s="41">
        <f t="shared" si="0"/>
        <v>231681.16337064002</v>
      </c>
      <c r="E29" s="22">
        <v>62952.163370640003</v>
      </c>
      <c r="F29" s="335">
        <v>0.57999999999999996</v>
      </c>
      <c r="G29" s="21">
        <v>168729</v>
      </c>
      <c r="H29" s="20">
        <f t="shared" si="1"/>
        <v>231768.45917394001</v>
      </c>
      <c r="I29" s="35">
        <v>63039.459173940013</v>
      </c>
      <c r="J29" s="337">
        <v>0.57999999999999996</v>
      </c>
      <c r="K29" s="66"/>
      <c r="L29" s="71"/>
    </row>
    <row r="30" spans="1:13" x14ac:dyDescent="0.25">
      <c r="C30" s="18">
        <v>2012</v>
      </c>
      <c r="D30" s="41">
        <f t="shared" si="0"/>
        <v>265935.68964821001</v>
      </c>
      <c r="E30" s="22">
        <v>88511.689648210013</v>
      </c>
      <c r="F30" s="335">
        <v>0.39500000000000002</v>
      </c>
      <c r="G30" s="21">
        <v>177424</v>
      </c>
      <c r="H30" s="20">
        <f t="shared" si="1"/>
        <v>238737.95868010996</v>
      </c>
      <c r="I30" s="35">
        <v>61313.958680109965</v>
      </c>
      <c r="J30" s="337">
        <v>0.39500000000000002</v>
      </c>
      <c r="K30" s="67">
        <f>$D$38</f>
        <v>413025.16522717185</v>
      </c>
      <c r="L30" s="72">
        <f>$H$38</f>
        <v>393041.03618801513</v>
      </c>
    </row>
    <row r="31" spans="1:13" x14ac:dyDescent="0.25">
      <c r="C31" s="18">
        <v>2013</v>
      </c>
      <c r="D31" s="41">
        <f t="shared" si="0"/>
        <v>249956.73521225998</v>
      </c>
      <c r="E31" s="22">
        <v>98775.735212259984</v>
      </c>
      <c r="F31" s="335">
        <v>0.33799999999999997</v>
      </c>
      <c r="G31" s="21">
        <v>151181</v>
      </c>
      <c r="H31" s="20">
        <f t="shared" si="1"/>
        <v>248502.89413522999</v>
      </c>
      <c r="I31" s="35">
        <v>97321.894135229973</v>
      </c>
      <c r="J31" s="337">
        <v>0.33799999999999997</v>
      </c>
      <c r="K31" s="67">
        <f t="shared" ref="K31:K32" si="4">$D$38</f>
        <v>413025.16522717185</v>
      </c>
      <c r="L31" s="72">
        <f t="shared" ref="L31:L32" si="5">$H$38</f>
        <v>393041.03618801513</v>
      </c>
    </row>
    <row r="32" spans="1:13" x14ac:dyDescent="0.25">
      <c r="C32" s="18">
        <v>2014</v>
      </c>
      <c r="D32" s="41">
        <f t="shared" si="0"/>
        <v>596144.89527908294</v>
      </c>
      <c r="E32" s="22">
        <v>418484.89527908299</v>
      </c>
      <c r="F32" s="335">
        <v>0.95700000000000007</v>
      </c>
      <c r="G32" s="21">
        <v>177660</v>
      </c>
      <c r="H32" s="20">
        <f t="shared" si="1"/>
        <v>550480.04133802303</v>
      </c>
      <c r="I32" s="35">
        <v>372820.04133802297</v>
      </c>
      <c r="J32" s="337">
        <v>0.95700000000000007</v>
      </c>
      <c r="K32" s="67">
        <f t="shared" si="4"/>
        <v>413025.16522717185</v>
      </c>
      <c r="L32" s="72">
        <f t="shared" si="5"/>
        <v>393041.03618801513</v>
      </c>
    </row>
    <row r="33" spans="3:39" s="17" customFormat="1" x14ac:dyDescent="0.25">
      <c r="C33" s="18">
        <v>2015</v>
      </c>
      <c r="D33" s="41">
        <f t="shared" si="0"/>
        <v>190972.9661357</v>
      </c>
      <c r="E33" s="22">
        <v>52154.9661357</v>
      </c>
      <c r="F33" s="335">
        <v>0.61299999999999999</v>
      </c>
      <c r="G33" s="21">
        <v>138818</v>
      </c>
      <c r="H33" s="20">
        <f t="shared" si="1"/>
        <v>187261.96777578999</v>
      </c>
      <c r="I33" s="35">
        <v>48443.967775789984</v>
      </c>
      <c r="J33" s="337">
        <v>0.61299999999999999</v>
      </c>
      <c r="K33" s="67">
        <f>$D$41</f>
        <v>314293.3971541631</v>
      </c>
      <c r="L33" s="72">
        <f>$H$41</f>
        <v>303190.12156045885</v>
      </c>
      <c r="O33" s="338"/>
      <c r="P33" s="338"/>
      <c r="Q33" s="338"/>
      <c r="AC33" s="88" t="s">
        <v>20</v>
      </c>
      <c r="AD33" s="88" t="s">
        <v>94</v>
      </c>
      <c r="AE33" s="88" t="s">
        <v>95</v>
      </c>
      <c r="AF33" s="88" t="s">
        <v>101</v>
      </c>
      <c r="AG33" s="93" t="s">
        <v>50</v>
      </c>
      <c r="AH33" s="88" t="s">
        <v>45</v>
      </c>
      <c r="AI33" s="88" t="s">
        <v>98</v>
      </c>
      <c r="AJ33" s="88" t="s">
        <v>97</v>
      </c>
      <c r="AK33" s="88" t="s">
        <v>99</v>
      </c>
      <c r="AL33" s="88" t="s">
        <v>103</v>
      </c>
    </row>
    <row r="34" spans="3:39" s="17" customFormat="1" x14ac:dyDescent="0.25">
      <c r="C34" s="18">
        <v>2016</v>
      </c>
      <c r="D34" s="41">
        <f t="shared" si="0"/>
        <v>190721.30727757001</v>
      </c>
      <c r="E34" s="22">
        <v>70703.307277569998</v>
      </c>
      <c r="F34" s="335">
        <v>0.46500000000000002</v>
      </c>
      <c r="G34" s="21">
        <v>120018</v>
      </c>
      <c r="H34" s="20">
        <f t="shared" si="1"/>
        <v>177581.96213232999</v>
      </c>
      <c r="I34" s="35">
        <v>57563.962132329994</v>
      </c>
      <c r="J34" s="337">
        <v>0.46500000000000002</v>
      </c>
      <c r="K34" s="67">
        <f t="shared" ref="K34:K35" si="6">$D$41</f>
        <v>314293.3971541631</v>
      </c>
      <c r="L34" s="72">
        <f t="shared" ref="L34:L35" si="7">$H$41</f>
        <v>303190.12156045885</v>
      </c>
      <c r="O34" s="339"/>
      <c r="P34" s="339"/>
      <c r="Q34" s="339"/>
      <c r="AC34" s="39">
        <v>1986</v>
      </c>
      <c r="AD34" s="26">
        <v>7</v>
      </c>
      <c r="AE34" s="26">
        <v>1</v>
      </c>
      <c r="AF34" s="26">
        <v>16258.456096635842</v>
      </c>
      <c r="AG34" s="35">
        <v>56857.127184099998</v>
      </c>
      <c r="AH34" s="5">
        <v>36890.08547179999</v>
      </c>
      <c r="AI34" s="5">
        <f>AF34+AH34</f>
        <v>53148.54156843583</v>
      </c>
      <c r="AJ34" s="5">
        <f>AG34-AI34</f>
        <v>3708.5856156641676</v>
      </c>
      <c r="AK34" s="92">
        <f>AJ34/AI34</f>
        <v>6.9777749421192858E-2</v>
      </c>
      <c r="AL34" s="92">
        <f>AJ34/$AI$67</f>
        <v>2.3610148084737465E-2</v>
      </c>
    </row>
    <row r="35" spans="3:39" x14ac:dyDescent="0.25">
      <c r="C35" s="18">
        <v>2017</v>
      </c>
      <c r="D35" s="41">
        <f t="shared" si="0"/>
        <v>158966.48852638999</v>
      </c>
      <c r="E35" s="22">
        <v>96830.488526390007</v>
      </c>
      <c r="F35" s="335">
        <v>0.39200000000000002</v>
      </c>
      <c r="G35" s="21">
        <v>62136</v>
      </c>
      <c r="H35" s="20">
        <f t="shared" si="1"/>
        <v>158870.69937284</v>
      </c>
      <c r="I35" s="35">
        <v>96734.699372839983</v>
      </c>
      <c r="J35" s="337">
        <v>0.39200000000000002</v>
      </c>
      <c r="K35" s="67">
        <f t="shared" si="6"/>
        <v>314293.3971541631</v>
      </c>
      <c r="L35" s="72">
        <f t="shared" si="7"/>
        <v>303190.12156045885</v>
      </c>
      <c r="O35" s="339"/>
      <c r="P35" s="339"/>
      <c r="Q35" s="339"/>
      <c r="X35" s="17"/>
      <c r="Y35" s="17"/>
      <c r="Z35" s="17"/>
      <c r="AA35" s="17"/>
      <c r="AB35" s="17"/>
      <c r="AC35" s="39">
        <v>1987</v>
      </c>
      <c r="AD35" s="26">
        <v>12</v>
      </c>
      <c r="AE35" s="26">
        <v>0</v>
      </c>
      <c r="AF35" s="26">
        <v>9469.8818129506872</v>
      </c>
      <c r="AG35" s="35">
        <v>63824.285547920023</v>
      </c>
      <c r="AH35" s="5">
        <v>53327.283246200022</v>
      </c>
      <c r="AI35" s="5">
        <f t="shared" ref="AI35:AI66" si="8">AF35+AH35</f>
        <v>62797.165059150706</v>
      </c>
      <c r="AJ35" s="5">
        <f t="shared" ref="AJ35:AJ66" si="9">AG35-AI35</f>
        <v>1027.1204887693166</v>
      </c>
      <c r="AK35" s="92">
        <f t="shared" ref="AK35:AK66" si="10">AJ35/AI35</f>
        <v>1.6356160151526557E-2</v>
      </c>
      <c r="AL35" s="92">
        <f t="shared" ref="AL35:AL66" si="11">AJ35/$AI$67</f>
        <v>6.5390068759053023E-3</v>
      </c>
    </row>
    <row r="36" spans="3:39" x14ac:dyDescent="0.25">
      <c r="C36" s="5" t="s">
        <v>318</v>
      </c>
      <c r="D36" s="5">
        <f>AVERAGE(D29:D35)</f>
        <v>269197.03506426472</v>
      </c>
      <c r="E36" s="5"/>
      <c r="F36" s="336">
        <f>AVERAGE(F29:F35)</f>
        <v>0.53428571428571425</v>
      </c>
      <c r="H36" s="5">
        <f>AVERAGE(H29:H35)</f>
        <v>256171.99751546612</v>
      </c>
      <c r="I36" s="5"/>
      <c r="J36" s="336">
        <f>AVERAGE(J29:J35)</f>
        <v>0.53428571428571425</v>
      </c>
      <c r="K36" s="63"/>
      <c r="L36" s="63"/>
      <c r="O36" s="339"/>
      <c r="P36" s="339"/>
      <c r="Q36" s="339"/>
      <c r="X36" s="17"/>
      <c r="Y36" s="17"/>
      <c r="Z36" s="17"/>
      <c r="AA36" s="17"/>
      <c r="AB36" s="17"/>
      <c r="AC36" s="39">
        <v>1988</v>
      </c>
      <c r="AD36" s="26">
        <v>53</v>
      </c>
      <c r="AE36" s="26">
        <v>20</v>
      </c>
      <c r="AF36" s="26">
        <v>8948.4116411565738</v>
      </c>
      <c r="AG36" s="35">
        <v>182247.61235550008</v>
      </c>
      <c r="AH36" s="5">
        <v>52006.388337800003</v>
      </c>
      <c r="AI36" s="5"/>
      <c r="AJ36" s="5"/>
      <c r="AK36" s="92" t="e">
        <f t="shared" si="10"/>
        <v>#DIV/0!</v>
      </c>
      <c r="AL36" s="92">
        <f t="shared" si="11"/>
        <v>0</v>
      </c>
      <c r="AM36" t="s">
        <v>112</v>
      </c>
    </row>
    <row r="37" spans="3:39" s="17" customFormat="1" x14ac:dyDescent="0.25">
      <c r="C37" s="141" t="s">
        <v>284</v>
      </c>
      <c r="D37" s="5">
        <f>D36*F36</f>
        <v>143828.13016290715</v>
      </c>
      <c r="H37" s="5">
        <f>H36*J36</f>
        <v>136869.03867254904</v>
      </c>
      <c r="I37" s="5"/>
      <c r="J37" s="5"/>
      <c r="O37" s="339"/>
      <c r="P37" s="339"/>
      <c r="Q37" s="339"/>
      <c r="AC37" s="39">
        <v>1989</v>
      </c>
      <c r="AD37" s="26">
        <v>56</v>
      </c>
      <c r="AE37" s="26">
        <v>15</v>
      </c>
      <c r="AF37" s="26">
        <v>44937.189734476131</v>
      </c>
      <c r="AG37" s="35">
        <v>125708.52685018902</v>
      </c>
      <c r="AH37" s="5">
        <v>45934.527518999988</v>
      </c>
      <c r="AI37" s="5">
        <f t="shared" si="8"/>
        <v>90871.717253476119</v>
      </c>
      <c r="AJ37" s="5">
        <f t="shared" si="9"/>
        <v>34836.809596712905</v>
      </c>
      <c r="AK37" s="92">
        <f t="shared" si="10"/>
        <v>0.38336250980643033</v>
      </c>
      <c r="AL37" s="92">
        <f t="shared" si="11"/>
        <v>0.22178326688863395</v>
      </c>
    </row>
    <row r="38" spans="3:39" s="17" customFormat="1" x14ac:dyDescent="0.25">
      <c r="C38" s="141" t="s">
        <v>41</v>
      </c>
      <c r="D38" s="5">
        <f>D36+D37</f>
        <v>413025.16522717185</v>
      </c>
      <c r="H38" s="5">
        <f>H36+H37</f>
        <v>393041.03618801513</v>
      </c>
      <c r="K38" s="19"/>
      <c r="O38" s="339"/>
      <c r="P38" s="339"/>
      <c r="Q38" s="339"/>
      <c r="AC38" s="39">
        <v>1990</v>
      </c>
      <c r="AD38" s="26">
        <v>92</v>
      </c>
      <c r="AE38" s="26">
        <v>6</v>
      </c>
      <c r="AF38" s="26">
        <v>46296.610544712064</v>
      </c>
      <c r="AG38" s="35">
        <v>128544.80704049002</v>
      </c>
      <c r="AH38" s="5">
        <v>61551.484021999997</v>
      </c>
      <c r="AI38" s="5">
        <f t="shared" si="8"/>
        <v>107848.09456671207</v>
      </c>
      <c r="AJ38" s="5">
        <f t="shared" si="9"/>
        <v>20696.712473777952</v>
      </c>
      <c r="AK38" s="92">
        <f t="shared" si="10"/>
        <v>0.19190614870785219</v>
      </c>
      <c r="AL38" s="92">
        <f t="shared" si="11"/>
        <v>0.13176248225446946</v>
      </c>
    </row>
    <row r="39" spans="3:39" ht="14.25" customHeight="1" x14ac:dyDescent="0.25">
      <c r="C39" s="141" t="s">
        <v>319</v>
      </c>
      <c r="D39" s="5">
        <f>AVERAGE(D29:D31,D33:D35)</f>
        <v>214705.72502846166</v>
      </c>
      <c r="F39" s="336">
        <f>AVERAGE(F29:F31,F33:F35)</f>
        <v>0.46383333333333332</v>
      </c>
      <c r="H39" s="5">
        <f>AVERAGE(H29:H31,H33:H35)</f>
        <v>207120.65687837335</v>
      </c>
      <c r="J39" s="336">
        <f>AVERAGE(J29:J31,J33:J35)</f>
        <v>0.46383333333333332</v>
      </c>
      <c r="K39" s="17"/>
      <c r="L39" s="17"/>
      <c r="O39" s="339"/>
      <c r="P39" s="340"/>
      <c r="Q39" s="340"/>
      <c r="X39" s="17"/>
      <c r="Y39" s="17"/>
      <c r="Z39" s="17"/>
      <c r="AA39" s="17"/>
      <c r="AB39" s="17"/>
      <c r="AC39" s="39">
        <v>1991</v>
      </c>
      <c r="AD39" s="26">
        <v>34</v>
      </c>
      <c r="AE39" s="26">
        <v>11</v>
      </c>
      <c r="AF39" s="26">
        <v>39015.27768971178</v>
      </c>
      <c r="AG39" s="35">
        <v>206246.69434793995</v>
      </c>
      <c r="AH39" s="5">
        <v>172474.21343399998</v>
      </c>
      <c r="AI39" s="5">
        <f t="shared" si="8"/>
        <v>211489.49112371175</v>
      </c>
      <c r="AJ39" s="5">
        <f t="shared" si="9"/>
        <v>-5242.7967757717997</v>
      </c>
      <c r="AK39" s="92">
        <f t="shared" si="10"/>
        <v>-2.4789868980794896E-2</v>
      </c>
      <c r="AL39" s="92">
        <f t="shared" si="11"/>
        <v>-3.3377470842610731E-2</v>
      </c>
    </row>
    <row r="40" spans="3:39" x14ac:dyDescent="0.25">
      <c r="C40" s="141" t="s">
        <v>320</v>
      </c>
      <c r="D40" s="5">
        <f>D39*F39</f>
        <v>99587.672125701458</v>
      </c>
      <c r="H40" s="5">
        <f>H39*J39</f>
        <v>96069.464682085498</v>
      </c>
      <c r="K40" s="17"/>
      <c r="L40" s="17"/>
      <c r="O40" s="339"/>
      <c r="P40" s="339"/>
      <c r="Q40" s="339"/>
      <c r="X40" s="17"/>
      <c r="Y40" s="17"/>
      <c r="Z40" s="17"/>
      <c r="AA40" s="17"/>
      <c r="AB40" s="17"/>
      <c r="AC40" s="39">
        <v>1992</v>
      </c>
      <c r="AD40" s="26">
        <v>67</v>
      </c>
      <c r="AE40" s="26">
        <v>0</v>
      </c>
      <c r="AF40" s="26">
        <v>37957.227802238936</v>
      </c>
      <c r="AG40" s="35">
        <v>105527.51566947001</v>
      </c>
      <c r="AH40" s="5">
        <v>67508.665958000012</v>
      </c>
      <c r="AI40" s="5">
        <f t="shared" si="8"/>
        <v>105465.89376023895</v>
      </c>
      <c r="AJ40" s="5">
        <f t="shared" si="9"/>
        <v>61.62190923106391</v>
      </c>
      <c r="AK40" s="92">
        <f t="shared" si="10"/>
        <v>5.8428281441536131E-4</v>
      </c>
      <c r="AL40" s="92">
        <f t="shared" si="11"/>
        <v>3.9230654297544437E-4</v>
      </c>
    </row>
    <row r="41" spans="3:39" x14ac:dyDescent="0.25">
      <c r="C41" s="141" t="s">
        <v>321</v>
      </c>
      <c r="D41" s="5">
        <f>D39+D40</f>
        <v>314293.3971541631</v>
      </c>
      <c r="H41" s="5">
        <f>H39+H40</f>
        <v>303190.12156045885</v>
      </c>
      <c r="K41" s="17"/>
      <c r="L41" s="17"/>
      <c r="O41" s="339"/>
      <c r="P41" s="340"/>
      <c r="Q41" s="340"/>
      <c r="X41" s="17"/>
      <c r="Y41" s="17"/>
      <c r="Z41" s="17"/>
      <c r="AA41" s="17"/>
      <c r="AB41" s="17"/>
      <c r="AC41" s="39">
        <v>1993</v>
      </c>
      <c r="AD41" s="26">
        <v>49</v>
      </c>
      <c r="AE41" s="26">
        <v>3</v>
      </c>
      <c r="AF41" s="26">
        <v>33847.541816798912</v>
      </c>
      <c r="AG41" s="35">
        <v>106524.52628539996</v>
      </c>
      <c r="AH41" s="5">
        <v>53838.205910000004</v>
      </c>
      <c r="AI41" s="5">
        <f t="shared" si="8"/>
        <v>87685.747726798916</v>
      </c>
      <c r="AJ41" s="5">
        <f t="shared" si="9"/>
        <v>18838.778558601043</v>
      </c>
      <c r="AK41" s="92">
        <f t="shared" si="10"/>
        <v>0.2148442483184009</v>
      </c>
      <c r="AL41" s="92">
        <f t="shared" si="11"/>
        <v>0.11993422765419728</v>
      </c>
    </row>
    <row r="42" spans="3:39" x14ac:dyDescent="0.25">
      <c r="C42" s="141" t="s">
        <v>68</v>
      </c>
      <c r="D42" s="5">
        <f>AVERAGE(D33:D35)</f>
        <v>180220.25397988665</v>
      </c>
      <c r="H42" s="5">
        <f>AVERAGE(H33:H35)</f>
        <v>174571.54309365331</v>
      </c>
      <c r="K42" s="17"/>
      <c r="L42" s="17"/>
      <c r="X42" s="17"/>
      <c r="Y42" s="17"/>
      <c r="Z42" s="17"/>
      <c r="AA42" s="17"/>
      <c r="AB42" s="17"/>
      <c r="AC42" s="39">
        <v>1994</v>
      </c>
      <c r="AD42" s="26">
        <v>119</v>
      </c>
      <c r="AE42" s="26">
        <v>12</v>
      </c>
      <c r="AF42" s="26">
        <v>60814.485894730373</v>
      </c>
      <c r="AG42" s="35">
        <v>143606.59136962006</v>
      </c>
      <c r="AH42" s="5">
        <v>62736.85334999999</v>
      </c>
      <c r="AI42" s="5">
        <f t="shared" si="8"/>
        <v>123551.33924473036</v>
      </c>
      <c r="AJ42" s="5">
        <f t="shared" si="9"/>
        <v>20055.252124889696</v>
      </c>
      <c r="AK42" s="92">
        <f t="shared" si="10"/>
        <v>0.16232322731171916</v>
      </c>
      <c r="AL42" s="92">
        <f t="shared" si="11"/>
        <v>0.1276787221913957</v>
      </c>
    </row>
    <row r="43" spans="3:39" s="17" customFormat="1" x14ac:dyDescent="0.25">
      <c r="C43" s="141" t="s">
        <v>71</v>
      </c>
      <c r="D43" s="5">
        <f>AVERAGE(D17:D25)</f>
        <v>602214.17116552393</v>
      </c>
      <c r="H43" s="5">
        <f>AVERAGE(H17:H25)</f>
        <v>595691.69125098095</v>
      </c>
      <c r="AC43" s="39"/>
      <c r="AD43" s="26"/>
      <c r="AE43" s="26"/>
      <c r="AF43" s="26"/>
      <c r="AG43" s="35"/>
      <c r="AH43" s="5"/>
      <c r="AI43" s="5"/>
      <c r="AJ43" s="5"/>
      <c r="AK43" s="92"/>
      <c r="AL43" s="92"/>
    </row>
    <row r="44" spans="3:39" x14ac:dyDescent="0.25">
      <c r="C44" s="363" t="s">
        <v>334</v>
      </c>
      <c r="D44" s="364">
        <f>VLOOKUP(3,$A$17:$D$25,4,FALSE)/D43</f>
        <v>1.1176222495404826</v>
      </c>
      <c r="H44" s="364">
        <f>VLOOKUP(3,$B$17:$H$25,7,FALSE)/H43</f>
        <v>1.123131611307443</v>
      </c>
      <c r="X44" s="17"/>
      <c r="Y44" s="17"/>
      <c r="Z44" s="17"/>
      <c r="AA44" s="17"/>
      <c r="AB44" s="17"/>
      <c r="AC44" s="39">
        <v>1995</v>
      </c>
      <c r="AD44" s="26">
        <v>2</v>
      </c>
      <c r="AE44" s="26">
        <v>0</v>
      </c>
      <c r="AF44" s="26">
        <v>514.51455163577725</v>
      </c>
      <c r="AG44" s="35">
        <v>78964.891155199992</v>
      </c>
      <c r="AH44" s="5">
        <v>78310.963451999982</v>
      </c>
      <c r="AI44" s="5">
        <f t="shared" si="8"/>
        <v>78825.478003635755</v>
      </c>
      <c r="AJ44" s="5">
        <f t="shared" si="9"/>
        <v>139.41315156423661</v>
      </c>
      <c r="AK44" s="92">
        <f t="shared" si="10"/>
        <v>1.7686305886759901E-3</v>
      </c>
      <c r="AL44" s="92">
        <f t="shared" si="11"/>
        <v>8.875526938056387E-4</v>
      </c>
    </row>
    <row r="45" spans="3:39" x14ac:dyDescent="0.25">
      <c r="C45" s="363"/>
      <c r="D45" s="364"/>
      <c r="H45" s="364"/>
      <c r="X45" s="17"/>
      <c r="Y45" s="17"/>
      <c r="Z45" s="17"/>
      <c r="AA45" s="17"/>
      <c r="AB45" s="17"/>
      <c r="AC45" s="39">
        <v>1996</v>
      </c>
      <c r="AD45" s="26">
        <v>25</v>
      </c>
      <c r="AE45" s="26">
        <v>0</v>
      </c>
      <c r="AF45" s="26">
        <v>76862.447237832748</v>
      </c>
      <c r="AG45" s="35">
        <v>108970.8992321</v>
      </c>
      <c r="AH45" s="5">
        <v>56758.815898000001</v>
      </c>
      <c r="AI45" s="5">
        <f t="shared" si="8"/>
        <v>133621.26313583273</v>
      </c>
      <c r="AJ45" s="5">
        <f t="shared" si="9"/>
        <v>-24650.363903732738</v>
      </c>
      <c r="AK45" s="92">
        <f t="shared" si="10"/>
        <v>-0.18447935100474544</v>
      </c>
      <c r="AL45" s="92">
        <f t="shared" si="11"/>
        <v>-0.156932804692866</v>
      </c>
    </row>
    <row r="46" spans="3:39" x14ac:dyDescent="0.25">
      <c r="X46" s="17"/>
      <c r="Y46" s="17"/>
      <c r="Z46" s="17"/>
      <c r="AA46" s="17"/>
      <c r="AB46" s="17"/>
      <c r="AC46" s="39">
        <v>1997</v>
      </c>
      <c r="AD46" s="26">
        <v>16</v>
      </c>
      <c r="AE46" s="26">
        <v>1</v>
      </c>
      <c r="AF46" s="26">
        <v>7584.8618175773126</v>
      </c>
      <c r="AG46" s="35">
        <v>79926.126076020024</v>
      </c>
      <c r="AH46" s="5">
        <v>75948.999104000031</v>
      </c>
      <c r="AI46" s="5">
        <f t="shared" si="8"/>
        <v>83533.860921577347</v>
      </c>
      <c r="AJ46" s="5">
        <f t="shared" si="9"/>
        <v>-3607.7348455573228</v>
      </c>
      <c r="AK46" s="92">
        <f t="shared" si="10"/>
        <v>-4.3188891375969207E-2</v>
      </c>
      <c r="AL46" s="92">
        <f t="shared" si="11"/>
        <v>-2.2968096946258898E-2</v>
      </c>
    </row>
    <row r="47" spans="3:39" x14ac:dyDescent="0.25">
      <c r="X47" s="17"/>
      <c r="Y47" s="17"/>
      <c r="Z47" s="17"/>
      <c r="AA47" s="17"/>
      <c r="AB47" s="17"/>
      <c r="AC47" s="39">
        <v>1998</v>
      </c>
      <c r="AD47" s="26">
        <v>36</v>
      </c>
      <c r="AE47" s="26">
        <v>0</v>
      </c>
      <c r="AF47" s="26">
        <v>31836.368776304698</v>
      </c>
      <c r="AG47" s="35">
        <v>99737.173130220006</v>
      </c>
      <c r="AH47" s="5">
        <v>78645.136719999995</v>
      </c>
      <c r="AI47" s="5">
        <f t="shared" si="8"/>
        <v>110481.50549630469</v>
      </c>
      <c r="AJ47" s="5">
        <f t="shared" si="9"/>
        <v>-10744.33236608468</v>
      </c>
      <c r="AK47" s="92">
        <f t="shared" si="10"/>
        <v>-9.7250053914626003E-2</v>
      </c>
      <c r="AL47" s="92">
        <f t="shared" si="11"/>
        <v>-6.8402163122090007E-2</v>
      </c>
    </row>
    <row r="48" spans="3:39" x14ac:dyDescent="0.25">
      <c r="X48" s="17"/>
      <c r="Y48" s="17"/>
      <c r="Z48" s="17"/>
      <c r="AA48" s="17"/>
      <c r="AB48" s="17"/>
      <c r="AC48" s="39">
        <v>1999</v>
      </c>
      <c r="AD48" s="26">
        <v>32</v>
      </c>
      <c r="AE48" s="26">
        <v>22</v>
      </c>
      <c r="AF48" s="26">
        <v>88493.439587044675</v>
      </c>
      <c r="AG48" s="35">
        <v>183532.57401141612</v>
      </c>
      <c r="AH48" s="5">
        <v>89464.696232000002</v>
      </c>
      <c r="AI48" s="5">
        <f t="shared" si="8"/>
        <v>177958.13581904466</v>
      </c>
      <c r="AJ48" s="5">
        <f t="shared" si="9"/>
        <v>5574.4381923714536</v>
      </c>
      <c r="AK48" s="92">
        <f t="shared" si="10"/>
        <v>3.1324435754034742E-2</v>
      </c>
      <c r="AL48" s="92">
        <f t="shared" si="11"/>
        <v>3.5488815643139937E-2</v>
      </c>
    </row>
    <row r="49" spans="24:38" x14ac:dyDescent="0.25">
      <c r="X49" s="17"/>
      <c r="Y49" s="17"/>
      <c r="Z49" s="17"/>
      <c r="AA49" s="17"/>
      <c r="AB49" s="17"/>
      <c r="AC49" s="39">
        <v>2000</v>
      </c>
      <c r="AD49" s="26">
        <v>80</v>
      </c>
      <c r="AE49" s="26">
        <v>0</v>
      </c>
      <c r="AF49" s="26">
        <v>229812.63444872541</v>
      </c>
      <c r="AG49" s="35">
        <v>339550.24158585572</v>
      </c>
      <c r="AH49" s="5">
        <v>75547.982363999996</v>
      </c>
      <c r="AI49" s="5">
        <f t="shared" si="8"/>
        <v>305360.61681272544</v>
      </c>
      <c r="AJ49" s="5">
        <f t="shared" si="9"/>
        <v>34189.624773130286</v>
      </c>
      <c r="AK49" s="92">
        <f t="shared" si="10"/>
        <v>0.11196474885986504</v>
      </c>
      <c r="AL49" s="92">
        <f t="shared" si="11"/>
        <v>0.21766306282527331</v>
      </c>
    </row>
    <row r="50" spans="24:38" x14ac:dyDescent="0.25">
      <c r="Z50" s="17"/>
      <c r="AA50" s="17"/>
      <c r="AB50" s="17"/>
      <c r="AC50" s="39">
        <v>2001</v>
      </c>
      <c r="AD50" s="26">
        <v>60</v>
      </c>
      <c r="AE50" s="26">
        <v>0</v>
      </c>
      <c r="AF50" s="26">
        <v>95407.159626392895</v>
      </c>
      <c r="AG50" s="35">
        <v>171604.53953720009</v>
      </c>
      <c r="AH50" s="5">
        <v>69040.113394</v>
      </c>
      <c r="AI50" s="5">
        <f t="shared" si="8"/>
        <v>164447.27302039289</v>
      </c>
      <c r="AJ50" s="5">
        <f t="shared" si="9"/>
        <v>7157.2665168071981</v>
      </c>
      <c r="AK50" s="92">
        <f t="shared" si="10"/>
        <v>4.3523169374293208E-2</v>
      </c>
      <c r="AL50" s="92">
        <f t="shared" si="11"/>
        <v>4.556565220713877E-2</v>
      </c>
    </row>
    <row r="51" spans="24:38" ht="15" customHeight="1" x14ac:dyDescent="0.25">
      <c r="Z51" s="17"/>
      <c r="AA51" s="17"/>
      <c r="AB51" s="17"/>
      <c r="AC51" s="95">
        <v>2002</v>
      </c>
      <c r="AD51" s="96">
        <v>160</v>
      </c>
      <c r="AE51" s="96">
        <v>0</v>
      </c>
      <c r="AF51" s="96">
        <v>251586.76256360728</v>
      </c>
      <c r="AG51" s="97">
        <v>408086.93567342032</v>
      </c>
      <c r="AH51" s="97">
        <v>62750.588007999992</v>
      </c>
      <c r="AI51" s="97">
        <f t="shared" si="8"/>
        <v>314337.35057160724</v>
      </c>
      <c r="AJ51" s="97">
        <f t="shared" si="9"/>
        <v>93749.585101813078</v>
      </c>
      <c r="AK51" s="98">
        <f t="shared" si="10"/>
        <v>0.29824513355264337</v>
      </c>
      <c r="AL51" s="98">
        <f t="shared" si="11"/>
        <v>0.59684252071395161</v>
      </c>
    </row>
    <row r="52" spans="24:38" ht="15" customHeight="1" x14ac:dyDescent="0.25">
      <c r="Z52" s="17"/>
      <c r="AA52" s="17"/>
      <c r="AB52" s="17"/>
      <c r="AC52" s="95">
        <v>2003</v>
      </c>
      <c r="AD52" s="96">
        <v>105</v>
      </c>
      <c r="AE52" s="96">
        <v>1</v>
      </c>
      <c r="AF52" s="96">
        <v>129427.7450761963</v>
      </c>
      <c r="AG52" s="97">
        <v>257905.98474094001</v>
      </c>
      <c r="AH52" s="97">
        <v>59010.440016</v>
      </c>
      <c r="AI52" s="97">
        <f t="shared" si="8"/>
        <v>188438.18509219631</v>
      </c>
      <c r="AJ52" s="97">
        <f t="shared" si="9"/>
        <v>69467.799648743705</v>
      </c>
      <c r="AK52" s="98">
        <f t="shared" si="10"/>
        <v>0.36865033281208637</v>
      </c>
      <c r="AL52" s="98">
        <f t="shared" si="11"/>
        <v>0.44225621484916966</v>
      </c>
    </row>
    <row r="53" spans="24:38" x14ac:dyDescent="0.25">
      <c r="Z53" s="17"/>
      <c r="AA53" s="17"/>
      <c r="AB53" s="17"/>
      <c r="AC53" s="39">
        <v>2004</v>
      </c>
      <c r="AD53" s="26">
        <v>82</v>
      </c>
      <c r="AE53" s="26">
        <v>2</v>
      </c>
      <c r="AF53" s="26">
        <v>212357.36012802395</v>
      </c>
      <c r="AG53" s="35">
        <v>281961.37304928014</v>
      </c>
      <c r="AH53" s="5">
        <v>86417.983124000035</v>
      </c>
      <c r="AI53" s="5">
        <f t="shared" si="8"/>
        <v>298775.34325202397</v>
      </c>
      <c r="AJ53" s="5">
        <f t="shared" si="9"/>
        <v>-16813.970202743832</v>
      </c>
      <c r="AK53" s="92">
        <f t="shared" si="10"/>
        <v>-5.6276297835463805E-2</v>
      </c>
      <c r="AL53" s="92">
        <f t="shared" si="11"/>
        <v>-0.10704359222621054</v>
      </c>
    </row>
    <row r="54" spans="24:38" x14ac:dyDescent="0.25">
      <c r="Z54" s="17"/>
      <c r="AA54" s="17"/>
      <c r="AB54" s="17"/>
      <c r="AC54" s="39">
        <v>2005</v>
      </c>
      <c r="AD54" s="26">
        <v>43</v>
      </c>
      <c r="AE54" s="26">
        <v>2</v>
      </c>
      <c r="AF54" s="26">
        <v>129699.94457604676</v>
      </c>
      <c r="AG54" s="35">
        <v>183250.23002031608</v>
      </c>
      <c r="AH54" s="5">
        <v>57689.575972000006</v>
      </c>
      <c r="AI54" s="5">
        <f t="shared" si="8"/>
        <v>187389.52054804677</v>
      </c>
      <c r="AJ54" s="5">
        <f t="shared" si="9"/>
        <v>-4139.2905277306854</v>
      </c>
      <c r="AK54" s="92">
        <f t="shared" si="10"/>
        <v>-2.2089231647664999E-2</v>
      </c>
      <c r="AL54" s="92">
        <f t="shared" si="11"/>
        <v>-2.6352165610708255E-2</v>
      </c>
    </row>
    <row r="55" spans="24:38" x14ac:dyDescent="0.25">
      <c r="Z55" s="17"/>
      <c r="AA55" s="17"/>
      <c r="AB55" s="17"/>
      <c r="AC55" s="39">
        <v>2006</v>
      </c>
      <c r="AD55" s="26">
        <v>113</v>
      </c>
      <c r="AE55" s="26">
        <v>6</v>
      </c>
      <c r="AF55" s="26">
        <v>309925.00928912457</v>
      </c>
      <c r="AG55" s="35">
        <v>313484.16903717013</v>
      </c>
      <c r="AH55" s="5">
        <v>64301.700475999998</v>
      </c>
      <c r="AI55" s="5">
        <f t="shared" si="8"/>
        <v>374226.7097651246</v>
      </c>
      <c r="AJ55" s="5">
        <f t="shared" si="9"/>
        <v>-60742.540727954474</v>
      </c>
      <c r="AK55" s="92">
        <f t="shared" si="10"/>
        <v>-0.16231481918027238</v>
      </c>
      <c r="AL55" s="92">
        <f t="shared" si="11"/>
        <v>-0.38670817671641183</v>
      </c>
    </row>
    <row r="56" spans="24:38" x14ac:dyDescent="0.25">
      <c r="Z56" s="17"/>
      <c r="AA56" s="17"/>
      <c r="AB56" s="17"/>
      <c r="AC56" s="39">
        <v>2007</v>
      </c>
      <c r="AD56" s="26">
        <v>72</v>
      </c>
      <c r="AE56" s="26">
        <v>0</v>
      </c>
      <c r="AF56" s="26">
        <v>224595.6820765264</v>
      </c>
      <c r="AG56" s="35">
        <v>336450.17360323016</v>
      </c>
      <c r="AH56" s="5">
        <v>98984.006914799989</v>
      </c>
      <c r="AI56" s="5">
        <f t="shared" si="8"/>
        <v>323579.68899132637</v>
      </c>
      <c r="AJ56" s="5">
        <f t="shared" si="9"/>
        <v>12870.484611903783</v>
      </c>
      <c r="AK56" s="92">
        <f t="shared" si="10"/>
        <v>3.9775316714173552E-2</v>
      </c>
      <c r="AL56" s="92">
        <f t="shared" si="11"/>
        <v>8.1937989061353397E-2</v>
      </c>
    </row>
    <row r="57" spans="24:38" x14ac:dyDescent="0.25">
      <c r="Z57" s="17"/>
      <c r="AA57" s="17"/>
      <c r="AB57" s="17"/>
      <c r="AC57" s="39">
        <v>2008</v>
      </c>
      <c r="AD57" s="26">
        <v>46</v>
      </c>
      <c r="AE57" s="26">
        <v>0</v>
      </c>
      <c r="AF57" s="26">
        <v>164953.28705013805</v>
      </c>
      <c r="AG57" s="35">
        <v>172118.06073783795</v>
      </c>
      <c r="AH57" s="5">
        <v>28729.346311599998</v>
      </c>
      <c r="AI57" s="5">
        <f t="shared" si="8"/>
        <v>193682.63336173806</v>
      </c>
      <c r="AJ57" s="5">
        <f t="shared" si="9"/>
        <v>-21564.572623900109</v>
      </c>
      <c r="AK57" s="92">
        <f t="shared" si="10"/>
        <v>-0.11133973268333403</v>
      </c>
      <c r="AL57" s="92">
        <f t="shared" si="11"/>
        <v>-0.13728758232892385</v>
      </c>
    </row>
    <row r="58" spans="24:38" x14ac:dyDescent="0.25">
      <c r="Z58" s="17"/>
      <c r="AA58" s="17"/>
      <c r="AB58" s="17"/>
      <c r="AC58" s="39">
        <v>2009</v>
      </c>
      <c r="AD58" s="26">
        <v>51</v>
      </c>
      <c r="AE58" s="26">
        <v>2</v>
      </c>
      <c r="AF58" s="26">
        <v>106921.03879172126</v>
      </c>
      <c r="AG58" s="35">
        <v>127859.96098799192</v>
      </c>
      <c r="AH58" s="5">
        <v>24605.3708458</v>
      </c>
      <c r="AI58" s="5">
        <f t="shared" si="8"/>
        <v>131526.40963752125</v>
      </c>
      <c r="AJ58" s="5">
        <f t="shared" si="9"/>
        <v>-3666.4486495293386</v>
      </c>
      <c r="AK58" s="92">
        <f t="shared" si="10"/>
        <v>-2.7876140310024784E-2</v>
      </c>
      <c r="AL58" s="92">
        <f t="shared" si="11"/>
        <v>-2.3341889477983768E-2</v>
      </c>
    </row>
    <row r="59" spans="24:38" x14ac:dyDescent="0.25">
      <c r="Z59" s="17"/>
      <c r="AA59" s="17"/>
      <c r="AB59" s="17"/>
      <c r="AC59" s="39">
        <v>2010</v>
      </c>
      <c r="AD59" s="26">
        <v>64</v>
      </c>
      <c r="AE59" s="26">
        <v>2</v>
      </c>
      <c r="AF59" s="26">
        <v>61158.088099131674</v>
      </c>
      <c r="AG59" s="35">
        <v>81617.953168069973</v>
      </c>
      <c r="AH59" s="5">
        <v>20705.508402200001</v>
      </c>
      <c r="AI59" s="5">
        <f t="shared" si="8"/>
        <v>81863.596501331675</v>
      </c>
      <c r="AJ59" s="5">
        <f t="shared" si="9"/>
        <v>-245.64333326170163</v>
      </c>
      <c r="AK59" s="92">
        <f t="shared" si="10"/>
        <v>-3.0006418452151163E-3</v>
      </c>
      <c r="AL59" s="92">
        <f t="shared" si="11"/>
        <v>-1.5638510406341616E-3</v>
      </c>
    </row>
    <row r="60" spans="24:38" x14ac:dyDescent="0.25">
      <c r="Z60" s="17"/>
      <c r="AA60" s="17"/>
      <c r="AB60" s="17"/>
      <c r="AC60" s="39">
        <v>2011</v>
      </c>
      <c r="AD60" s="26">
        <v>30</v>
      </c>
      <c r="AE60" s="26">
        <v>0</v>
      </c>
      <c r="AF60" s="26">
        <v>45358.660443798646</v>
      </c>
      <c r="AG60" s="35">
        <v>63039.459173940013</v>
      </c>
      <c r="AH60" s="5">
        <v>21894.912148200001</v>
      </c>
      <c r="AI60" s="5">
        <f t="shared" si="8"/>
        <v>67253.572591998643</v>
      </c>
      <c r="AJ60" s="5">
        <f t="shared" si="9"/>
        <v>-4214.1134180586305</v>
      </c>
      <c r="AK60" s="92">
        <f t="shared" si="10"/>
        <v>-6.2660067794822194E-2</v>
      </c>
      <c r="AL60" s="92">
        <f t="shared" si="11"/>
        <v>-2.6828514198511986E-2</v>
      </c>
    </row>
    <row r="61" spans="24:38" x14ac:dyDescent="0.25">
      <c r="Z61" s="17"/>
      <c r="AA61" s="17"/>
      <c r="AB61" s="17"/>
      <c r="AC61" s="39">
        <v>2012</v>
      </c>
      <c r="AD61" s="26">
        <v>29</v>
      </c>
      <c r="AE61" s="26">
        <v>0</v>
      </c>
      <c r="AF61" s="26">
        <v>60504.852046018204</v>
      </c>
      <c r="AG61" s="35">
        <v>61313.958680109965</v>
      </c>
      <c r="AH61" s="5">
        <v>13198.598486999999</v>
      </c>
      <c r="AI61" s="5">
        <f t="shared" si="8"/>
        <v>73703.4505330182</v>
      </c>
      <c r="AJ61" s="5">
        <f t="shared" si="9"/>
        <v>-12389.491852908235</v>
      </c>
      <c r="AK61" s="92">
        <f t="shared" si="10"/>
        <v>-0.16809921059744554</v>
      </c>
      <c r="AL61" s="92">
        <f t="shared" si="11"/>
        <v>-7.8875821581760902E-2</v>
      </c>
    </row>
    <row r="62" spans="24:38" x14ac:dyDescent="0.25">
      <c r="Z62" s="17"/>
      <c r="AA62" s="17"/>
      <c r="AB62" s="17"/>
      <c r="AC62" s="39">
        <v>2013</v>
      </c>
      <c r="AD62" s="26">
        <v>30</v>
      </c>
      <c r="AE62" s="26">
        <v>0</v>
      </c>
      <c r="AF62" s="26">
        <v>71441.719447956726</v>
      </c>
      <c r="AG62" s="35">
        <v>97321.894135229973</v>
      </c>
      <c r="AH62" s="5">
        <v>15355.202140399999</v>
      </c>
      <c r="AI62" s="5">
        <f t="shared" si="8"/>
        <v>86796.921588356723</v>
      </c>
      <c r="AJ62" s="5">
        <f t="shared" si="9"/>
        <v>10524.97254687325</v>
      </c>
      <c r="AK62" s="92">
        <f t="shared" si="10"/>
        <v>0.12125974463459671</v>
      </c>
      <c r="AL62" s="92">
        <f t="shared" si="11"/>
        <v>6.7005642088964132E-2</v>
      </c>
    </row>
    <row r="63" spans="24:38" x14ac:dyDescent="0.25">
      <c r="Z63" s="17"/>
      <c r="AA63" s="17"/>
      <c r="AB63" s="17"/>
      <c r="AC63" s="39">
        <v>2014</v>
      </c>
      <c r="AD63" s="26">
        <v>20</v>
      </c>
      <c r="AE63" s="26">
        <v>15</v>
      </c>
      <c r="AF63" s="26">
        <v>393547.69209575065</v>
      </c>
      <c r="AG63" s="35">
        <v>372820.04133802297</v>
      </c>
      <c r="AH63" s="5">
        <v>15362.885171399999</v>
      </c>
      <c r="AI63" s="5">
        <f t="shared" si="8"/>
        <v>408910.57726715063</v>
      </c>
      <c r="AJ63" s="5">
        <f t="shared" si="9"/>
        <v>-36090.535929127655</v>
      </c>
      <c r="AK63" s="92">
        <f t="shared" si="10"/>
        <v>-8.826021613412284E-2</v>
      </c>
      <c r="AL63" s="92">
        <f t="shared" si="11"/>
        <v>-0.22976492551369604</v>
      </c>
    </row>
    <row r="64" spans="24:38" x14ac:dyDescent="0.25">
      <c r="Z64" s="17"/>
      <c r="AA64" s="17"/>
      <c r="AB64" s="17"/>
      <c r="AC64" s="39">
        <v>2015</v>
      </c>
      <c r="AD64" s="26">
        <v>20</v>
      </c>
      <c r="AE64" s="26">
        <v>0</v>
      </c>
      <c r="AF64" s="26">
        <v>39525.281955183054</v>
      </c>
      <c r="AG64" s="35">
        <v>48443.967775789984</v>
      </c>
      <c r="AH64" s="5">
        <v>12482.357015999998</v>
      </c>
      <c r="AI64" s="5">
        <f t="shared" si="8"/>
        <v>52007.638971183056</v>
      </c>
      <c r="AJ64" s="5">
        <f t="shared" si="9"/>
        <v>-3563.6711953930717</v>
      </c>
      <c r="AK64" s="92">
        <f t="shared" si="10"/>
        <v>-6.8522072254956018E-2</v>
      </c>
      <c r="AL64" s="92">
        <f t="shared" si="11"/>
        <v>-2.2687572397725394E-2</v>
      </c>
    </row>
    <row r="65" spans="26:38" x14ac:dyDescent="0.25">
      <c r="Z65" s="17"/>
      <c r="AA65" s="17"/>
      <c r="AB65" s="17"/>
      <c r="AC65" s="39">
        <v>2016</v>
      </c>
      <c r="AD65" s="26">
        <v>16</v>
      </c>
      <c r="AE65" s="26">
        <v>2</v>
      </c>
      <c r="AF65" s="26">
        <v>52711.786725617501</v>
      </c>
      <c r="AG65" s="35">
        <v>57563.962132329994</v>
      </c>
      <c r="AH65" s="5">
        <v>10753.3355326</v>
      </c>
      <c r="AI65" s="5">
        <f t="shared" si="8"/>
        <v>63465.122258217503</v>
      </c>
      <c r="AJ65" s="5">
        <f t="shared" si="9"/>
        <v>-5901.1601258875089</v>
      </c>
      <c r="AK65" s="92">
        <f t="shared" si="10"/>
        <v>-9.2982726825574236E-2</v>
      </c>
      <c r="AL65" s="92">
        <f t="shared" si="11"/>
        <v>-3.7568841300432018E-2</v>
      </c>
    </row>
    <row r="66" spans="26:38" x14ac:dyDescent="0.25">
      <c r="Z66" s="17"/>
      <c r="AA66" s="17"/>
      <c r="AB66" s="17"/>
      <c r="AC66" s="39">
        <v>2017</v>
      </c>
      <c r="AD66" s="26">
        <v>12</v>
      </c>
      <c r="AE66" s="26">
        <v>1</v>
      </c>
      <c r="AF66" s="26">
        <v>112032.95373126359</v>
      </c>
      <c r="AG66" s="35">
        <v>96734.699372839983</v>
      </c>
      <c r="AH66" s="5">
        <v>14277.5694098</v>
      </c>
      <c r="AI66" s="5">
        <f t="shared" si="8"/>
        <v>126310.52314106359</v>
      </c>
      <c r="AJ66" s="5">
        <f t="shared" si="9"/>
        <v>-29575.823768223607</v>
      </c>
      <c r="AK66" s="92">
        <f t="shared" si="10"/>
        <v>-0.23415170037094477</v>
      </c>
      <c r="AL66" s="92">
        <f t="shared" si="11"/>
        <v>-0.1882899981994352</v>
      </c>
    </row>
    <row r="67" spans="26:38" x14ac:dyDescent="0.25">
      <c r="Z67" s="17"/>
      <c r="AA67" s="17"/>
      <c r="AB67" s="17"/>
      <c r="AI67" s="5">
        <f>AVERAGE(AI34:AI66)</f>
        <v>157075.91508337655</v>
      </c>
    </row>
  </sheetData>
  <mergeCells count="3">
    <mergeCell ref="C44:C45"/>
    <mergeCell ref="D44:D45"/>
    <mergeCell ref="H44:H45"/>
  </mergeCells>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C179"/>
  <sheetViews>
    <sheetView topLeftCell="AV1" zoomScaleNormal="100" workbookViewId="0">
      <selection activeCell="G38" sqref="G38"/>
    </sheetView>
  </sheetViews>
  <sheetFormatPr defaultRowHeight="15" x14ac:dyDescent="0.25"/>
  <cols>
    <col min="1" max="1" width="13.5703125" customWidth="1"/>
    <col min="2" max="2" width="15.5703125" bestFit="1" customWidth="1"/>
    <col min="3" max="4" width="19.7109375" bestFit="1" customWidth="1"/>
    <col min="5" max="5" width="14" bestFit="1" customWidth="1"/>
    <col min="6" max="6" width="14.85546875" bestFit="1" customWidth="1"/>
    <col min="7" max="7" width="15.28515625" bestFit="1" customWidth="1"/>
    <col min="8" max="8" width="15.85546875" bestFit="1" customWidth="1"/>
    <col min="9" max="9" width="15.85546875" style="6" customWidth="1"/>
    <col min="10" max="10" width="13.28515625" bestFit="1" customWidth="1"/>
    <col min="11" max="11" width="13" customWidth="1"/>
    <col min="12" max="12" width="12.42578125" bestFit="1" customWidth="1"/>
    <col min="13" max="13" width="19.7109375" bestFit="1" customWidth="1"/>
    <col min="14" max="14" width="13.140625" bestFit="1" customWidth="1"/>
    <col min="15" max="15" width="14.140625" bestFit="1" customWidth="1"/>
    <col min="16" max="16" width="12.42578125" bestFit="1" customWidth="1"/>
    <col min="17" max="17" width="15.28515625" bestFit="1" customWidth="1"/>
    <col min="18" max="18" width="11.28515625" bestFit="1" customWidth="1"/>
    <col min="19" max="19" width="12.7109375" bestFit="1" customWidth="1"/>
    <col min="20" max="20" width="13.140625" bestFit="1" customWidth="1"/>
    <col min="21" max="21" width="14.140625" bestFit="1" customWidth="1"/>
    <col min="22" max="22" width="11.28515625" bestFit="1" customWidth="1"/>
    <col min="23" max="23" width="18.140625" bestFit="1" customWidth="1"/>
    <col min="24" max="24" width="13.140625" bestFit="1" customWidth="1"/>
    <col min="25" max="25" width="14.140625" bestFit="1" customWidth="1"/>
    <col min="26" max="26" width="11.5703125" bestFit="1" customWidth="1"/>
    <col min="27" max="27" width="15.28515625" bestFit="1" customWidth="1"/>
    <col min="30" max="30" width="8.7109375" customWidth="1"/>
    <col min="31" max="31" width="11.28515625" bestFit="1" customWidth="1"/>
    <col min="32" max="32" width="18.140625" bestFit="1" customWidth="1"/>
    <col min="33" max="33" width="13.140625" bestFit="1" customWidth="1"/>
    <col min="34" max="34" width="14.140625" bestFit="1" customWidth="1"/>
    <col min="35" max="35" width="11.5703125" bestFit="1" customWidth="1"/>
    <col min="36" max="36" width="15.28515625" bestFit="1" customWidth="1"/>
    <col min="37" max="37" width="9.42578125" customWidth="1"/>
    <col min="39" max="39" width="9.140625" customWidth="1"/>
    <col min="40" max="40" width="11.28515625" bestFit="1" customWidth="1"/>
    <col min="41" max="41" width="12.85546875" customWidth="1"/>
    <col min="42" max="42" width="13.140625" bestFit="1" customWidth="1"/>
    <col min="43" max="43" width="14.140625" bestFit="1" customWidth="1"/>
    <col min="44" max="44" width="11.5703125" bestFit="1" customWidth="1"/>
    <col min="45" max="45" width="15.28515625" bestFit="1" customWidth="1"/>
    <col min="46" max="46" width="10.85546875" bestFit="1" customWidth="1"/>
    <col min="49" max="49" width="11.28515625" bestFit="1" customWidth="1"/>
    <col min="50" max="50" width="18.140625" bestFit="1" customWidth="1"/>
    <col min="51" max="51" width="13.140625" bestFit="1" customWidth="1"/>
    <col min="52" max="52" width="14.140625" bestFit="1" customWidth="1"/>
    <col min="53" max="53" width="11.5703125" bestFit="1" customWidth="1"/>
    <col min="54" max="54" width="15.28515625" bestFit="1" customWidth="1"/>
  </cols>
  <sheetData>
    <row r="1" spans="1:46" ht="14.65" customHeight="1" x14ac:dyDescent="0.25">
      <c r="A1" t="s">
        <v>32</v>
      </c>
      <c r="U1" t="s">
        <v>46</v>
      </c>
      <c r="AD1" t="s">
        <v>326</v>
      </c>
      <c r="AM1" s="17" t="s">
        <v>327</v>
      </c>
      <c r="AN1" s="17"/>
      <c r="AO1" s="17"/>
      <c r="AP1" s="17"/>
      <c r="AQ1" s="17"/>
      <c r="AR1" s="17"/>
      <c r="AS1" s="17"/>
      <c r="AT1" s="17"/>
    </row>
    <row r="2" spans="1:46" x14ac:dyDescent="0.25">
      <c r="A2" t="s">
        <v>61</v>
      </c>
      <c r="K2" t="s">
        <v>62</v>
      </c>
      <c r="U2" s="17"/>
      <c r="V2" s="30" t="s">
        <v>16</v>
      </c>
      <c r="W2" s="30" t="s">
        <v>18</v>
      </c>
      <c r="X2" s="30" t="s">
        <v>25</v>
      </c>
      <c r="Y2" s="30" t="s">
        <v>28</v>
      </c>
      <c r="Z2" s="30" t="s">
        <v>30</v>
      </c>
      <c r="AA2" s="30" t="s">
        <v>26</v>
      </c>
      <c r="AE2" s="30" t="s">
        <v>16</v>
      </c>
      <c r="AF2" s="30" t="s">
        <v>18</v>
      </c>
      <c r="AG2" s="30" t="s">
        <v>25</v>
      </c>
      <c r="AH2" s="30" t="s">
        <v>28</v>
      </c>
      <c r="AI2" s="30" t="s">
        <v>30</v>
      </c>
      <c r="AJ2" s="30" t="s">
        <v>26</v>
      </c>
      <c r="AM2" s="17"/>
      <c r="AN2" s="30" t="s">
        <v>16</v>
      </c>
      <c r="AO2" s="30" t="s">
        <v>18</v>
      </c>
      <c r="AP2" s="30" t="s">
        <v>25</v>
      </c>
      <c r="AQ2" s="30" t="s">
        <v>28</v>
      </c>
      <c r="AR2" s="30" t="s">
        <v>30</v>
      </c>
      <c r="AS2" s="30" t="s">
        <v>26</v>
      </c>
      <c r="AT2" s="17"/>
    </row>
    <row r="3" spans="1:46" x14ac:dyDescent="0.25">
      <c r="A3" s="17"/>
      <c r="B3" s="50" t="s">
        <v>16</v>
      </c>
      <c r="C3" s="50" t="s">
        <v>18</v>
      </c>
      <c r="D3" s="50" t="s">
        <v>25</v>
      </c>
      <c r="E3" s="50" t="s">
        <v>28</v>
      </c>
      <c r="F3" s="50" t="s">
        <v>30</v>
      </c>
      <c r="G3" s="50" t="s">
        <v>26</v>
      </c>
      <c r="H3" s="17"/>
      <c r="I3" s="17"/>
      <c r="K3" s="17"/>
      <c r="L3" s="50" t="s">
        <v>16</v>
      </c>
      <c r="M3" s="50" t="s">
        <v>18</v>
      </c>
      <c r="N3" s="50" t="s">
        <v>25</v>
      </c>
      <c r="O3" s="50" t="s">
        <v>28</v>
      </c>
      <c r="P3" s="50" t="s">
        <v>30</v>
      </c>
      <c r="Q3" s="50" t="s">
        <v>26</v>
      </c>
      <c r="R3" s="17"/>
      <c r="S3" s="17"/>
      <c r="U3" s="30" t="s">
        <v>20</v>
      </c>
      <c r="V3" s="46" t="s">
        <v>1</v>
      </c>
      <c r="W3" s="46" t="s">
        <v>1</v>
      </c>
      <c r="X3" s="46" t="s">
        <v>1</v>
      </c>
      <c r="Y3" s="46" t="s">
        <v>1</v>
      </c>
      <c r="Z3" s="46" t="s">
        <v>1</v>
      </c>
      <c r="AA3" s="46" t="s">
        <v>1</v>
      </c>
      <c r="AD3" s="30" t="s">
        <v>20</v>
      </c>
      <c r="AE3" s="46" t="s">
        <v>322</v>
      </c>
      <c r="AF3" s="141" t="s">
        <v>322</v>
      </c>
      <c r="AG3" s="141" t="s">
        <v>322</v>
      </c>
      <c r="AH3" s="141" t="s">
        <v>322</v>
      </c>
      <c r="AI3" s="141" t="s">
        <v>322</v>
      </c>
      <c r="AJ3" s="141" t="s">
        <v>322</v>
      </c>
      <c r="AM3" s="30" t="s">
        <v>20</v>
      </c>
      <c r="AN3" s="46" t="s">
        <v>306</v>
      </c>
      <c r="AO3" s="141" t="s">
        <v>306</v>
      </c>
      <c r="AP3" s="141" t="s">
        <v>306</v>
      </c>
      <c r="AQ3" s="141" t="s">
        <v>306</v>
      </c>
      <c r="AR3" s="141" t="s">
        <v>306</v>
      </c>
      <c r="AS3" s="141" t="s">
        <v>306</v>
      </c>
      <c r="AT3" s="17"/>
    </row>
    <row r="4" spans="1:46" x14ac:dyDescent="0.25">
      <c r="A4" s="4" t="s">
        <v>20</v>
      </c>
      <c r="B4" s="46" t="s">
        <v>316</v>
      </c>
      <c r="C4" s="141" t="s">
        <v>316</v>
      </c>
      <c r="D4" s="141" t="s">
        <v>316</v>
      </c>
      <c r="E4" s="141" t="s">
        <v>316</v>
      </c>
      <c r="F4" s="141" t="s">
        <v>316</v>
      </c>
      <c r="G4" s="141" t="s">
        <v>316</v>
      </c>
      <c r="H4" s="4" t="s">
        <v>5</v>
      </c>
      <c r="I4" s="4" t="s">
        <v>328</v>
      </c>
      <c r="K4" s="30" t="s">
        <v>20</v>
      </c>
      <c r="L4" s="46" t="s">
        <v>305</v>
      </c>
      <c r="M4" s="141" t="s">
        <v>305</v>
      </c>
      <c r="N4" s="141" t="s">
        <v>305</v>
      </c>
      <c r="O4" s="141" t="s">
        <v>305</v>
      </c>
      <c r="P4" s="141" t="s">
        <v>305</v>
      </c>
      <c r="Q4" s="141" t="s">
        <v>305</v>
      </c>
      <c r="R4" s="30" t="s">
        <v>5</v>
      </c>
      <c r="S4" s="30" t="s">
        <v>329</v>
      </c>
      <c r="U4" s="18">
        <v>1986</v>
      </c>
      <c r="V4" s="5">
        <v>24961</v>
      </c>
      <c r="W4" s="5">
        <v>35221</v>
      </c>
      <c r="X4" s="5">
        <v>0</v>
      </c>
      <c r="Y4" s="5">
        <v>0</v>
      </c>
      <c r="Z4" s="5">
        <v>66</v>
      </c>
      <c r="AA4" s="5">
        <v>337</v>
      </c>
      <c r="AD4" s="18">
        <v>1986</v>
      </c>
      <c r="AE4" s="5">
        <v>11803.692951999999</v>
      </c>
      <c r="AF4" s="5">
        <v>93.695499999999996</v>
      </c>
      <c r="AG4" s="5">
        <v>8.8184000000000005</v>
      </c>
      <c r="AH4" s="5">
        <v>0</v>
      </c>
      <c r="AI4" s="5">
        <v>5874.9856295999962</v>
      </c>
      <c r="AJ4" s="5">
        <v>3203.5174876000005</v>
      </c>
      <c r="AM4" s="18">
        <v>1986</v>
      </c>
      <c r="AN4" s="5">
        <v>11803.692951999999</v>
      </c>
      <c r="AO4" s="5">
        <v>93.695499999999996</v>
      </c>
      <c r="AP4" s="5">
        <v>8.8184000000000005</v>
      </c>
      <c r="AQ4" s="5">
        <v>0</v>
      </c>
      <c r="AR4" s="5">
        <v>5874.9856295999962</v>
      </c>
      <c r="AS4" s="5">
        <v>3203.5174876000005</v>
      </c>
      <c r="AT4" s="17"/>
    </row>
    <row r="5" spans="1:46" x14ac:dyDescent="0.25">
      <c r="A5" s="1">
        <v>1986</v>
      </c>
      <c r="B5" s="7">
        <f t="shared" ref="B5:B36" si="0">V4+AE4</f>
        <v>36764.692951999998</v>
      </c>
      <c r="C5" s="7">
        <f t="shared" ref="C5:C36" si="1">W4+AF4</f>
        <v>35314.695500000002</v>
      </c>
      <c r="D5" s="7">
        <f t="shared" ref="D5:D36" si="2">X4+AG4</f>
        <v>8.8184000000000005</v>
      </c>
      <c r="E5" s="7">
        <f t="shared" ref="E5:E36" si="3">Y4+AH4</f>
        <v>0</v>
      </c>
      <c r="F5" s="7">
        <f t="shared" ref="F5:F36" si="4">Z4+AI4</f>
        <v>5940.9856295999962</v>
      </c>
      <c r="G5" s="7">
        <f t="shared" ref="G5:G36" si="5">AA4+AJ4</f>
        <v>3540.5174876000005</v>
      </c>
      <c r="H5" s="5">
        <f t="shared" ref="H5:H33" si="6">SUM(B5:G5)</f>
        <v>81569.70996919999</v>
      </c>
      <c r="I5" s="5"/>
      <c r="K5" s="18">
        <v>1986</v>
      </c>
      <c r="L5" s="7">
        <f>V4+AN4</f>
        <v>36764.692951999998</v>
      </c>
      <c r="M5" s="7">
        <f t="shared" ref="M5:Q5" si="7">W4+AO4</f>
        <v>35314.695500000002</v>
      </c>
      <c r="N5" s="7">
        <f t="shared" si="7"/>
        <v>8.8184000000000005</v>
      </c>
      <c r="O5" s="7">
        <f t="shared" si="7"/>
        <v>0</v>
      </c>
      <c r="P5" s="7">
        <f t="shared" si="7"/>
        <v>5940.9856295999962</v>
      </c>
      <c r="Q5" s="7">
        <f t="shared" si="7"/>
        <v>3540.5174876000005</v>
      </c>
      <c r="R5" s="5">
        <f t="shared" ref="R5:R36" si="8">SUM(L5:Q5)</f>
        <v>81569.70996919999</v>
      </c>
      <c r="S5" s="5"/>
      <c r="T5" s="17"/>
      <c r="U5" s="18">
        <v>1987</v>
      </c>
      <c r="V5" s="5">
        <v>19302</v>
      </c>
      <c r="W5" s="5">
        <v>27683</v>
      </c>
      <c r="X5" s="5">
        <v>0</v>
      </c>
      <c r="Y5" s="5">
        <v>0</v>
      </c>
      <c r="Z5" s="5">
        <v>254</v>
      </c>
      <c r="AA5" s="5">
        <v>512</v>
      </c>
      <c r="AD5" s="18">
        <v>1987</v>
      </c>
      <c r="AE5" s="5">
        <v>41579.054952460006</v>
      </c>
      <c r="AF5" s="5">
        <v>960.65445</v>
      </c>
      <c r="AG5" s="5">
        <v>55039.353956999999</v>
      </c>
      <c r="AH5" s="5">
        <v>0</v>
      </c>
      <c r="AI5" s="5">
        <v>7003.286880749999</v>
      </c>
      <c r="AJ5" s="5">
        <v>2724.0853302</v>
      </c>
      <c r="AM5" s="18">
        <v>1987</v>
      </c>
      <c r="AN5" s="5">
        <v>43105.087556140003</v>
      </c>
      <c r="AO5" s="5">
        <v>960.65445</v>
      </c>
      <c r="AP5" s="5">
        <v>55039.353956999999</v>
      </c>
      <c r="AQ5" s="5">
        <v>0</v>
      </c>
      <c r="AR5" s="5">
        <v>6931.73859292</v>
      </c>
      <c r="AS5" s="5">
        <v>2724.0853302</v>
      </c>
      <c r="AT5" s="17"/>
    </row>
    <row r="6" spans="1:46" x14ac:dyDescent="0.25">
      <c r="A6" s="1">
        <v>1987</v>
      </c>
      <c r="B6" s="5">
        <f t="shared" si="0"/>
        <v>60881.054952460006</v>
      </c>
      <c r="C6" s="5">
        <f t="shared" si="1"/>
        <v>28643.654450000002</v>
      </c>
      <c r="D6" s="5">
        <f t="shared" si="2"/>
        <v>55039.353956999999</v>
      </c>
      <c r="E6" s="5">
        <f t="shared" si="3"/>
        <v>0</v>
      </c>
      <c r="F6" s="5">
        <f t="shared" si="4"/>
        <v>7257.286880749999</v>
      </c>
      <c r="G6" s="5">
        <f t="shared" si="5"/>
        <v>3236.0853302</v>
      </c>
      <c r="H6" s="5">
        <f t="shared" si="6"/>
        <v>155057.43557041002</v>
      </c>
      <c r="I6" s="5"/>
      <c r="K6" s="18">
        <v>1987</v>
      </c>
      <c r="L6" s="7">
        <f t="shared" ref="L6:L36" si="9">V5+AN5</f>
        <v>62407.087556140003</v>
      </c>
      <c r="M6" s="7">
        <f t="shared" ref="M6:M36" si="10">W5+AO5</f>
        <v>28643.654450000002</v>
      </c>
      <c r="N6" s="7">
        <f t="shared" ref="N6:N36" si="11">X5+AP5</f>
        <v>55039.353956999999</v>
      </c>
      <c r="O6" s="7">
        <f t="shared" ref="O6:O36" si="12">Y5+AQ5</f>
        <v>0</v>
      </c>
      <c r="P6" s="7">
        <f t="shared" ref="P6:P36" si="13">Z5+AR5</f>
        <v>7185.73859292</v>
      </c>
      <c r="Q6" s="7">
        <f t="shared" ref="Q6:Q36" si="14">AA5+AS5</f>
        <v>3236.0853302</v>
      </c>
      <c r="R6" s="5">
        <f t="shared" si="8"/>
        <v>156511.91988626003</v>
      </c>
      <c r="S6" s="5"/>
      <c r="T6" s="4"/>
      <c r="U6" s="18">
        <v>1988</v>
      </c>
      <c r="V6" s="5">
        <v>17395</v>
      </c>
      <c r="W6" s="5">
        <v>18562</v>
      </c>
      <c r="X6" s="5">
        <v>0</v>
      </c>
      <c r="Y6" s="5">
        <v>0</v>
      </c>
      <c r="Z6" s="5">
        <v>0</v>
      </c>
      <c r="AA6" s="5">
        <v>116</v>
      </c>
      <c r="AD6" s="18">
        <v>1988</v>
      </c>
      <c r="AE6" s="5">
        <v>12455.76088665</v>
      </c>
      <c r="AF6" s="5">
        <v>20398.194554199999</v>
      </c>
      <c r="AG6" s="5">
        <v>0</v>
      </c>
      <c r="AH6" s="7">
        <v>0</v>
      </c>
      <c r="AI6" s="7">
        <v>2821.99391135</v>
      </c>
      <c r="AJ6" s="7">
        <v>1302.3498132</v>
      </c>
      <c r="AM6" s="18">
        <v>1988</v>
      </c>
      <c r="AN6" s="5">
        <v>12769.010455579995</v>
      </c>
      <c r="AO6" s="5">
        <v>22379.063478199998</v>
      </c>
      <c r="AP6" s="5">
        <v>0</v>
      </c>
      <c r="AQ6" s="7">
        <v>0</v>
      </c>
      <c r="AR6" s="7">
        <v>2815.0203766099999</v>
      </c>
      <c r="AS6" s="7">
        <v>1302.3498132</v>
      </c>
      <c r="AT6" s="17"/>
    </row>
    <row r="7" spans="1:46" x14ac:dyDescent="0.25">
      <c r="A7" s="1">
        <v>1988</v>
      </c>
      <c r="B7" s="5">
        <f t="shared" si="0"/>
        <v>29850.760886650001</v>
      </c>
      <c r="C7" s="5">
        <f t="shared" si="1"/>
        <v>38960.194554200003</v>
      </c>
      <c r="D7" s="5">
        <f t="shared" si="2"/>
        <v>0</v>
      </c>
      <c r="E7" s="5">
        <f t="shared" si="3"/>
        <v>0</v>
      </c>
      <c r="F7" s="5">
        <f t="shared" si="4"/>
        <v>2821.99391135</v>
      </c>
      <c r="G7" s="5">
        <f t="shared" si="5"/>
        <v>1418.3498132</v>
      </c>
      <c r="H7" s="5">
        <f t="shared" si="6"/>
        <v>73051.299165399992</v>
      </c>
      <c r="I7" s="5"/>
      <c r="K7" s="18">
        <v>1988</v>
      </c>
      <c r="L7" s="7">
        <f t="shared" si="9"/>
        <v>30164.010455579995</v>
      </c>
      <c r="M7" s="7">
        <f t="shared" si="10"/>
        <v>40941.063478199998</v>
      </c>
      <c r="N7" s="7">
        <f t="shared" si="11"/>
        <v>0</v>
      </c>
      <c r="O7" s="7">
        <f t="shared" si="12"/>
        <v>0</v>
      </c>
      <c r="P7" s="7">
        <f t="shared" si="13"/>
        <v>2815.0203766099999</v>
      </c>
      <c r="Q7" s="7">
        <f t="shared" si="14"/>
        <v>1418.3498132</v>
      </c>
      <c r="R7" s="5">
        <f t="shared" si="8"/>
        <v>75338.444123589987</v>
      </c>
      <c r="S7" s="5"/>
      <c r="T7" s="19"/>
      <c r="U7" s="18">
        <v>1989</v>
      </c>
      <c r="V7" s="5">
        <v>14275</v>
      </c>
      <c r="W7" s="5">
        <v>18825</v>
      </c>
      <c r="X7" s="5">
        <v>0</v>
      </c>
      <c r="Y7" s="5">
        <v>0</v>
      </c>
      <c r="Z7" s="5">
        <v>3</v>
      </c>
      <c r="AA7" s="5">
        <v>351</v>
      </c>
      <c r="AD7" s="18">
        <v>1989</v>
      </c>
      <c r="AE7" s="5">
        <v>9517.4512479500008</v>
      </c>
      <c r="AF7" s="5">
        <v>95.296039599999986</v>
      </c>
      <c r="AG7" s="5">
        <v>0</v>
      </c>
      <c r="AH7" s="7">
        <v>8871.7243796999992</v>
      </c>
      <c r="AI7" s="7">
        <v>3573.0400962699996</v>
      </c>
      <c r="AJ7" s="7">
        <v>917.97339400000033</v>
      </c>
      <c r="AM7" s="18">
        <v>1989</v>
      </c>
      <c r="AN7" s="5">
        <v>9941.3620046499982</v>
      </c>
      <c r="AO7" s="5">
        <v>95.296039599999986</v>
      </c>
      <c r="AP7" s="5">
        <v>0</v>
      </c>
      <c r="AQ7" s="7">
        <v>8871.7243796999992</v>
      </c>
      <c r="AR7" s="7">
        <v>3557.0043559999995</v>
      </c>
      <c r="AS7" s="7">
        <v>917.97339400000033</v>
      </c>
      <c r="AT7" s="17"/>
    </row>
    <row r="8" spans="1:46" x14ac:dyDescent="0.25">
      <c r="A8" s="1">
        <v>1989</v>
      </c>
      <c r="B8" s="5">
        <f t="shared" si="0"/>
        <v>23792.451247950001</v>
      </c>
      <c r="C8" s="5">
        <f t="shared" si="1"/>
        <v>18920.296039600002</v>
      </c>
      <c r="D8" s="5">
        <f t="shared" si="2"/>
        <v>0</v>
      </c>
      <c r="E8" s="5">
        <f t="shared" si="3"/>
        <v>8871.7243796999992</v>
      </c>
      <c r="F8" s="5">
        <f t="shared" si="4"/>
        <v>3576.0400962699996</v>
      </c>
      <c r="G8" s="5">
        <f t="shared" si="5"/>
        <v>1268.9733940000003</v>
      </c>
      <c r="H8" s="5">
        <f t="shared" si="6"/>
        <v>56429.485157520001</v>
      </c>
      <c r="I8" s="5"/>
      <c r="K8" s="18">
        <v>1989</v>
      </c>
      <c r="L8" s="7">
        <f t="shared" si="9"/>
        <v>24216.36200465</v>
      </c>
      <c r="M8" s="7">
        <f t="shared" si="10"/>
        <v>18920.296039600002</v>
      </c>
      <c r="N8" s="7">
        <f t="shared" si="11"/>
        <v>0</v>
      </c>
      <c r="O8" s="7">
        <f t="shared" si="12"/>
        <v>8871.7243796999992</v>
      </c>
      <c r="P8" s="7">
        <f t="shared" si="13"/>
        <v>3560.0043559999995</v>
      </c>
      <c r="Q8" s="7">
        <f t="shared" si="14"/>
        <v>1268.9733940000003</v>
      </c>
      <c r="R8" s="5">
        <f t="shared" si="8"/>
        <v>56837.360173949994</v>
      </c>
      <c r="S8" s="5"/>
      <c r="T8" s="19"/>
      <c r="U8" s="18">
        <v>1990</v>
      </c>
      <c r="V8" s="5">
        <v>34883</v>
      </c>
      <c r="W8" s="5">
        <v>17218</v>
      </c>
      <c r="X8" s="5">
        <v>0</v>
      </c>
      <c r="Y8" s="5">
        <v>32</v>
      </c>
      <c r="Z8" s="5">
        <v>88</v>
      </c>
      <c r="AA8" s="5">
        <v>10</v>
      </c>
      <c r="AD8" s="18">
        <v>1990</v>
      </c>
      <c r="AE8" s="5">
        <v>1943.861958</v>
      </c>
      <c r="AF8" s="5">
        <v>82.385901999999987</v>
      </c>
      <c r="AG8" s="5">
        <v>0</v>
      </c>
      <c r="AH8" s="7">
        <v>0</v>
      </c>
      <c r="AI8" s="7">
        <v>2634.6705714600002</v>
      </c>
      <c r="AJ8" s="7">
        <v>877.89376599999991</v>
      </c>
      <c r="AM8" s="18">
        <v>1990</v>
      </c>
      <c r="AN8" s="5">
        <v>1943.861958</v>
      </c>
      <c r="AO8" s="5">
        <v>82.385901999999987</v>
      </c>
      <c r="AP8" s="5">
        <v>0</v>
      </c>
      <c r="AQ8" s="7">
        <v>0</v>
      </c>
      <c r="AR8" s="7">
        <v>2627.5638226100004</v>
      </c>
      <c r="AS8" s="7">
        <v>877.89376599999991</v>
      </c>
      <c r="AT8" s="17"/>
    </row>
    <row r="9" spans="1:46" x14ac:dyDescent="0.25">
      <c r="A9" s="1">
        <v>1990</v>
      </c>
      <c r="B9" s="5">
        <f t="shared" si="0"/>
        <v>36826.861958000001</v>
      </c>
      <c r="C9" s="5">
        <f t="shared" si="1"/>
        <v>17300.385902000002</v>
      </c>
      <c r="D9" s="5">
        <f t="shared" si="2"/>
        <v>0</v>
      </c>
      <c r="E9" s="5">
        <f t="shared" si="3"/>
        <v>32</v>
      </c>
      <c r="F9" s="5">
        <f t="shared" si="4"/>
        <v>2722.6705714600002</v>
      </c>
      <c r="G9" s="5">
        <f t="shared" si="5"/>
        <v>887.89376599999991</v>
      </c>
      <c r="H9" s="5">
        <f t="shared" si="6"/>
        <v>57769.812197460007</v>
      </c>
      <c r="I9" s="5"/>
      <c r="K9" s="18">
        <v>1990</v>
      </c>
      <c r="L9" s="7">
        <f t="shared" si="9"/>
        <v>36826.861958000001</v>
      </c>
      <c r="M9" s="7">
        <f t="shared" si="10"/>
        <v>17300.385902000002</v>
      </c>
      <c r="N9" s="7">
        <f t="shared" si="11"/>
        <v>0</v>
      </c>
      <c r="O9" s="7">
        <f t="shared" si="12"/>
        <v>32</v>
      </c>
      <c r="P9" s="7">
        <f t="shared" si="13"/>
        <v>2715.5638226100004</v>
      </c>
      <c r="Q9" s="7">
        <f t="shared" si="14"/>
        <v>887.89376599999991</v>
      </c>
      <c r="R9" s="5">
        <f t="shared" si="8"/>
        <v>57762.705448610002</v>
      </c>
      <c r="S9" s="5"/>
      <c r="T9" s="19"/>
      <c r="U9" s="18">
        <v>1991</v>
      </c>
      <c r="V9" s="5">
        <v>5295</v>
      </c>
      <c r="W9" s="5">
        <v>33252</v>
      </c>
      <c r="X9" s="5">
        <v>224</v>
      </c>
      <c r="Y9" s="5">
        <v>140</v>
      </c>
      <c r="Z9" s="5">
        <v>1155</v>
      </c>
      <c r="AA9" s="5">
        <v>71</v>
      </c>
      <c r="AD9" s="18">
        <v>1991</v>
      </c>
      <c r="AE9" s="5">
        <v>8442.3964747999999</v>
      </c>
      <c r="AF9" s="5">
        <v>92.438878000000003</v>
      </c>
      <c r="AG9" s="5">
        <v>0</v>
      </c>
      <c r="AH9" s="7">
        <v>0</v>
      </c>
      <c r="AI9" s="7">
        <v>5167.745306509999</v>
      </c>
      <c r="AJ9" s="7">
        <v>4696.0845979999995</v>
      </c>
      <c r="AM9" s="18">
        <v>1991</v>
      </c>
      <c r="AN9" s="5">
        <v>8808.686696499999</v>
      </c>
      <c r="AO9" s="5">
        <v>92.438878000000003</v>
      </c>
      <c r="AP9" s="5">
        <v>0</v>
      </c>
      <c r="AQ9" s="7">
        <v>0</v>
      </c>
      <c r="AR9" s="7">
        <v>5090.2056275400018</v>
      </c>
      <c r="AS9" s="7">
        <v>4696.0845979999995</v>
      </c>
      <c r="AT9" s="17"/>
    </row>
    <row r="10" spans="1:46" x14ac:dyDescent="0.25">
      <c r="A10" s="1">
        <v>1991</v>
      </c>
      <c r="B10" s="5">
        <f t="shared" si="0"/>
        <v>13737.3964748</v>
      </c>
      <c r="C10" s="5">
        <f t="shared" si="1"/>
        <v>33344.438878000001</v>
      </c>
      <c r="D10" s="5">
        <f t="shared" si="2"/>
        <v>224</v>
      </c>
      <c r="E10" s="5">
        <f t="shared" si="3"/>
        <v>140</v>
      </c>
      <c r="F10" s="5">
        <f t="shared" si="4"/>
        <v>6322.745306509999</v>
      </c>
      <c r="G10" s="5">
        <f t="shared" si="5"/>
        <v>4767.0845979999995</v>
      </c>
      <c r="H10" s="5">
        <f t="shared" si="6"/>
        <v>58535.66525731</v>
      </c>
      <c r="I10" s="5"/>
      <c r="K10" s="18">
        <v>1991</v>
      </c>
      <c r="L10" s="7">
        <f t="shared" si="9"/>
        <v>14103.686696499999</v>
      </c>
      <c r="M10" s="7">
        <f t="shared" si="10"/>
        <v>33344.438878000001</v>
      </c>
      <c r="N10" s="7">
        <f t="shared" si="11"/>
        <v>224</v>
      </c>
      <c r="O10" s="7">
        <f t="shared" si="12"/>
        <v>140</v>
      </c>
      <c r="P10" s="7">
        <f t="shared" si="13"/>
        <v>6245.2056275400018</v>
      </c>
      <c r="Q10" s="7">
        <f t="shared" si="14"/>
        <v>4767.0845979999995</v>
      </c>
      <c r="R10" s="5">
        <f t="shared" si="8"/>
        <v>58824.415800040006</v>
      </c>
      <c r="S10" s="5"/>
      <c r="T10" s="19"/>
      <c r="U10" s="18">
        <v>1992</v>
      </c>
      <c r="V10" s="5">
        <v>7854</v>
      </c>
      <c r="W10" s="5">
        <v>44579</v>
      </c>
      <c r="X10" s="5">
        <v>0</v>
      </c>
      <c r="Y10" s="5">
        <v>0</v>
      </c>
      <c r="Z10" s="5">
        <v>294</v>
      </c>
      <c r="AA10" s="5">
        <v>0</v>
      </c>
      <c r="AD10" s="18">
        <v>1992</v>
      </c>
      <c r="AE10" s="5">
        <v>2694.395982</v>
      </c>
      <c r="AF10" s="5">
        <v>41.666940000000004</v>
      </c>
      <c r="AG10" s="5">
        <v>0</v>
      </c>
      <c r="AH10" s="7">
        <v>0.99207000000000001</v>
      </c>
      <c r="AI10" s="7">
        <v>2754.7392814799996</v>
      </c>
      <c r="AJ10" s="7">
        <v>501.43626999999998</v>
      </c>
      <c r="AM10" s="18">
        <v>1992</v>
      </c>
      <c r="AN10" s="5">
        <v>2694.395982</v>
      </c>
      <c r="AO10" s="5">
        <v>41.666940000000004</v>
      </c>
      <c r="AP10" s="5">
        <v>0</v>
      </c>
      <c r="AQ10" s="7">
        <v>0.99207000000000001</v>
      </c>
      <c r="AR10" s="7">
        <v>2724.9008568299996</v>
      </c>
      <c r="AS10" s="7">
        <v>501.43626999999998</v>
      </c>
      <c r="AT10" s="17"/>
    </row>
    <row r="11" spans="1:46" x14ac:dyDescent="0.25">
      <c r="A11" s="1">
        <v>1992</v>
      </c>
      <c r="B11" s="5">
        <f t="shared" si="0"/>
        <v>10548.395982</v>
      </c>
      <c r="C11" s="5">
        <f t="shared" si="1"/>
        <v>44620.666940000003</v>
      </c>
      <c r="D11" s="5">
        <f t="shared" si="2"/>
        <v>0</v>
      </c>
      <c r="E11" s="5">
        <f t="shared" si="3"/>
        <v>0.99207000000000001</v>
      </c>
      <c r="F11" s="5">
        <f t="shared" si="4"/>
        <v>3048.7392814799996</v>
      </c>
      <c r="G11" s="5">
        <f t="shared" si="5"/>
        <v>501.43626999999998</v>
      </c>
      <c r="H11" s="5">
        <f t="shared" si="6"/>
        <v>58720.23054348</v>
      </c>
      <c r="I11" s="5"/>
      <c r="K11" s="18">
        <v>1992</v>
      </c>
      <c r="L11" s="7">
        <f t="shared" si="9"/>
        <v>10548.395982</v>
      </c>
      <c r="M11" s="7">
        <f t="shared" si="10"/>
        <v>44620.666940000003</v>
      </c>
      <c r="N11" s="7">
        <f t="shared" si="11"/>
        <v>0</v>
      </c>
      <c r="O11" s="7">
        <f t="shared" si="12"/>
        <v>0.99207000000000001</v>
      </c>
      <c r="P11" s="7">
        <f t="shared" si="13"/>
        <v>3018.9008568299996</v>
      </c>
      <c r="Q11" s="7">
        <f t="shared" si="14"/>
        <v>501.43626999999998</v>
      </c>
      <c r="R11" s="5">
        <f t="shared" si="8"/>
        <v>58690.392118830001</v>
      </c>
      <c r="S11" s="5"/>
      <c r="T11" s="19"/>
      <c r="U11" s="18">
        <v>1993</v>
      </c>
      <c r="V11" s="5">
        <v>13486</v>
      </c>
      <c r="W11" s="5">
        <v>33936</v>
      </c>
      <c r="X11" s="5">
        <v>278</v>
      </c>
      <c r="Y11" s="5">
        <v>2972</v>
      </c>
      <c r="Z11" s="5">
        <v>27</v>
      </c>
      <c r="AA11" s="5">
        <v>115</v>
      </c>
      <c r="AD11" s="18">
        <v>1993</v>
      </c>
      <c r="AE11" s="5">
        <v>5608.4877746799993</v>
      </c>
      <c r="AF11" s="5">
        <v>114.74942999999999</v>
      </c>
      <c r="AG11" s="5">
        <v>6.0185579999999996</v>
      </c>
      <c r="AH11" s="7">
        <v>1.499128</v>
      </c>
      <c r="AI11" s="7">
        <v>6140.758108</v>
      </c>
      <c r="AJ11" s="7">
        <v>461.31255000000004</v>
      </c>
      <c r="AM11" s="18">
        <v>1993</v>
      </c>
      <c r="AN11" s="5">
        <v>5702.6568599300017</v>
      </c>
      <c r="AO11" s="5">
        <v>114.74942999999999</v>
      </c>
      <c r="AP11" s="5">
        <v>6.0185579999999996</v>
      </c>
      <c r="AQ11" s="7">
        <v>1.499128</v>
      </c>
      <c r="AR11" s="7">
        <v>6017.4684430000016</v>
      </c>
      <c r="AS11" s="7">
        <v>461.31255000000004</v>
      </c>
      <c r="AT11" s="17"/>
    </row>
    <row r="12" spans="1:46" x14ac:dyDescent="0.25">
      <c r="A12" s="1">
        <v>1993</v>
      </c>
      <c r="B12" s="5">
        <f t="shared" si="0"/>
        <v>19094.487774679998</v>
      </c>
      <c r="C12" s="5">
        <f t="shared" si="1"/>
        <v>34050.749430000003</v>
      </c>
      <c r="D12" s="5">
        <f t="shared" si="2"/>
        <v>284.01855799999998</v>
      </c>
      <c r="E12" s="5">
        <f t="shared" si="3"/>
        <v>2973.4991279999999</v>
      </c>
      <c r="F12" s="5">
        <f t="shared" si="4"/>
        <v>6167.758108</v>
      </c>
      <c r="G12" s="5">
        <f t="shared" si="5"/>
        <v>576.3125500000001</v>
      </c>
      <c r="H12" s="5">
        <f t="shared" si="6"/>
        <v>63146.825548680012</v>
      </c>
      <c r="I12" s="5"/>
      <c r="K12" s="18">
        <v>1993</v>
      </c>
      <c r="L12" s="7">
        <f t="shared" si="9"/>
        <v>19188.656859930001</v>
      </c>
      <c r="M12" s="7">
        <f t="shared" si="10"/>
        <v>34050.749430000003</v>
      </c>
      <c r="N12" s="7">
        <f t="shared" si="11"/>
        <v>284.01855799999998</v>
      </c>
      <c r="O12" s="7">
        <f t="shared" si="12"/>
        <v>2973.4991279999999</v>
      </c>
      <c r="P12" s="7">
        <f t="shared" si="13"/>
        <v>6044.4684430000016</v>
      </c>
      <c r="Q12" s="7">
        <f t="shared" si="14"/>
        <v>576.3125500000001</v>
      </c>
      <c r="R12" s="5">
        <f t="shared" si="8"/>
        <v>63117.704968930018</v>
      </c>
      <c r="S12" s="5"/>
      <c r="T12" s="19"/>
      <c r="U12" s="18">
        <v>1994</v>
      </c>
      <c r="V12" s="5">
        <v>11937</v>
      </c>
      <c r="W12" s="5">
        <v>15904</v>
      </c>
      <c r="X12" s="5">
        <v>677</v>
      </c>
      <c r="Y12" s="5">
        <v>317</v>
      </c>
      <c r="Z12" s="5">
        <v>163</v>
      </c>
      <c r="AA12" s="5">
        <v>81</v>
      </c>
      <c r="AD12" s="18">
        <v>1994</v>
      </c>
      <c r="AE12" s="5">
        <v>35987.897530728005</v>
      </c>
      <c r="AF12" s="5">
        <v>260.03257000000002</v>
      </c>
      <c r="AG12" s="5">
        <v>0</v>
      </c>
      <c r="AH12" s="7">
        <v>0</v>
      </c>
      <c r="AI12" s="7">
        <v>4614.265912335999</v>
      </c>
      <c r="AJ12" s="7">
        <v>544.29369399999996</v>
      </c>
      <c r="AM12" s="18">
        <v>1994</v>
      </c>
      <c r="AN12" s="5">
        <v>18543.085961169993</v>
      </c>
      <c r="AO12" s="5">
        <v>260.03257000000002</v>
      </c>
      <c r="AP12" s="5">
        <v>0</v>
      </c>
      <c r="AQ12" s="7">
        <v>0</v>
      </c>
      <c r="AR12" s="7">
        <v>4551.831292247999</v>
      </c>
      <c r="AS12" s="7">
        <v>544.29369399999996</v>
      </c>
      <c r="AT12" s="17"/>
    </row>
    <row r="13" spans="1:46" x14ac:dyDescent="0.25">
      <c r="A13" s="1">
        <v>1994</v>
      </c>
      <c r="B13" s="5">
        <f t="shared" si="0"/>
        <v>47924.897530728005</v>
      </c>
      <c r="C13" s="5">
        <f t="shared" si="1"/>
        <v>16164.032569999999</v>
      </c>
      <c r="D13" s="5">
        <f t="shared" si="2"/>
        <v>677</v>
      </c>
      <c r="E13" s="5">
        <f t="shared" si="3"/>
        <v>317</v>
      </c>
      <c r="F13" s="5">
        <f t="shared" si="4"/>
        <v>4777.265912335999</v>
      </c>
      <c r="G13" s="5">
        <f t="shared" si="5"/>
        <v>625.29369399999996</v>
      </c>
      <c r="H13" s="5">
        <f t="shared" si="6"/>
        <v>70485.489707064</v>
      </c>
      <c r="I13" s="5"/>
      <c r="K13" s="18">
        <v>1994</v>
      </c>
      <c r="L13" s="7">
        <f t="shared" si="9"/>
        <v>30480.085961169993</v>
      </c>
      <c r="M13" s="7">
        <f t="shared" si="10"/>
        <v>16164.032569999999</v>
      </c>
      <c r="N13" s="7">
        <f t="shared" si="11"/>
        <v>677</v>
      </c>
      <c r="O13" s="7">
        <f t="shared" si="12"/>
        <v>317</v>
      </c>
      <c r="P13" s="7">
        <f t="shared" si="13"/>
        <v>4714.831292247999</v>
      </c>
      <c r="Q13" s="7">
        <f t="shared" si="14"/>
        <v>625.29369399999996</v>
      </c>
      <c r="R13" s="5">
        <f t="shared" si="8"/>
        <v>52978.243517417992</v>
      </c>
      <c r="S13" s="5"/>
      <c r="T13" s="19"/>
      <c r="U13" s="18">
        <v>1995</v>
      </c>
      <c r="V13" s="5">
        <v>40788</v>
      </c>
      <c r="W13" s="5">
        <v>25730</v>
      </c>
      <c r="X13" s="5">
        <v>548</v>
      </c>
      <c r="Y13" s="5">
        <v>18489</v>
      </c>
      <c r="Z13" s="5">
        <v>1723</v>
      </c>
      <c r="AA13" s="5">
        <v>271</v>
      </c>
      <c r="AD13" s="18">
        <v>1995</v>
      </c>
      <c r="AE13" s="5">
        <v>11301.767356236</v>
      </c>
      <c r="AF13" s="5">
        <v>249.957548</v>
      </c>
      <c r="AG13" s="5">
        <v>0</v>
      </c>
      <c r="AH13" s="7">
        <v>0</v>
      </c>
      <c r="AI13" s="7">
        <v>16865.244223301997</v>
      </c>
      <c r="AJ13" s="7">
        <v>957.70028600000001</v>
      </c>
      <c r="AM13" s="18">
        <v>1995</v>
      </c>
      <c r="AN13" s="5">
        <v>21008.530042579994</v>
      </c>
      <c r="AO13" s="5">
        <v>249.957548</v>
      </c>
      <c r="AP13" s="5">
        <v>0</v>
      </c>
      <c r="AQ13" s="7">
        <v>0</v>
      </c>
      <c r="AR13" s="7">
        <v>16535.589671334001</v>
      </c>
      <c r="AS13" s="7">
        <v>957.70028600000001</v>
      </c>
      <c r="AT13" s="17"/>
    </row>
    <row r="14" spans="1:46" x14ac:dyDescent="0.25">
      <c r="A14" s="1">
        <v>1995</v>
      </c>
      <c r="B14" s="5">
        <f t="shared" si="0"/>
        <v>52089.767356236</v>
      </c>
      <c r="C14" s="5">
        <f t="shared" si="1"/>
        <v>25979.957547999998</v>
      </c>
      <c r="D14" s="5">
        <f t="shared" si="2"/>
        <v>548</v>
      </c>
      <c r="E14" s="5">
        <f t="shared" si="3"/>
        <v>18489</v>
      </c>
      <c r="F14" s="5">
        <f t="shared" si="4"/>
        <v>18588.244223301997</v>
      </c>
      <c r="G14" s="5">
        <f t="shared" si="5"/>
        <v>1228.700286</v>
      </c>
      <c r="H14" s="5">
        <f t="shared" si="6"/>
        <v>116923.66941353801</v>
      </c>
      <c r="I14" s="5"/>
      <c r="K14" s="18">
        <v>1995</v>
      </c>
      <c r="L14" s="7">
        <f t="shared" si="9"/>
        <v>61796.530042579994</v>
      </c>
      <c r="M14" s="7">
        <f t="shared" si="10"/>
        <v>25979.957547999998</v>
      </c>
      <c r="N14" s="7">
        <f t="shared" si="11"/>
        <v>548</v>
      </c>
      <c r="O14" s="7">
        <f t="shared" si="12"/>
        <v>18489</v>
      </c>
      <c r="P14" s="7">
        <f t="shared" si="13"/>
        <v>18258.589671334001</v>
      </c>
      <c r="Q14" s="7">
        <f t="shared" si="14"/>
        <v>1228.700286</v>
      </c>
      <c r="R14" s="5">
        <f t="shared" si="8"/>
        <v>126300.777547914</v>
      </c>
      <c r="S14" s="5"/>
      <c r="T14" s="19"/>
      <c r="U14" s="18">
        <v>1996</v>
      </c>
      <c r="V14" s="5">
        <v>48509</v>
      </c>
      <c r="W14" s="5">
        <v>43391</v>
      </c>
      <c r="X14" s="5">
        <v>937</v>
      </c>
      <c r="Y14" s="5">
        <v>19633</v>
      </c>
      <c r="Z14" s="5">
        <v>289</v>
      </c>
      <c r="AA14" s="5">
        <v>766</v>
      </c>
      <c r="AD14" s="18">
        <v>1996</v>
      </c>
      <c r="AE14" s="5">
        <v>6190.4379345180005</v>
      </c>
      <c r="AF14" s="5">
        <v>514.00248999999997</v>
      </c>
      <c r="AG14" s="5">
        <v>3.990326</v>
      </c>
      <c r="AH14" s="7">
        <v>4858.8337918999996</v>
      </c>
      <c r="AI14" s="7">
        <v>5170.6722339000007</v>
      </c>
      <c r="AJ14" s="7">
        <v>2361.986394</v>
      </c>
      <c r="AM14" s="18">
        <v>1996</v>
      </c>
      <c r="AN14" s="5">
        <v>7176.4146139799977</v>
      </c>
      <c r="AO14" s="5">
        <v>514.00248999999997</v>
      </c>
      <c r="AP14" s="5">
        <v>3.990326</v>
      </c>
      <c r="AQ14" s="7">
        <v>4858.8337918999996</v>
      </c>
      <c r="AR14" s="7">
        <v>5087.3406238100006</v>
      </c>
      <c r="AS14" s="7">
        <v>2361.986394</v>
      </c>
      <c r="AT14" s="17"/>
    </row>
    <row r="15" spans="1:46" x14ac:dyDescent="0.25">
      <c r="A15" s="1">
        <v>1996</v>
      </c>
      <c r="B15" s="5">
        <f t="shared" si="0"/>
        <v>54699.437934517999</v>
      </c>
      <c r="C15" s="5">
        <f t="shared" si="1"/>
        <v>43905.002489999999</v>
      </c>
      <c r="D15" s="5">
        <f t="shared" si="2"/>
        <v>940.99032599999998</v>
      </c>
      <c r="E15" s="5">
        <f t="shared" si="3"/>
        <v>24491.833791900001</v>
      </c>
      <c r="F15" s="5">
        <f t="shared" si="4"/>
        <v>5459.6722339000007</v>
      </c>
      <c r="G15" s="5">
        <f t="shared" si="5"/>
        <v>3127.986394</v>
      </c>
      <c r="H15" s="5">
        <f t="shared" si="6"/>
        <v>132624.92317031798</v>
      </c>
      <c r="I15" s="5"/>
      <c r="K15" s="18">
        <v>1996</v>
      </c>
      <c r="L15" s="7">
        <f t="shared" si="9"/>
        <v>55685.41461398</v>
      </c>
      <c r="M15" s="7">
        <f t="shared" si="10"/>
        <v>43905.002489999999</v>
      </c>
      <c r="N15" s="7">
        <f t="shared" si="11"/>
        <v>940.99032599999998</v>
      </c>
      <c r="O15" s="7">
        <f t="shared" si="12"/>
        <v>24491.833791900001</v>
      </c>
      <c r="P15" s="7">
        <f t="shared" si="13"/>
        <v>5376.3406238100006</v>
      </c>
      <c r="Q15" s="7">
        <f t="shared" si="14"/>
        <v>3127.986394</v>
      </c>
      <c r="R15" s="5">
        <f t="shared" si="8"/>
        <v>133527.56823969001</v>
      </c>
      <c r="S15" s="5"/>
      <c r="T15" s="19"/>
      <c r="U15" s="18">
        <v>1997</v>
      </c>
      <c r="V15" s="5">
        <v>65656</v>
      </c>
      <c r="W15" s="5">
        <v>36450</v>
      </c>
      <c r="X15" s="5">
        <v>2229</v>
      </c>
      <c r="Y15" s="5">
        <v>12979</v>
      </c>
      <c r="Z15" s="5">
        <v>488</v>
      </c>
      <c r="AA15" s="5">
        <v>2189</v>
      </c>
      <c r="AD15" s="18">
        <v>1997</v>
      </c>
      <c r="AE15" s="5">
        <v>5004.4236861090003</v>
      </c>
      <c r="AF15" s="5">
        <v>1315.3986783999999</v>
      </c>
      <c r="AG15" s="5">
        <v>0</v>
      </c>
      <c r="AH15" s="7">
        <v>0</v>
      </c>
      <c r="AI15" s="7">
        <v>6849.9133875999996</v>
      </c>
      <c r="AJ15" s="7">
        <v>712.19603000000006</v>
      </c>
      <c r="AM15" s="18">
        <v>1997</v>
      </c>
      <c r="AN15" s="5">
        <v>5177.8053692640015</v>
      </c>
      <c r="AO15" s="5">
        <v>1441.0960148000001</v>
      </c>
      <c r="AP15" s="5">
        <v>0</v>
      </c>
      <c r="AQ15" s="7">
        <v>0</v>
      </c>
      <c r="AR15" s="7">
        <v>6735.5867951000037</v>
      </c>
      <c r="AS15" s="7">
        <v>712.19603000000006</v>
      </c>
      <c r="AT15" s="17"/>
    </row>
    <row r="16" spans="1:46" x14ac:dyDescent="0.25">
      <c r="A16" s="1">
        <v>1997</v>
      </c>
      <c r="B16" s="5">
        <f t="shared" si="0"/>
        <v>70660.423686109003</v>
      </c>
      <c r="C16" s="5">
        <f t="shared" si="1"/>
        <v>37765.398678400001</v>
      </c>
      <c r="D16" s="5">
        <f t="shared" si="2"/>
        <v>2229</v>
      </c>
      <c r="E16" s="5">
        <f t="shared" si="3"/>
        <v>12979</v>
      </c>
      <c r="F16" s="5">
        <f t="shared" si="4"/>
        <v>7337.9133875999996</v>
      </c>
      <c r="G16" s="5">
        <f t="shared" si="5"/>
        <v>2901.1960300000001</v>
      </c>
      <c r="H16" s="5">
        <f t="shared" si="6"/>
        <v>133872.93178210899</v>
      </c>
      <c r="I16" s="5"/>
      <c r="K16" s="18">
        <v>1997</v>
      </c>
      <c r="L16" s="7">
        <f t="shared" si="9"/>
        <v>70833.805369263995</v>
      </c>
      <c r="M16" s="7">
        <f t="shared" si="10"/>
        <v>37891.096014800001</v>
      </c>
      <c r="N16" s="7">
        <f t="shared" si="11"/>
        <v>2229</v>
      </c>
      <c r="O16" s="7">
        <f t="shared" si="12"/>
        <v>12979</v>
      </c>
      <c r="P16" s="7">
        <f t="shared" si="13"/>
        <v>7223.5867951000037</v>
      </c>
      <c r="Q16" s="7">
        <f t="shared" si="14"/>
        <v>2901.1960300000001</v>
      </c>
      <c r="R16" s="5">
        <f t="shared" si="8"/>
        <v>134057.684209164</v>
      </c>
      <c r="S16" s="5"/>
      <c r="T16" s="19"/>
      <c r="U16" s="18">
        <v>1998</v>
      </c>
      <c r="V16" s="5">
        <v>58571</v>
      </c>
      <c r="W16" s="5">
        <v>33196</v>
      </c>
      <c r="X16" s="5">
        <v>496</v>
      </c>
      <c r="Y16" s="5">
        <v>6396</v>
      </c>
      <c r="Z16" s="5">
        <v>1017</v>
      </c>
      <c r="AA16" s="5">
        <v>371</v>
      </c>
      <c r="AD16" s="18">
        <v>1998</v>
      </c>
      <c r="AE16" s="5">
        <v>5981.4498351999991</v>
      </c>
      <c r="AF16" s="5">
        <v>254.45493199999999</v>
      </c>
      <c r="AG16" s="5">
        <v>8.0247440000000001</v>
      </c>
      <c r="AH16" s="7">
        <v>0</v>
      </c>
      <c r="AI16" s="7">
        <v>13530.95025819</v>
      </c>
      <c r="AJ16" s="7">
        <v>317.46239999999995</v>
      </c>
      <c r="AM16" s="18">
        <v>1998</v>
      </c>
      <c r="AN16" s="5">
        <v>6188.872724400002</v>
      </c>
      <c r="AO16" s="5">
        <v>254.45493199999999</v>
      </c>
      <c r="AP16" s="5">
        <v>8.0247440000000001</v>
      </c>
      <c r="AQ16" s="7">
        <v>0</v>
      </c>
      <c r="AR16" s="7">
        <v>13214.021018254003</v>
      </c>
      <c r="AS16" s="7">
        <v>317.46239999999995</v>
      </c>
      <c r="AT16" s="17"/>
    </row>
    <row r="17" spans="1:55" x14ac:dyDescent="0.25">
      <c r="A17" s="1">
        <v>1998</v>
      </c>
      <c r="B17" s="5">
        <f t="shared" si="0"/>
        <v>64552.449835200001</v>
      </c>
      <c r="C17" s="5">
        <f t="shared" si="1"/>
        <v>33450.454932000001</v>
      </c>
      <c r="D17" s="5">
        <f t="shared" si="2"/>
        <v>504.024744</v>
      </c>
      <c r="E17" s="5">
        <f t="shared" si="3"/>
        <v>6396</v>
      </c>
      <c r="F17" s="5">
        <f t="shared" si="4"/>
        <v>14547.95025819</v>
      </c>
      <c r="G17" s="5">
        <f t="shared" si="5"/>
        <v>688.46239999999989</v>
      </c>
      <c r="H17" s="5">
        <f t="shared" si="6"/>
        <v>120139.34216939</v>
      </c>
      <c r="I17" s="5"/>
      <c r="K17" s="18">
        <v>1998</v>
      </c>
      <c r="L17" s="7">
        <f t="shared" si="9"/>
        <v>64759.872724400004</v>
      </c>
      <c r="M17" s="7">
        <f t="shared" si="10"/>
        <v>33450.454932000001</v>
      </c>
      <c r="N17" s="7">
        <f t="shared" si="11"/>
        <v>504.024744</v>
      </c>
      <c r="O17" s="7">
        <f t="shared" si="12"/>
        <v>6396</v>
      </c>
      <c r="P17" s="7">
        <f t="shared" si="13"/>
        <v>14231.021018254003</v>
      </c>
      <c r="Q17" s="7">
        <f t="shared" si="14"/>
        <v>688.46239999999989</v>
      </c>
      <c r="R17" s="5">
        <f t="shared" si="8"/>
        <v>120029.83581865401</v>
      </c>
      <c r="S17" s="5"/>
      <c r="T17" s="19"/>
      <c r="U17" s="18">
        <v>1999</v>
      </c>
      <c r="V17" s="5">
        <v>16506</v>
      </c>
      <c r="W17" s="5">
        <v>30774</v>
      </c>
      <c r="X17" s="5">
        <v>2360</v>
      </c>
      <c r="Y17" s="5">
        <v>9057</v>
      </c>
      <c r="Z17" s="5">
        <v>1400</v>
      </c>
      <c r="AA17" s="5">
        <v>1200</v>
      </c>
      <c r="AD17" s="18">
        <v>1999</v>
      </c>
      <c r="AE17" s="5">
        <v>1634.6420213344004</v>
      </c>
      <c r="AF17" s="5"/>
      <c r="AG17" s="5">
        <v>0</v>
      </c>
      <c r="AH17" s="7">
        <v>130.14681050999999</v>
      </c>
      <c r="AI17" s="7">
        <v>3162.6949109399998</v>
      </c>
      <c r="AJ17" s="7">
        <v>123.27986080299999</v>
      </c>
      <c r="AM17" s="18">
        <v>1999</v>
      </c>
      <c r="AN17" s="5">
        <v>1648.2451327337005</v>
      </c>
      <c r="AO17" s="5">
        <v>0</v>
      </c>
      <c r="AP17" s="5">
        <v>0</v>
      </c>
      <c r="AQ17" s="7">
        <v>130.14681050999999</v>
      </c>
      <c r="AR17" s="7">
        <v>3098.8083541200003</v>
      </c>
      <c r="AS17" s="7">
        <v>123.27986080299999</v>
      </c>
      <c r="AT17" s="17"/>
    </row>
    <row r="18" spans="1:55" x14ac:dyDescent="0.25">
      <c r="A18" s="1">
        <v>1999</v>
      </c>
      <c r="B18" s="5">
        <f t="shared" si="0"/>
        <v>18140.642021334399</v>
      </c>
      <c r="C18" s="5">
        <f t="shared" si="1"/>
        <v>30774</v>
      </c>
      <c r="D18" s="5">
        <f t="shared" si="2"/>
        <v>2360</v>
      </c>
      <c r="E18" s="5">
        <f t="shared" si="3"/>
        <v>9187.1468105099993</v>
      </c>
      <c r="F18" s="5">
        <f t="shared" si="4"/>
        <v>4562.6949109399993</v>
      </c>
      <c r="G18" s="5">
        <f t="shared" si="5"/>
        <v>1323.279860803</v>
      </c>
      <c r="H18" s="5">
        <f t="shared" si="6"/>
        <v>66347.763603587402</v>
      </c>
      <c r="I18" s="5"/>
      <c r="J18">
        <v>1999</v>
      </c>
      <c r="K18" s="18">
        <v>1999</v>
      </c>
      <c r="L18" s="7">
        <f t="shared" si="9"/>
        <v>18154.2451327337</v>
      </c>
      <c r="M18" s="7">
        <f t="shared" si="10"/>
        <v>30774</v>
      </c>
      <c r="N18" s="7">
        <f t="shared" si="11"/>
        <v>2360</v>
      </c>
      <c r="O18" s="7">
        <f t="shared" si="12"/>
        <v>9187.1468105099993</v>
      </c>
      <c r="P18" s="7">
        <f t="shared" si="13"/>
        <v>4498.8083541200003</v>
      </c>
      <c r="Q18" s="7">
        <f t="shared" si="14"/>
        <v>1323.279860803</v>
      </c>
      <c r="R18" s="5">
        <f t="shared" si="8"/>
        <v>66297.480158166712</v>
      </c>
      <c r="S18" s="5"/>
      <c r="T18" s="75">
        <v>1999</v>
      </c>
      <c r="U18" s="18">
        <v>2000</v>
      </c>
      <c r="V18" s="5">
        <v>69787</v>
      </c>
      <c r="W18" s="5">
        <v>45705</v>
      </c>
      <c r="X18" s="5">
        <v>1925</v>
      </c>
      <c r="Y18" s="5">
        <v>18913</v>
      </c>
      <c r="Z18" s="5">
        <v>630</v>
      </c>
      <c r="AA18" s="5">
        <v>1669</v>
      </c>
      <c r="AD18" s="18">
        <v>2000</v>
      </c>
      <c r="AE18" s="5">
        <v>5954.083445024</v>
      </c>
      <c r="AF18" s="5">
        <v>919.79235186000005</v>
      </c>
      <c r="AG18" s="5">
        <v>0</v>
      </c>
      <c r="AH18" s="7">
        <v>0</v>
      </c>
      <c r="AI18" s="7">
        <v>12279.9078498</v>
      </c>
      <c r="AJ18" s="7">
        <v>6399.7946306860003</v>
      </c>
      <c r="AM18" s="18">
        <v>2000</v>
      </c>
      <c r="AN18" s="5">
        <v>6231.4366740960013</v>
      </c>
      <c r="AO18" s="5">
        <v>991.11668411999972</v>
      </c>
      <c r="AP18" s="5">
        <v>0</v>
      </c>
      <c r="AQ18" s="7">
        <v>0</v>
      </c>
      <c r="AR18" s="7">
        <v>11991.930385499998</v>
      </c>
      <c r="AS18" s="7">
        <v>6399.7946306860003</v>
      </c>
      <c r="AT18" s="17"/>
    </row>
    <row r="19" spans="1:55" x14ac:dyDescent="0.25">
      <c r="A19" s="1">
        <v>2000</v>
      </c>
      <c r="B19" s="5">
        <f t="shared" si="0"/>
        <v>75741.083445024007</v>
      </c>
      <c r="C19" s="5">
        <f t="shared" si="1"/>
        <v>46624.79235186</v>
      </c>
      <c r="D19" s="5">
        <f t="shared" si="2"/>
        <v>1925</v>
      </c>
      <c r="E19" s="5">
        <f t="shared" si="3"/>
        <v>18913</v>
      </c>
      <c r="F19" s="5">
        <f t="shared" si="4"/>
        <v>12909.9078498</v>
      </c>
      <c r="G19" s="5">
        <f t="shared" si="5"/>
        <v>8068.7946306860003</v>
      </c>
      <c r="H19" s="5">
        <f t="shared" si="6"/>
        <v>164182.57827736999</v>
      </c>
      <c r="I19" s="5"/>
      <c r="J19">
        <v>2000</v>
      </c>
      <c r="K19" s="18">
        <v>2000</v>
      </c>
      <c r="L19" s="7">
        <f t="shared" si="9"/>
        <v>76018.436674095996</v>
      </c>
      <c r="M19" s="7">
        <f t="shared" si="10"/>
        <v>46696.116684120003</v>
      </c>
      <c r="N19" s="7">
        <f t="shared" si="11"/>
        <v>1925</v>
      </c>
      <c r="O19" s="7">
        <f t="shared" si="12"/>
        <v>18913</v>
      </c>
      <c r="P19" s="7">
        <f t="shared" si="13"/>
        <v>12621.930385499998</v>
      </c>
      <c r="Q19" s="7">
        <f t="shared" si="14"/>
        <v>8068.7946306860003</v>
      </c>
      <c r="R19" s="5">
        <f t="shared" si="8"/>
        <v>164243.278374402</v>
      </c>
      <c r="S19" s="5"/>
      <c r="T19" s="75">
        <v>2000</v>
      </c>
      <c r="U19" s="18">
        <v>2001</v>
      </c>
      <c r="V19" s="5">
        <v>40250</v>
      </c>
      <c r="W19" s="5">
        <v>37112</v>
      </c>
      <c r="X19" s="5">
        <v>2520</v>
      </c>
      <c r="Y19" s="5">
        <v>10342</v>
      </c>
      <c r="Z19" s="5">
        <v>1906</v>
      </c>
      <c r="AA19" s="5">
        <v>2631</v>
      </c>
      <c r="AD19" s="18">
        <v>2001</v>
      </c>
      <c r="AE19" s="5">
        <v>2050.6612873699996</v>
      </c>
      <c r="AF19" s="5">
        <v>7704.0022565910003</v>
      </c>
      <c r="AG19" s="5">
        <v>0</v>
      </c>
      <c r="AH19" s="7">
        <v>8.0065579632000006</v>
      </c>
      <c r="AI19" s="7">
        <v>10557.209495130999</v>
      </c>
      <c r="AJ19" s="7">
        <v>1034.1117219999999</v>
      </c>
      <c r="AM19" s="18">
        <v>2001</v>
      </c>
      <c r="AN19" s="5">
        <v>2109.9442913000003</v>
      </c>
      <c r="AO19" s="5">
        <v>8449.2680688629989</v>
      </c>
      <c r="AP19" s="5">
        <v>0</v>
      </c>
      <c r="AQ19" s="7">
        <v>8.0065579632000006</v>
      </c>
      <c r="AR19" s="7">
        <v>10306.735201092999</v>
      </c>
      <c r="AS19" s="7">
        <v>1034.1117219999999</v>
      </c>
      <c r="AT19" s="17"/>
    </row>
    <row r="20" spans="1:55" x14ac:dyDescent="0.25">
      <c r="A20" s="1">
        <v>2001</v>
      </c>
      <c r="B20" s="5">
        <f t="shared" si="0"/>
        <v>42300.66128737</v>
      </c>
      <c r="C20" s="5">
        <f t="shared" si="1"/>
        <v>44816.002256591004</v>
      </c>
      <c r="D20" s="5">
        <f t="shared" si="2"/>
        <v>2520</v>
      </c>
      <c r="E20" s="5">
        <f t="shared" si="3"/>
        <v>10350.006557963199</v>
      </c>
      <c r="F20" s="5">
        <f t="shared" si="4"/>
        <v>12463.209495130999</v>
      </c>
      <c r="G20" s="5">
        <f t="shared" si="5"/>
        <v>3665.1117219999996</v>
      </c>
      <c r="H20" s="5">
        <f t="shared" si="6"/>
        <v>116114.99131905522</v>
      </c>
      <c r="I20" s="5"/>
      <c r="J20">
        <v>2001</v>
      </c>
      <c r="K20" s="18">
        <v>2001</v>
      </c>
      <c r="L20" s="7">
        <f t="shared" si="9"/>
        <v>42359.944291300002</v>
      </c>
      <c r="M20" s="7">
        <f t="shared" si="10"/>
        <v>45561.268068862999</v>
      </c>
      <c r="N20" s="7">
        <f t="shared" si="11"/>
        <v>2520</v>
      </c>
      <c r="O20" s="7">
        <f t="shared" si="12"/>
        <v>10350.006557963199</v>
      </c>
      <c r="P20" s="7">
        <f t="shared" si="13"/>
        <v>12212.735201092999</v>
      </c>
      <c r="Q20" s="7">
        <f t="shared" si="14"/>
        <v>3665.1117219999996</v>
      </c>
      <c r="R20" s="5">
        <f t="shared" si="8"/>
        <v>116669.0658412192</v>
      </c>
      <c r="S20" s="5"/>
      <c r="T20" s="75">
        <v>2001</v>
      </c>
      <c r="U20" s="18">
        <v>2002</v>
      </c>
      <c r="V20" s="5">
        <v>48094</v>
      </c>
      <c r="W20" s="5">
        <v>29641</v>
      </c>
      <c r="X20" s="5">
        <v>3623</v>
      </c>
      <c r="Y20" s="5">
        <v>7865</v>
      </c>
      <c r="Z20" s="5">
        <v>1690</v>
      </c>
      <c r="AA20" s="5">
        <v>1571</v>
      </c>
      <c r="AD20" s="18">
        <v>2002</v>
      </c>
      <c r="AE20" s="5">
        <v>4380.4836495990003</v>
      </c>
      <c r="AF20" s="5">
        <v>53.086767999999999</v>
      </c>
      <c r="AG20" s="5">
        <v>0</v>
      </c>
      <c r="AH20" s="7">
        <v>0</v>
      </c>
      <c r="AI20" s="7">
        <v>7970.7297276059999</v>
      </c>
      <c r="AJ20" s="7">
        <v>224.34714001999998</v>
      </c>
      <c r="AM20" s="18">
        <v>2002</v>
      </c>
      <c r="AN20" s="5">
        <v>4489.3794231040001</v>
      </c>
      <c r="AO20" s="5">
        <v>53.086767999999999</v>
      </c>
      <c r="AP20" s="5">
        <v>0</v>
      </c>
      <c r="AQ20" s="7">
        <v>0</v>
      </c>
      <c r="AR20" s="7">
        <v>7941.4954430459993</v>
      </c>
      <c r="AS20" s="7">
        <v>224.34714001999998</v>
      </c>
      <c r="AT20" s="17"/>
    </row>
    <row r="21" spans="1:55" x14ac:dyDescent="0.25">
      <c r="A21" s="1">
        <v>2002</v>
      </c>
      <c r="B21" s="5">
        <f t="shared" si="0"/>
        <v>52474.483649599002</v>
      </c>
      <c r="C21" s="5">
        <f t="shared" si="1"/>
        <v>29694.086768000001</v>
      </c>
      <c r="D21" s="5">
        <f t="shared" si="2"/>
        <v>3623</v>
      </c>
      <c r="E21" s="5">
        <f t="shared" si="3"/>
        <v>7865</v>
      </c>
      <c r="F21" s="5">
        <f t="shared" si="4"/>
        <v>9660.7297276059999</v>
      </c>
      <c r="G21" s="5">
        <f t="shared" si="5"/>
        <v>1795.3471400200001</v>
      </c>
      <c r="H21" s="5">
        <f t="shared" si="6"/>
        <v>105112.647285225</v>
      </c>
      <c r="I21" s="5"/>
      <c r="J21">
        <v>2002</v>
      </c>
      <c r="K21" s="18">
        <v>2002</v>
      </c>
      <c r="L21" s="7">
        <f t="shared" si="9"/>
        <v>52583.379423104001</v>
      </c>
      <c r="M21" s="7">
        <f t="shared" si="10"/>
        <v>29694.086768000001</v>
      </c>
      <c r="N21" s="7">
        <f t="shared" si="11"/>
        <v>3623</v>
      </c>
      <c r="O21" s="7">
        <f t="shared" si="12"/>
        <v>7865</v>
      </c>
      <c r="P21" s="7">
        <f t="shared" si="13"/>
        <v>9631.4954430459984</v>
      </c>
      <c r="Q21" s="7">
        <f t="shared" si="14"/>
        <v>1795.3471400200001</v>
      </c>
      <c r="R21" s="5">
        <f t="shared" si="8"/>
        <v>105192.30877417001</v>
      </c>
      <c r="S21" s="5"/>
      <c r="T21" s="75">
        <v>2002</v>
      </c>
      <c r="U21" s="18">
        <v>2003</v>
      </c>
      <c r="V21" s="5">
        <v>20676</v>
      </c>
      <c r="W21" s="5">
        <v>19841</v>
      </c>
      <c r="X21" s="5">
        <v>1960</v>
      </c>
      <c r="Y21" s="5">
        <v>3989</v>
      </c>
      <c r="Z21" s="5">
        <v>975</v>
      </c>
      <c r="AA21" s="5">
        <v>1121</v>
      </c>
      <c r="AD21" s="18">
        <v>2003</v>
      </c>
      <c r="AE21" s="5">
        <v>16089.791052999999</v>
      </c>
      <c r="AF21" s="5">
        <v>166.92074897999998</v>
      </c>
      <c r="AG21" s="5">
        <v>0</v>
      </c>
      <c r="AH21" s="7">
        <v>0</v>
      </c>
      <c r="AI21" s="7">
        <v>17373.142384959599</v>
      </c>
      <c r="AJ21" s="7">
        <v>865.63619000000006</v>
      </c>
      <c r="AM21" s="18">
        <v>2003</v>
      </c>
      <c r="AN21" s="5">
        <v>16868.289054000001</v>
      </c>
      <c r="AO21" s="5">
        <v>172.28345119099998</v>
      </c>
      <c r="AP21" s="5">
        <v>0</v>
      </c>
      <c r="AQ21" s="7">
        <v>0</v>
      </c>
      <c r="AR21" s="7">
        <v>15044.679306772799</v>
      </c>
      <c r="AS21" s="7">
        <v>865.63619000000006</v>
      </c>
      <c r="AT21" s="17"/>
    </row>
    <row r="22" spans="1:55" x14ac:dyDescent="0.25">
      <c r="A22" s="1">
        <v>2003</v>
      </c>
      <c r="B22" s="5">
        <f t="shared" si="0"/>
        <v>36765.791053000001</v>
      </c>
      <c r="C22" s="5">
        <f t="shared" si="1"/>
        <v>20007.920748979999</v>
      </c>
      <c r="D22" s="5">
        <f t="shared" si="2"/>
        <v>1960</v>
      </c>
      <c r="E22" s="5">
        <f t="shared" si="3"/>
        <v>3989</v>
      </c>
      <c r="F22" s="5">
        <f t="shared" si="4"/>
        <v>18348.142384959599</v>
      </c>
      <c r="G22" s="5">
        <f t="shared" si="5"/>
        <v>1986.6361900000002</v>
      </c>
      <c r="H22" s="5">
        <f t="shared" si="6"/>
        <v>83057.490376939604</v>
      </c>
      <c r="I22" s="5"/>
      <c r="J22">
        <v>2003</v>
      </c>
      <c r="K22" s="18">
        <v>2003</v>
      </c>
      <c r="L22" s="7">
        <f t="shared" si="9"/>
        <v>37544.289054000001</v>
      </c>
      <c r="M22" s="7">
        <f t="shared" si="10"/>
        <v>20013.283451191</v>
      </c>
      <c r="N22" s="7">
        <f t="shared" si="11"/>
        <v>1960</v>
      </c>
      <c r="O22" s="7">
        <f t="shared" si="12"/>
        <v>3989</v>
      </c>
      <c r="P22" s="7">
        <f t="shared" si="13"/>
        <v>16019.679306772799</v>
      </c>
      <c r="Q22" s="7">
        <f t="shared" si="14"/>
        <v>1986.6361900000002</v>
      </c>
      <c r="R22" s="5">
        <f t="shared" si="8"/>
        <v>81512.888001963802</v>
      </c>
      <c r="S22" s="5"/>
      <c r="T22" s="75">
        <v>2003</v>
      </c>
      <c r="U22" s="18">
        <v>2004</v>
      </c>
      <c r="V22" s="5">
        <v>20163</v>
      </c>
      <c r="W22" s="5">
        <v>37379</v>
      </c>
      <c r="X22" s="5">
        <v>2863</v>
      </c>
      <c r="Y22" s="5">
        <v>3608</v>
      </c>
      <c r="Z22" s="5">
        <v>1276</v>
      </c>
      <c r="AA22" s="5">
        <v>1377</v>
      </c>
      <c r="AD22" s="18">
        <v>2004</v>
      </c>
      <c r="AE22" s="5">
        <v>4037.4659960400004</v>
      </c>
      <c r="AF22" s="5">
        <v>86.001446000000016</v>
      </c>
      <c r="AG22" s="5">
        <v>0</v>
      </c>
      <c r="AH22" s="7">
        <v>0</v>
      </c>
      <c r="AI22" s="7">
        <v>11741.567559936</v>
      </c>
      <c r="AJ22" s="7">
        <v>1225.5830568599999</v>
      </c>
      <c r="AM22" s="18">
        <v>2004</v>
      </c>
      <c r="AN22" s="5">
        <v>4168.9702618699994</v>
      </c>
      <c r="AO22" s="5">
        <v>86.001446000000016</v>
      </c>
      <c r="AP22" s="5">
        <v>0</v>
      </c>
      <c r="AQ22" s="7">
        <v>0</v>
      </c>
      <c r="AR22" s="7">
        <v>12801.532333695999</v>
      </c>
      <c r="AS22" s="7">
        <v>1225.5830568599999</v>
      </c>
      <c r="AT22" s="17"/>
    </row>
    <row r="23" spans="1:55" x14ac:dyDescent="0.25">
      <c r="A23" s="1">
        <v>2004</v>
      </c>
      <c r="B23" s="5">
        <f t="shared" si="0"/>
        <v>24200.465996040002</v>
      </c>
      <c r="C23" s="5">
        <f t="shared" si="1"/>
        <v>37465.001446000002</v>
      </c>
      <c r="D23" s="5">
        <f t="shared" si="2"/>
        <v>2863</v>
      </c>
      <c r="E23" s="5">
        <f t="shared" si="3"/>
        <v>3608</v>
      </c>
      <c r="F23" s="5">
        <f t="shared" si="4"/>
        <v>13017.567559936</v>
      </c>
      <c r="G23" s="5">
        <f t="shared" si="5"/>
        <v>2602.5830568599999</v>
      </c>
      <c r="H23" s="5">
        <f t="shared" si="6"/>
        <v>83756.618058836015</v>
      </c>
      <c r="I23" s="5"/>
      <c r="J23">
        <v>2004</v>
      </c>
      <c r="K23" s="18">
        <v>2004</v>
      </c>
      <c r="L23" s="7">
        <f t="shared" si="9"/>
        <v>24331.970261869999</v>
      </c>
      <c r="M23" s="7">
        <f t="shared" si="10"/>
        <v>37465.001446000002</v>
      </c>
      <c r="N23" s="7">
        <f t="shared" si="11"/>
        <v>2863</v>
      </c>
      <c r="O23" s="7">
        <f t="shared" si="12"/>
        <v>3608</v>
      </c>
      <c r="P23" s="7">
        <f t="shared" si="13"/>
        <v>14077.532333695999</v>
      </c>
      <c r="Q23" s="7">
        <f t="shared" si="14"/>
        <v>2602.5830568599999</v>
      </c>
      <c r="R23" s="5">
        <f t="shared" si="8"/>
        <v>84948.087098426011</v>
      </c>
      <c r="S23" s="5"/>
      <c r="T23" s="75">
        <v>2004</v>
      </c>
      <c r="U23" s="18">
        <v>2005</v>
      </c>
      <c r="V23" s="5">
        <v>26226</v>
      </c>
      <c r="W23" s="5">
        <v>9393</v>
      </c>
      <c r="X23" s="5">
        <v>651</v>
      </c>
      <c r="Y23" s="5">
        <v>6882</v>
      </c>
      <c r="Z23" s="5">
        <v>5697</v>
      </c>
      <c r="AA23" s="5">
        <v>967</v>
      </c>
      <c r="AD23" s="18">
        <v>2005</v>
      </c>
      <c r="AE23" s="5">
        <v>3773.3448984000001</v>
      </c>
      <c r="AF23" s="5">
        <v>84863.556095940003</v>
      </c>
      <c r="AG23" s="5">
        <v>0</v>
      </c>
      <c r="AH23" s="7">
        <v>2565.6342586999999</v>
      </c>
      <c r="AI23" s="7">
        <v>2981.6057833330001</v>
      </c>
      <c r="AJ23" s="7">
        <v>336.02317016000001</v>
      </c>
      <c r="AL23" s="17"/>
      <c r="AM23" s="18">
        <v>2005</v>
      </c>
      <c r="AN23" s="5">
        <v>3870.6170553999987</v>
      </c>
      <c r="AO23" s="5">
        <v>93112.844739499982</v>
      </c>
      <c r="AP23" s="5">
        <v>0</v>
      </c>
      <c r="AQ23" s="7">
        <v>2565.6342586999999</v>
      </c>
      <c r="AR23" s="7">
        <v>2929.7345168371994</v>
      </c>
      <c r="AS23" s="7">
        <v>336.02317016000001</v>
      </c>
      <c r="AT23" s="17"/>
      <c r="AU23" s="17"/>
      <c r="AV23" s="17"/>
      <c r="AW23" s="17"/>
      <c r="AX23" s="17"/>
      <c r="AY23" s="17"/>
      <c r="AZ23" s="17"/>
      <c r="BA23" s="17"/>
      <c r="BB23" s="17"/>
      <c r="BC23" s="17"/>
    </row>
    <row r="24" spans="1:55" x14ac:dyDescent="0.25">
      <c r="A24" s="1">
        <v>2005</v>
      </c>
      <c r="B24" s="5">
        <f t="shared" si="0"/>
        <v>29999.344898399999</v>
      </c>
      <c r="C24" s="5">
        <f t="shared" si="1"/>
        <v>94256.556095940003</v>
      </c>
      <c r="D24" s="5">
        <f t="shared" si="2"/>
        <v>651</v>
      </c>
      <c r="E24" s="5">
        <f t="shared" si="3"/>
        <v>9447.6342586999999</v>
      </c>
      <c r="F24" s="5">
        <f t="shared" si="4"/>
        <v>8678.6057833329996</v>
      </c>
      <c r="G24" s="5">
        <f t="shared" si="5"/>
        <v>1303.0231701600001</v>
      </c>
      <c r="H24" s="5">
        <f t="shared" si="6"/>
        <v>144336.16420653302</v>
      </c>
      <c r="I24" s="5"/>
      <c r="J24">
        <v>2005</v>
      </c>
      <c r="K24" s="18">
        <v>2005</v>
      </c>
      <c r="L24" s="7">
        <f t="shared" si="9"/>
        <v>30096.617055399998</v>
      </c>
      <c r="M24" s="7">
        <f t="shared" si="10"/>
        <v>102505.84473949998</v>
      </c>
      <c r="N24" s="7">
        <f t="shared" si="11"/>
        <v>651</v>
      </c>
      <c r="O24" s="7">
        <f t="shared" si="12"/>
        <v>9447.6342586999999</v>
      </c>
      <c r="P24" s="7">
        <f t="shared" si="13"/>
        <v>8626.7345168371994</v>
      </c>
      <c r="Q24" s="7">
        <f t="shared" si="14"/>
        <v>1303.0231701600001</v>
      </c>
      <c r="R24" s="5">
        <f t="shared" si="8"/>
        <v>152630.8537405972</v>
      </c>
      <c r="S24" s="5"/>
      <c r="T24" s="75">
        <v>2005</v>
      </c>
      <c r="U24" s="18">
        <v>2006</v>
      </c>
      <c r="V24" s="5">
        <v>20302</v>
      </c>
      <c r="W24" s="5">
        <v>13695</v>
      </c>
      <c r="X24" s="5">
        <v>491</v>
      </c>
      <c r="Y24" s="5">
        <v>3178</v>
      </c>
      <c r="Z24" s="5">
        <v>2629</v>
      </c>
      <c r="AA24" s="5">
        <v>1911</v>
      </c>
      <c r="AD24" s="18">
        <v>2006</v>
      </c>
      <c r="AE24" s="5">
        <v>4344.0704490000007</v>
      </c>
      <c r="AF24" s="5">
        <v>53.439503999999999</v>
      </c>
      <c r="AG24" s="5">
        <v>0</v>
      </c>
      <c r="AH24" s="7">
        <v>0</v>
      </c>
      <c r="AI24" s="7">
        <v>2112.22613563</v>
      </c>
      <c r="AJ24" s="7">
        <v>763.5134329</v>
      </c>
      <c r="AK24" s="17"/>
      <c r="AL24" s="17"/>
      <c r="AM24" s="18">
        <v>2006</v>
      </c>
      <c r="AN24" s="5">
        <v>4522.0374185199998</v>
      </c>
      <c r="AO24" s="5">
        <v>53.439503999999999</v>
      </c>
      <c r="AP24" s="5">
        <v>0</v>
      </c>
      <c r="AQ24" s="7">
        <v>0</v>
      </c>
      <c r="AR24" s="7">
        <v>2069.1649261600001</v>
      </c>
      <c r="AS24" s="7">
        <v>763.5134329</v>
      </c>
      <c r="AT24" s="17"/>
      <c r="AU24" s="17"/>
      <c r="AV24" s="17"/>
      <c r="AW24" s="17"/>
      <c r="AX24" s="17"/>
      <c r="AY24" s="17"/>
      <c r="AZ24" s="17"/>
      <c r="BA24" s="17"/>
      <c r="BB24" s="17"/>
      <c r="BC24" s="17"/>
    </row>
    <row r="25" spans="1:55" x14ac:dyDescent="0.25">
      <c r="A25" s="1">
        <v>2006</v>
      </c>
      <c r="B25" s="5">
        <f t="shared" si="0"/>
        <v>24646.070448999999</v>
      </c>
      <c r="C25" s="5">
        <f t="shared" si="1"/>
        <v>13748.439504</v>
      </c>
      <c r="D25" s="5">
        <f t="shared" si="2"/>
        <v>491</v>
      </c>
      <c r="E25" s="5">
        <f t="shared" si="3"/>
        <v>3178</v>
      </c>
      <c r="F25" s="5">
        <f t="shared" si="4"/>
        <v>4741.2261356300005</v>
      </c>
      <c r="G25" s="5">
        <f t="shared" si="5"/>
        <v>2674.5134329000002</v>
      </c>
      <c r="H25" s="5">
        <f t="shared" si="6"/>
        <v>49479.24952153</v>
      </c>
      <c r="I25" s="5"/>
      <c r="J25">
        <v>2006</v>
      </c>
      <c r="K25" s="18">
        <v>2006</v>
      </c>
      <c r="L25" s="7">
        <f t="shared" si="9"/>
        <v>24824.037418519998</v>
      </c>
      <c r="M25" s="7">
        <f t="shared" si="10"/>
        <v>13748.439504</v>
      </c>
      <c r="N25" s="7">
        <f t="shared" si="11"/>
        <v>491</v>
      </c>
      <c r="O25" s="7">
        <f t="shared" si="12"/>
        <v>3178</v>
      </c>
      <c r="P25" s="7">
        <f t="shared" si="13"/>
        <v>4698.1649261599996</v>
      </c>
      <c r="Q25" s="7">
        <f t="shared" si="14"/>
        <v>2674.5134329000002</v>
      </c>
      <c r="R25" s="5">
        <f t="shared" si="8"/>
        <v>49614.155281579995</v>
      </c>
      <c r="S25" s="5"/>
      <c r="T25" s="75">
        <v>2006</v>
      </c>
      <c r="U25" s="18">
        <v>2007</v>
      </c>
      <c r="V25" s="5">
        <v>11607</v>
      </c>
      <c r="W25" s="5">
        <v>20596</v>
      </c>
      <c r="X25" s="5">
        <v>4027</v>
      </c>
      <c r="Y25" s="5">
        <v>7303</v>
      </c>
      <c r="Z25" s="5">
        <v>1881</v>
      </c>
      <c r="AA25" s="5">
        <v>433</v>
      </c>
      <c r="AB25" s="17"/>
      <c r="AC25" s="17"/>
      <c r="AD25" s="18">
        <v>2007</v>
      </c>
      <c r="AE25" s="5">
        <v>5005.4863805349996</v>
      </c>
      <c r="AF25" s="5"/>
      <c r="AG25" s="5">
        <v>1.8342271999999999</v>
      </c>
      <c r="AH25" s="7">
        <v>0</v>
      </c>
      <c r="AI25" s="7">
        <v>1547.3806108709996</v>
      </c>
      <c r="AJ25" s="7">
        <v>11340.695949230003</v>
      </c>
      <c r="AK25" s="17"/>
      <c r="AM25" s="18">
        <v>2007</v>
      </c>
      <c r="AN25" s="5">
        <v>5176.6268035789999</v>
      </c>
      <c r="AO25" s="5">
        <v>0</v>
      </c>
      <c r="AP25" s="5">
        <v>1.8342271999999999</v>
      </c>
      <c r="AQ25" s="7">
        <v>0</v>
      </c>
      <c r="AR25" s="7">
        <v>1528.1398969800002</v>
      </c>
      <c r="AS25" s="7">
        <v>11340.695949230001</v>
      </c>
      <c r="AT25" s="17"/>
    </row>
    <row r="26" spans="1:55" x14ac:dyDescent="0.25">
      <c r="A26" s="1">
        <v>2007</v>
      </c>
      <c r="B26" s="5">
        <f t="shared" si="0"/>
        <v>16612.486380535</v>
      </c>
      <c r="C26" s="5">
        <f t="shared" si="1"/>
        <v>20596</v>
      </c>
      <c r="D26" s="5">
        <f t="shared" si="2"/>
        <v>4028.8342272</v>
      </c>
      <c r="E26" s="5">
        <f t="shared" si="3"/>
        <v>7303</v>
      </c>
      <c r="F26" s="5">
        <f t="shared" si="4"/>
        <v>3428.3806108709996</v>
      </c>
      <c r="G26" s="5">
        <f t="shared" si="5"/>
        <v>11773.695949230003</v>
      </c>
      <c r="H26" s="5">
        <f t="shared" si="6"/>
        <v>63742.397167836003</v>
      </c>
      <c r="I26" s="5"/>
      <c r="J26">
        <v>2007</v>
      </c>
      <c r="K26" s="18">
        <v>2007</v>
      </c>
      <c r="L26" s="7">
        <f t="shared" si="9"/>
        <v>16783.626803578998</v>
      </c>
      <c r="M26" s="7">
        <f t="shared" si="10"/>
        <v>20596</v>
      </c>
      <c r="N26" s="7">
        <f t="shared" si="11"/>
        <v>4028.8342272</v>
      </c>
      <c r="O26" s="7">
        <f t="shared" si="12"/>
        <v>7303</v>
      </c>
      <c r="P26" s="7">
        <f t="shared" si="13"/>
        <v>3409.1398969800002</v>
      </c>
      <c r="Q26" s="7">
        <f t="shared" si="14"/>
        <v>11773.695949230001</v>
      </c>
      <c r="R26" s="5">
        <f t="shared" si="8"/>
        <v>63894.296876988999</v>
      </c>
      <c r="S26" s="5"/>
      <c r="T26" s="75">
        <v>2007</v>
      </c>
      <c r="U26" s="18">
        <v>2008</v>
      </c>
      <c r="V26" s="5">
        <v>13985</v>
      </c>
      <c r="W26" s="5">
        <v>22071</v>
      </c>
      <c r="X26" s="5">
        <v>1649</v>
      </c>
      <c r="Y26" s="5">
        <v>4760</v>
      </c>
      <c r="Z26" s="5">
        <v>443</v>
      </c>
      <c r="AA26" s="5">
        <v>131</v>
      </c>
      <c r="AB26" s="17"/>
      <c r="AC26" s="17"/>
      <c r="AD26" s="18">
        <v>2008</v>
      </c>
      <c r="AE26" s="5">
        <v>6952.5364152900001</v>
      </c>
      <c r="AF26" s="5">
        <v>566.59013062999998</v>
      </c>
      <c r="AG26" s="5">
        <v>0</v>
      </c>
      <c r="AH26" s="7">
        <v>0</v>
      </c>
      <c r="AI26" s="7">
        <v>22159.137834854999</v>
      </c>
      <c r="AJ26" s="7">
        <v>311.90565734200004</v>
      </c>
      <c r="AM26" s="18">
        <v>2008</v>
      </c>
      <c r="AN26" s="5">
        <v>7838.2909645299997</v>
      </c>
      <c r="AO26" s="5">
        <v>621.70899729999996</v>
      </c>
      <c r="AP26" s="5">
        <v>0</v>
      </c>
      <c r="AQ26" s="7">
        <v>0</v>
      </c>
      <c r="AR26" s="7">
        <v>18948.819420559015</v>
      </c>
      <c r="AS26" s="7">
        <v>311.90565734200004</v>
      </c>
      <c r="AT26" s="17"/>
    </row>
    <row r="27" spans="1:55" x14ac:dyDescent="0.25">
      <c r="A27" s="1">
        <v>2008</v>
      </c>
      <c r="B27" s="5">
        <f t="shared" si="0"/>
        <v>20937.53641529</v>
      </c>
      <c r="C27" s="5">
        <f t="shared" si="1"/>
        <v>22637.59013063</v>
      </c>
      <c r="D27" s="5">
        <f t="shared" si="2"/>
        <v>1649</v>
      </c>
      <c r="E27" s="5">
        <f t="shared" si="3"/>
        <v>4760</v>
      </c>
      <c r="F27" s="5">
        <f t="shared" si="4"/>
        <v>22602.137834854999</v>
      </c>
      <c r="G27" s="5">
        <f t="shared" si="5"/>
        <v>442.90565734200004</v>
      </c>
      <c r="H27" s="5">
        <f t="shared" si="6"/>
        <v>73029.170038116994</v>
      </c>
      <c r="I27" s="5"/>
      <c r="K27" s="18">
        <v>2008</v>
      </c>
      <c r="L27" s="7">
        <f t="shared" si="9"/>
        <v>21823.290964529999</v>
      </c>
      <c r="M27" s="7">
        <f t="shared" si="10"/>
        <v>22692.7089973</v>
      </c>
      <c r="N27" s="7">
        <f t="shared" si="11"/>
        <v>1649</v>
      </c>
      <c r="O27" s="7">
        <f t="shared" si="12"/>
        <v>4760</v>
      </c>
      <c r="P27" s="7">
        <f t="shared" si="13"/>
        <v>19391.819420559015</v>
      </c>
      <c r="Q27" s="7">
        <f t="shared" si="14"/>
        <v>442.90565734200004</v>
      </c>
      <c r="R27" s="5">
        <f t="shared" si="8"/>
        <v>70759.725039731013</v>
      </c>
      <c r="S27" s="5"/>
      <c r="T27" s="19"/>
      <c r="U27" s="18">
        <v>2009</v>
      </c>
      <c r="V27" s="5">
        <v>9892</v>
      </c>
      <c r="W27" s="5">
        <v>27509</v>
      </c>
      <c r="X27" s="5">
        <v>2349</v>
      </c>
      <c r="Y27" s="5">
        <v>1898</v>
      </c>
      <c r="Z27" s="5">
        <v>377</v>
      </c>
      <c r="AA27" s="5">
        <v>640</v>
      </c>
      <c r="AD27" s="18">
        <v>2009</v>
      </c>
      <c r="AE27" s="5">
        <v>6258.7549074900035</v>
      </c>
      <c r="AF27" s="5">
        <v>468.59243647</v>
      </c>
      <c r="AG27" s="5">
        <v>0</v>
      </c>
      <c r="AH27" s="7">
        <v>0</v>
      </c>
      <c r="AI27" s="7">
        <v>39422.697746029997</v>
      </c>
      <c r="AJ27" s="7">
        <v>51.600867600000001</v>
      </c>
      <c r="AM27" s="18">
        <v>2009</v>
      </c>
      <c r="AN27" s="5">
        <v>6324.8250459400033</v>
      </c>
      <c r="AO27" s="5">
        <v>506.53194458000002</v>
      </c>
      <c r="AP27" s="5">
        <v>0</v>
      </c>
      <c r="AQ27" s="7">
        <v>0</v>
      </c>
      <c r="AR27" s="7">
        <v>35439.860461719974</v>
      </c>
      <c r="AS27" s="7">
        <v>51.600867600000001</v>
      </c>
      <c r="AT27" s="17"/>
    </row>
    <row r="28" spans="1:55" x14ac:dyDescent="0.25">
      <c r="A28" s="1">
        <v>2009</v>
      </c>
      <c r="B28" s="5">
        <f t="shared" si="0"/>
        <v>16150.754907490003</v>
      </c>
      <c r="C28" s="5">
        <f t="shared" si="1"/>
        <v>27977.59243647</v>
      </c>
      <c r="D28" s="5">
        <f t="shared" si="2"/>
        <v>2349</v>
      </c>
      <c r="E28" s="5">
        <f t="shared" si="3"/>
        <v>1898</v>
      </c>
      <c r="F28" s="5">
        <f t="shared" si="4"/>
        <v>39799.697746029997</v>
      </c>
      <c r="G28" s="5">
        <f t="shared" si="5"/>
        <v>691.60086760000002</v>
      </c>
      <c r="H28" s="5">
        <f t="shared" si="6"/>
        <v>88866.645957590008</v>
      </c>
      <c r="I28" s="5"/>
      <c r="K28" s="18">
        <v>2009</v>
      </c>
      <c r="L28" s="7">
        <f t="shared" si="9"/>
        <v>16216.825045940004</v>
      </c>
      <c r="M28" s="7">
        <f t="shared" si="10"/>
        <v>28015.531944580001</v>
      </c>
      <c r="N28" s="7">
        <f t="shared" si="11"/>
        <v>2349</v>
      </c>
      <c r="O28" s="7">
        <f t="shared" si="12"/>
        <v>1898</v>
      </c>
      <c r="P28" s="7">
        <f t="shared" si="13"/>
        <v>35816.860461719974</v>
      </c>
      <c r="Q28" s="7">
        <f t="shared" si="14"/>
        <v>691.60086760000002</v>
      </c>
      <c r="R28" s="5">
        <f t="shared" si="8"/>
        <v>84987.818319839978</v>
      </c>
      <c r="S28" s="5"/>
      <c r="T28" s="19"/>
      <c r="U28" s="18">
        <v>2010</v>
      </c>
      <c r="V28" s="5">
        <v>4454</v>
      </c>
      <c r="W28" s="5">
        <v>24436</v>
      </c>
      <c r="X28" s="5">
        <v>589</v>
      </c>
      <c r="Y28" s="5">
        <v>5799</v>
      </c>
      <c r="Z28" s="5">
        <v>539</v>
      </c>
      <c r="AA28" s="5">
        <v>325</v>
      </c>
      <c r="AD28" s="18">
        <v>2010</v>
      </c>
      <c r="AE28" s="5">
        <v>2225.5404443980005</v>
      </c>
      <c r="AF28" s="5">
        <v>5826.5548224499998</v>
      </c>
      <c r="AG28" s="5">
        <v>0</v>
      </c>
      <c r="AH28" s="7">
        <v>11.059758735000001</v>
      </c>
      <c r="AI28" s="7">
        <v>1548.4201946359999</v>
      </c>
      <c r="AJ28" s="7">
        <v>428.89158016699997</v>
      </c>
      <c r="AM28" s="18">
        <v>2010</v>
      </c>
      <c r="AN28" s="5">
        <v>2246.5271980200009</v>
      </c>
      <c r="AO28" s="5">
        <v>6393.3721406600007</v>
      </c>
      <c r="AP28" s="5">
        <v>0</v>
      </c>
      <c r="AQ28" s="7">
        <v>11.059758735000001</v>
      </c>
      <c r="AR28" s="7">
        <v>1543.5001520210003</v>
      </c>
      <c r="AS28" s="7">
        <v>428.89158016699997</v>
      </c>
      <c r="AT28" s="17"/>
    </row>
    <row r="29" spans="1:55" x14ac:dyDescent="0.25">
      <c r="A29" s="1">
        <v>2010</v>
      </c>
      <c r="B29" s="5">
        <f t="shared" si="0"/>
        <v>6679.5404443980005</v>
      </c>
      <c r="C29" s="5">
        <f t="shared" si="1"/>
        <v>30262.554822450002</v>
      </c>
      <c r="D29" s="5">
        <f t="shared" si="2"/>
        <v>589</v>
      </c>
      <c r="E29" s="5">
        <f t="shared" si="3"/>
        <v>5810.0597587350003</v>
      </c>
      <c r="F29" s="5">
        <f t="shared" si="4"/>
        <v>2087.4201946359999</v>
      </c>
      <c r="G29" s="5">
        <f t="shared" si="5"/>
        <v>753.89158016700003</v>
      </c>
      <c r="H29" s="5">
        <f t="shared" si="6"/>
        <v>46182.466800385999</v>
      </c>
      <c r="I29" s="5"/>
      <c r="K29" s="18">
        <v>2010</v>
      </c>
      <c r="L29" s="7">
        <f t="shared" si="9"/>
        <v>6700.5271980200014</v>
      </c>
      <c r="M29" s="7">
        <f t="shared" si="10"/>
        <v>30829.372140660002</v>
      </c>
      <c r="N29" s="7">
        <f t="shared" si="11"/>
        <v>589</v>
      </c>
      <c r="O29" s="7">
        <f t="shared" si="12"/>
        <v>5810.0597587350003</v>
      </c>
      <c r="P29" s="7">
        <f t="shared" si="13"/>
        <v>2082.5001520210003</v>
      </c>
      <c r="Q29" s="7">
        <f t="shared" si="14"/>
        <v>753.89158016700003</v>
      </c>
      <c r="R29" s="5">
        <f t="shared" si="8"/>
        <v>46765.350829602998</v>
      </c>
      <c r="S29" s="5"/>
      <c r="T29" s="19"/>
      <c r="U29" s="18">
        <v>2011</v>
      </c>
      <c r="V29" s="5">
        <v>22755</v>
      </c>
      <c r="W29" s="5">
        <v>2260</v>
      </c>
      <c r="X29" s="5">
        <v>211</v>
      </c>
      <c r="Y29" s="5">
        <v>5644</v>
      </c>
      <c r="Z29" s="5">
        <v>838</v>
      </c>
      <c r="AA29" s="5">
        <v>6252</v>
      </c>
      <c r="AD29" s="18">
        <v>2011</v>
      </c>
      <c r="AE29" s="5">
        <v>5407.5954093</v>
      </c>
      <c r="AF29" s="5">
        <v>9.8236975999999991</v>
      </c>
      <c r="AG29" s="5">
        <v>0</v>
      </c>
      <c r="AH29" s="7">
        <v>0</v>
      </c>
      <c r="AI29" s="7">
        <v>5432.2111536890006</v>
      </c>
      <c r="AJ29" s="7">
        <v>28257.458215400002</v>
      </c>
      <c r="AM29" s="18">
        <v>2011</v>
      </c>
      <c r="AN29" s="5">
        <v>5644.8962261999995</v>
      </c>
      <c r="AO29" s="5">
        <v>9.8236975999999991</v>
      </c>
      <c r="AP29" s="5">
        <v>0</v>
      </c>
      <c r="AQ29" s="7">
        <v>0</v>
      </c>
      <c r="AR29" s="7">
        <v>5307.719333062998</v>
      </c>
      <c r="AS29" s="7">
        <v>28257.458215400002</v>
      </c>
      <c r="AT29" s="17"/>
    </row>
    <row r="30" spans="1:55" x14ac:dyDescent="0.25">
      <c r="A30" s="1">
        <v>2011</v>
      </c>
      <c r="B30" s="5">
        <f t="shared" si="0"/>
        <v>28162.5954093</v>
      </c>
      <c r="C30" s="5">
        <f t="shared" si="1"/>
        <v>2269.8236975999998</v>
      </c>
      <c r="D30" s="5">
        <f t="shared" si="2"/>
        <v>211</v>
      </c>
      <c r="E30" s="5">
        <f t="shared" si="3"/>
        <v>5644</v>
      </c>
      <c r="F30" s="5">
        <f t="shared" si="4"/>
        <v>6270.2111536890006</v>
      </c>
      <c r="G30" s="5">
        <f t="shared" si="5"/>
        <v>34509.458215400002</v>
      </c>
      <c r="H30" s="5">
        <f t="shared" si="6"/>
        <v>77067.088475989003</v>
      </c>
      <c r="I30" s="5"/>
      <c r="K30" s="18">
        <v>2011</v>
      </c>
      <c r="L30" s="7">
        <f t="shared" si="9"/>
        <v>28399.896226199999</v>
      </c>
      <c r="M30" s="7">
        <f t="shared" si="10"/>
        <v>2269.8236975999998</v>
      </c>
      <c r="N30" s="7">
        <f t="shared" si="11"/>
        <v>211</v>
      </c>
      <c r="O30" s="7">
        <f t="shared" si="12"/>
        <v>5644</v>
      </c>
      <c r="P30" s="7">
        <f t="shared" si="13"/>
        <v>6145.719333062998</v>
      </c>
      <c r="Q30" s="7">
        <f t="shared" si="14"/>
        <v>34509.458215400002</v>
      </c>
      <c r="R30" s="5">
        <f t="shared" si="8"/>
        <v>77179.897472262994</v>
      </c>
      <c r="S30" s="5"/>
      <c r="T30" s="19"/>
      <c r="U30" s="18">
        <v>2012</v>
      </c>
      <c r="V30" s="5">
        <v>4375</v>
      </c>
      <c r="W30" s="5">
        <v>4123</v>
      </c>
      <c r="X30" s="5">
        <v>57</v>
      </c>
      <c r="Y30" s="5">
        <v>482</v>
      </c>
      <c r="Z30" s="5">
        <v>1632</v>
      </c>
      <c r="AA30" s="5">
        <v>417</v>
      </c>
      <c r="AD30" s="18">
        <v>2012</v>
      </c>
      <c r="AE30" s="5">
        <v>4318.0971096000003</v>
      </c>
      <c r="AF30" s="5">
        <v>4.9118487999999996</v>
      </c>
      <c r="AG30" s="5">
        <v>0</v>
      </c>
      <c r="AH30" s="7">
        <v>0</v>
      </c>
      <c r="AI30" s="7">
        <v>4232.9524030000002</v>
      </c>
      <c r="AJ30" s="7">
        <v>1926.4907573599999</v>
      </c>
      <c r="AM30" s="18">
        <v>2012</v>
      </c>
      <c r="AN30" s="5">
        <v>4318.0971096000003</v>
      </c>
      <c r="AO30" s="5">
        <v>4.9118487999999996</v>
      </c>
      <c r="AP30" s="5">
        <v>0</v>
      </c>
      <c r="AQ30" s="7">
        <v>0</v>
      </c>
      <c r="AR30" s="7">
        <v>4140.4292211999982</v>
      </c>
      <c r="AS30" s="7">
        <v>1926.4907573599999</v>
      </c>
      <c r="AT30" s="17"/>
    </row>
    <row r="31" spans="1:55" x14ac:dyDescent="0.25">
      <c r="A31" s="18">
        <v>2012</v>
      </c>
      <c r="B31" s="5">
        <f t="shared" si="0"/>
        <v>8693.0971095999994</v>
      </c>
      <c r="C31" s="5">
        <f t="shared" si="1"/>
        <v>4127.9118488000004</v>
      </c>
      <c r="D31" s="5">
        <f t="shared" si="2"/>
        <v>57</v>
      </c>
      <c r="E31" s="5">
        <f t="shared" si="3"/>
        <v>482</v>
      </c>
      <c r="F31" s="5">
        <f t="shared" si="4"/>
        <v>5864.9524030000002</v>
      </c>
      <c r="G31" s="5">
        <f t="shared" si="5"/>
        <v>2343.4907573599999</v>
      </c>
      <c r="H31" s="5">
        <f t="shared" si="6"/>
        <v>21568.45211876</v>
      </c>
      <c r="I31" s="5">
        <f t="shared" ref="I31:I36" si="15">SUM(B44:G44)</f>
        <v>116002.31737446101</v>
      </c>
      <c r="K31" s="18">
        <v>2012</v>
      </c>
      <c r="L31" s="7">
        <f t="shared" si="9"/>
        <v>8693.0971095999994</v>
      </c>
      <c r="M31" s="7">
        <f t="shared" si="10"/>
        <v>4127.9118488000004</v>
      </c>
      <c r="N31" s="7">
        <f t="shared" si="11"/>
        <v>57</v>
      </c>
      <c r="O31" s="7">
        <f t="shared" si="12"/>
        <v>482</v>
      </c>
      <c r="P31" s="7">
        <f t="shared" si="13"/>
        <v>5772.4292211999982</v>
      </c>
      <c r="Q31" s="7">
        <f t="shared" si="14"/>
        <v>2343.4907573599999</v>
      </c>
      <c r="R31" s="5">
        <f t="shared" si="8"/>
        <v>21475.928936959997</v>
      </c>
      <c r="S31" s="5">
        <f>SUM(L44:Q44)</f>
        <v>116518.888726363</v>
      </c>
      <c r="T31" s="19"/>
      <c r="U31" s="18">
        <v>2013</v>
      </c>
      <c r="V31" s="5">
        <v>10002</v>
      </c>
      <c r="W31" s="5">
        <v>19765</v>
      </c>
      <c r="X31" s="5">
        <v>71</v>
      </c>
      <c r="Y31" s="5">
        <v>1822</v>
      </c>
      <c r="Z31" s="5">
        <v>1654</v>
      </c>
      <c r="AA31" s="5">
        <v>100</v>
      </c>
      <c r="AD31" s="18">
        <v>2013</v>
      </c>
      <c r="AE31" s="5">
        <v>1643.3952006719999</v>
      </c>
      <c r="AF31" s="5">
        <v>1824.5455247899999</v>
      </c>
      <c r="AG31" s="5">
        <v>0</v>
      </c>
      <c r="AH31" s="7">
        <v>127.88223219999999</v>
      </c>
      <c r="AI31" s="7">
        <v>12781.426494050002</v>
      </c>
      <c r="AJ31" s="7">
        <v>586.85853611100003</v>
      </c>
      <c r="AM31" s="18">
        <v>2013</v>
      </c>
      <c r="AN31" s="5">
        <v>1644.5307609460001</v>
      </c>
      <c r="AO31" s="5">
        <v>1900.7469178099998</v>
      </c>
      <c r="AP31" s="5">
        <v>0</v>
      </c>
      <c r="AQ31" s="7">
        <v>127.88223219999999</v>
      </c>
      <c r="AR31" s="7">
        <v>12293.687583550003</v>
      </c>
      <c r="AS31" s="7">
        <v>586.85853611100003</v>
      </c>
      <c r="AT31" s="17"/>
    </row>
    <row r="32" spans="1:55" x14ac:dyDescent="0.25">
      <c r="A32" s="18">
        <v>2013</v>
      </c>
      <c r="B32" s="5">
        <f t="shared" si="0"/>
        <v>11645.395200671999</v>
      </c>
      <c r="C32" s="5">
        <f t="shared" si="1"/>
        <v>21589.545524789999</v>
      </c>
      <c r="D32" s="5">
        <f t="shared" si="2"/>
        <v>71</v>
      </c>
      <c r="E32" s="5">
        <f t="shared" si="3"/>
        <v>1949.8822322000001</v>
      </c>
      <c r="F32" s="5">
        <f t="shared" si="4"/>
        <v>14435.426494050002</v>
      </c>
      <c r="G32" s="5">
        <f t="shared" si="5"/>
        <v>686.85853611100003</v>
      </c>
      <c r="H32" s="26">
        <f t="shared" si="6"/>
        <v>50378.107987823001</v>
      </c>
      <c r="I32" s="5">
        <f t="shared" si="15"/>
        <v>116002.31737446101</v>
      </c>
      <c r="K32" s="18">
        <v>2013</v>
      </c>
      <c r="L32" s="7">
        <f t="shared" si="9"/>
        <v>11646.530760946</v>
      </c>
      <c r="M32" s="7">
        <f t="shared" si="10"/>
        <v>21665.74691781</v>
      </c>
      <c r="N32" s="7">
        <f t="shared" si="11"/>
        <v>71</v>
      </c>
      <c r="O32" s="7">
        <f t="shared" si="12"/>
        <v>1949.8822322000001</v>
      </c>
      <c r="P32" s="7">
        <f t="shared" si="13"/>
        <v>13947.687583550003</v>
      </c>
      <c r="Q32" s="7">
        <f t="shared" si="14"/>
        <v>686.85853611100003</v>
      </c>
      <c r="R32" s="26">
        <f t="shared" si="8"/>
        <v>49967.706030617002</v>
      </c>
      <c r="S32" s="5">
        <f t="shared" ref="S32:S36" si="16">SUM(L45:Q45)</f>
        <v>116518.888726363</v>
      </c>
      <c r="T32" s="19"/>
      <c r="U32" s="18">
        <v>2014</v>
      </c>
      <c r="V32" s="5">
        <v>6407</v>
      </c>
      <c r="W32" s="5">
        <v>38419</v>
      </c>
      <c r="X32" s="5">
        <v>153</v>
      </c>
      <c r="Y32" s="5">
        <v>2229</v>
      </c>
      <c r="Z32" s="5">
        <v>1212</v>
      </c>
      <c r="AA32" s="5">
        <v>195</v>
      </c>
      <c r="AD32" s="18">
        <v>2014</v>
      </c>
      <c r="AE32" s="5">
        <v>1243.3112812030004</v>
      </c>
      <c r="AF32" s="5">
        <v>3365.8613252390005</v>
      </c>
      <c r="AG32" s="5">
        <v>16.858576200000002</v>
      </c>
      <c r="AH32" s="7">
        <v>1068.2697944000001</v>
      </c>
      <c r="AI32" s="7">
        <v>13674.377754707401</v>
      </c>
      <c r="AJ32" s="7">
        <v>4627.2323217920002</v>
      </c>
      <c r="AM32" s="18">
        <v>2014</v>
      </c>
      <c r="AN32" s="5">
        <v>1248.2928526200003</v>
      </c>
      <c r="AO32" s="5">
        <v>3389.7915178979997</v>
      </c>
      <c r="AP32" s="5">
        <v>16.858576200000002</v>
      </c>
      <c r="AQ32" s="7">
        <v>1068.2697944000001</v>
      </c>
      <c r="AR32" s="7">
        <v>13352.870020279397</v>
      </c>
      <c r="AS32" s="7">
        <v>4627.2323217920002</v>
      </c>
      <c r="AT32" s="17"/>
    </row>
    <row r="33" spans="1:55" s="17" customFormat="1" x14ac:dyDescent="0.25">
      <c r="A33" s="18">
        <v>2014</v>
      </c>
      <c r="B33" s="5">
        <f t="shared" si="0"/>
        <v>7650.3112812030004</v>
      </c>
      <c r="C33" s="5">
        <f t="shared" si="1"/>
        <v>41784.861325238999</v>
      </c>
      <c r="D33" s="5">
        <f t="shared" si="2"/>
        <v>169.85857620000002</v>
      </c>
      <c r="E33" s="5">
        <f t="shared" si="3"/>
        <v>3297.2697944000001</v>
      </c>
      <c r="F33" s="5">
        <f t="shared" si="4"/>
        <v>14886.377754707401</v>
      </c>
      <c r="G33" s="5">
        <f t="shared" si="5"/>
        <v>4822.2323217920002</v>
      </c>
      <c r="H33" s="26">
        <f t="shared" si="6"/>
        <v>72610.911053541407</v>
      </c>
      <c r="I33" s="5">
        <f t="shared" si="15"/>
        <v>116002.31737446101</v>
      </c>
      <c r="K33" s="18">
        <v>2014</v>
      </c>
      <c r="L33" s="7">
        <f t="shared" si="9"/>
        <v>7655.2928526200003</v>
      </c>
      <c r="M33" s="7">
        <f t="shared" si="10"/>
        <v>41808.791517897997</v>
      </c>
      <c r="N33" s="7">
        <f t="shared" si="11"/>
        <v>169.85857620000002</v>
      </c>
      <c r="O33" s="7">
        <f t="shared" si="12"/>
        <v>3297.2697944000001</v>
      </c>
      <c r="P33" s="7">
        <f t="shared" si="13"/>
        <v>14564.870020279397</v>
      </c>
      <c r="Q33" s="7">
        <f t="shared" si="14"/>
        <v>4822.2323217920002</v>
      </c>
      <c r="R33" s="26">
        <f t="shared" si="8"/>
        <v>72318.315083189402</v>
      </c>
      <c r="S33" s="5">
        <f t="shared" si="16"/>
        <v>116518.888726363</v>
      </c>
      <c r="T33" s="19"/>
      <c r="U33" s="18">
        <v>2015</v>
      </c>
      <c r="V33" s="5">
        <v>11489</v>
      </c>
      <c r="W33" s="5">
        <v>58467</v>
      </c>
      <c r="X33" s="5">
        <v>0</v>
      </c>
      <c r="Y33" s="5">
        <v>1138</v>
      </c>
      <c r="Z33" s="5">
        <v>706</v>
      </c>
      <c r="AA33" s="5">
        <v>1192</v>
      </c>
      <c r="AB33"/>
      <c r="AC33"/>
      <c r="AD33" s="18">
        <v>2015</v>
      </c>
      <c r="AE33" s="5">
        <v>2587.4099579199997</v>
      </c>
      <c r="AF33" s="5">
        <v>2906.0412832000002</v>
      </c>
      <c r="AG33" s="5">
        <v>23.410647399999998</v>
      </c>
      <c r="AH33" s="7">
        <v>3094.7359097999997</v>
      </c>
      <c r="AI33" s="7">
        <v>12156.479362300001</v>
      </c>
      <c r="AJ33" s="7">
        <v>3539.9019694000003</v>
      </c>
      <c r="AK33"/>
      <c r="AL33"/>
      <c r="AM33" s="18">
        <v>2015</v>
      </c>
      <c r="AN33" s="5">
        <v>2605.8917413999998</v>
      </c>
      <c r="AO33" s="5">
        <v>3015.3931560000001</v>
      </c>
      <c r="AP33" s="5">
        <v>23.410647399999998</v>
      </c>
      <c r="AQ33" s="7">
        <v>3094.7359097999997</v>
      </c>
      <c r="AR33" s="7">
        <v>11889.988831369999</v>
      </c>
      <c r="AS33" s="7">
        <v>3539.9019694000003</v>
      </c>
      <c r="AU33"/>
      <c r="AV33"/>
      <c r="AW33"/>
      <c r="AX33"/>
      <c r="AY33"/>
      <c r="AZ33"/>
      <c r="BA33"/>
      <c r="BB33"/>
      <c r="BC33"/>
    </row>
    <row r="34" spans="1:55" s="17" customFormat="1" x14ac:dyDescent="0.25">
      <c r="A34" s="18">
        <v>2015</v>
      </c>
      <c r="B34" s="5">
        <f t="shared" si="0"/>
        <v>14076.409957919999</v>
      </c>
      <c r="C34" s="5">
        <f t="shared" si="1"/>
        <v>61373.0412832</v>
      </c>
      <c r="D34" s="5">
        <f t="shared" si="2"/>
        <v>23.410647399999998</v>
      </c>
      <c r="E34" s="5">
        <f t="shared" si="3"/>
        <v>4232.7359097999997</v>
      </c>
      <c r="F34" s="5">
        <f t="shared" si="4"/>
        <v>12862.479362300001</v>
      </c>
      <c r="G34" s="5">
        <f t="shared" si="5"/>
        <v>4731.9019693999999</v>
      </c>
      <c r="H34" s="26">
        <f t="shared" ref="H34:H36" si="17">SUM(B34:G34)</f>
        <v>97299.979130020001</v>
      </c>
      <c r="I34" s="5">
        <f t="shared" si="15"/>
        <v>232882.82127965681</v>
      </c>
      <c r="K34" s="18">
        <v>2015</v>
      </c>
      <c r="L34" s="7">
        <f t="shared" si="9"/>
        <v>14094.891741399999</v>
      </c>
      <c r="M34" s="7">
        <f t="shared" si="10"/>
        <v>61482.393155999998</v>
      </c>
      <c r="N34" s="7">
        <f t="shared" si="11"/>
        <v>23.410647399999998</v>
      </c>
      <c r="O34" s="7">
        <f t="shared" si="12"/>
        <v>4232.7359097999997</v>
      </c>
      <c r="P34" s="7">
        <f t="shared" si="13"/>
        <v>12595.988831369999</v>
      </c>
      <c r="Q34" s="7">
        <f t="shared" si="14"/>
        <v>4731.9019693999999</v>
      </c>
      <c r="R34" s="26">
        <f t="shared" si="8"/>
        <v>97161.322255370003</v>
      </c>
      <c r="S34" s="5">
        <f t="shared" si="16"/>
        <v>242826.81406251519</v>
      </c>
      <c r="T34" s="19"/>
      <c r="U34" s="18">
        <v>2016</v>
      </c>
      <c r="V34" s="5">
        <v>16630</v>
      </c>
      <c r="W34" s="5">
        <v>24084</v>
      </c>
      <c r="X34" s="5">
        <v>12</v>
      </c>
      <c r="Y34" s="5">
        <v>2035</v>
      </c>
      <c r="Z34" s="5">
        <v>675</v>
      </c>
      <c r="AA34" s="5">
        <v>310</v>
      </c>
      <c r="AB34"/>
      <c r="AC34"/>
      <c r="AD34" s="18">
        <v>2016</v>
      </c>
      <c r="AE34" s="5">
        <v>1858.1382915999998</v>
      </c>
      <c r="AF34" s="5">
        <v>2075.0387735900003</v>
      </c>
      <c r="AG34" s="5">
        <v>32.365732600000001</v>
      </c>
      <c r="AH34" s="7">
        <v>8023.3308514</v>
      </c>
      <c r="AI34" s="7">
        <v>5000.0347851658998</v>
      </c>
      <c r="AJ34" s="7">
        <v>3178.6036792</v>
      </c>
      <c r="AK34"/>
      <c r="AL34"/>
      <c r="AM34" s="18">
        <v>2016</v>
      </c>
      <c r="AN34" s="5">
        <v>1858.1382915999998</v>
      </c>
      <c r="AO34" s="5">
        <v>2109.9058829200003</v>
      </c>
      <c r="AP34" s="5">
        <v>32.365732600000001</v>
      </c>
      <c r="AQ34" s="7">
        <v>8023.3308514</v>
      </c>
      <c r="AR34" s="7">
        <v>4904.7116833216996</v>
      </c>
      <c r="AS34" s="7">
        <v>3178.6036792</v>
      </c>
      <c r="AU34"/>
      <c r="AV34"/>
      <c r="AW34"/>
      <c r="AX34"/>
      <c r="AY34"/>
      <c r="AZ34"/>
      <c r="BA34"/>
      <c r="BB34"/>
      <c r="BC34"/>
    </row>
    <row r="35" spans="1:55" x14ac:dyDescent="0.25">
      <c r="A35" s="18">
        <v>2016</v>
      </c>
      <c r="B35" s="5">
        <f t="shared" si="0"/>
        <v>18488.1382916</v>
      </c>
      <c r="C35" s="5">
        <f t="shared" si="1"/>
        <v>26159.03877359</v>
      </c>
      <c r="D35" s="5">
        <f t="shared" si="2"/>
        <v>44.365732600000001</v>
      </c>
      <c r="E35" s="5">
        <f t="shared" si="3"/>
        <v>10058.3308514</v>
      </c>
      <c r="F35" s="5">
        <f t="shared" si="4"/>
        <v>5675.0347851658998</v>
      </c>
      <c r="G35" s="5">
        <f t="shared" si="5"/>
        <v>3488.6036792</v>
      </c>
      <c r="H35" s="26">
        <f t="shared" si="17"/>
        <v>63913.512113555909</v>
      </c>
      <c r="I35" s="5">
        <f t="shared" si="15"/>
        <v>232882.82127965681</v>
      </c>
      <c r="J35" s="17"/>
      <c r="K35" s="18">
        <v>2016</v>
      </c>
      <c r="L35" s="7">
        <f t="shared" si="9"/>
        <v>18488.1382916</v>
      </c>
      <c r="M35" s="7">
        <f t="shared" si="10"/>
        <v>26193.90588292</v>
      </c>
      <c r="N35" s="7">
        <f t="shared" si="11"/>
        <v>44.365732600000001</v>
      </c>
      <c r="O35" s="7">
        <f t="shared" si="12"/>
        <v>10058.3308514</v>
      </c>
      <c r="P35" s="7">
        <f t="shared" si="13"/>
        <v>5579.7116833216996</v>
      </c>
      <c r="Q35" s="7">
        <f t="shared" si="14"/>
        <v>3488.6036792</v>
      </c>
      <c r="R35" s="26">
        <f t="shared" si="8"/>
        <v>63853.056121041707</v>
      </c>
      <c r="S35" s="5">
        <f t="shared" si="16"/>
        <v>242826.81406251519</v>
      </c>
      <c r="T35" s="19"/>
      <c r="U35" s="18">
        <v>2017</v>
      </c>
      <c r="V35" s="5">
        <v>11233</v>
      </c>
      <c r="W35" s="5">
        <v>28686</v>
      </c>
      <c r="X35" s="5">
        <v>26</v>
      </c>
      <c r="Y35" s="5">
        <v>333</v>
      </c>
      <c r="Z35" s="5">
        <v>799</v>
      </c>
      <c r="AA35" s="5">
        <v>89</v>
      </c>
      <c r="AD35" s="18">
        <v>2017</v>
      </c>
      <c r="AE35" s="5">
        <v>2709.5256663800001</v>
      </c>
      <c r="AF35" s="5">
        <v>6720.6421301</v>
      </c>
      <c r="AG35" s="5">
        <v>638.98950224999999</v>
      </c>
      <c r="AH35" s="7">
        <v>4205.8895833999995</v>
      </c>
      <c r="AI35" s="7">
        <v>5392.0874240799985</v>
      </c>
      <c r="AJ35" s="7">
        <v>2871.9743073999998</v>
      </c>
      <c r="AM35" s="18">
        <v>2017</v>
      </c>
      <c r="AN35" s="5">
        <v>2790.49383575</v>
      </c>
      <c r="AO35" s="5">
        <v>7253.7791486999995</v>
      </c>
      <c r="AP35" s="5">
        <v>638.9895022500001</v>
      </c>
      <c r="AQ35" s="7">
        <v>4205.8895833999995</v>
      </c>
      <c r="AR35" s="7">
        <v>5271.8319395250001</v>
      </c>
      <c r="AS35" s="7">
        <v>2871.9743073999998</v>
      </c>
      <c r="AT35" s="17"/>
    </row>
    <row r="36" spans="1:55" x14ac:dyDescent="0.25">
      <c r="A36" s="18">
        <v>2017</v>
      </c>
      <c r="B36" s="5">
        <f t="shared" si="0"/>
        <v>13942.525666379999</v>
      </c>
      <c r="C36" s="5">
        <f t="shared" si="1"/>
        <v>35406.642130100001</v>
      </c>
      <c r="D36" s="5">
        <f t="shared" si="2"/>
        <v>664.98950224999999</v>
      </c>
      <c r="E36" s="5">
        <f t="shared" si="3"/>
        <v>4538.8895833999995</v>
      </c>
      <c r="F36" s="5">
        <f t="shared" si="4"/>
        <v>6191.0874240799985</v>
      </c>
      <c r="G36" s="5">
        <f t="shared" si="5"/>
        <v>2960.9743073999998</v>
      </c>
      <c r="H36" s="26">
        <f t="shared" si="17"/>
        <v>63705.108613609998</v>
      </c>
      <c r="I36" s="5">
        <f t="shared" si="15"/>
        <v>232882.82127965681</v>
      </c>
      <c r="K36" s="18">
        <v>2017</v>
      </c>
      <c r="L36" s="7">
        <f t="shared" si="9"/>
        <v>14023.49383575</v>
      </c>
      <c r="M36" s="7">
        <f t="shared" si="10"/>
        <v>35939.779148699999</v>
      </c>
      <c r="N36" s="7">
        <f t="shared" si="11"/>
        <v>664.9895022500001</v>
      </c>
      <c r="O36" s="7">
        <f t="shared" si="12"/>
        <v>4538.8895833999995</v>
      </c>
      <c r="P36" s="7">
        <f t="shared" si="13"/>
        <v>6070.8319395250001</v>
      </c>
      <c r="Q36" s="7">
        <f t="shared" si="14"/>
        <v>2960.9743073999998</v>
      </c>
      <c r="R36" s="26">
        <f t="shared" si="8"/>
        <v>64198.958317024997</v>
      </c>
      <c r="S36" s="5">
        <f t="shared" si="16"/>
        <v>242826.81406251519</v>
      </c>
      <c r="T36" s="19"/>
      <c r="U36" s="18"/>
      <c r="V36" s="5"/>
      <c r="W36" s="5"/>
      <c r="X36" s="5"/>
      <c r="Y36" s="5"/>
      <c r="Z36" s="5"/>
      <c r="AA36" s="5"/>
      <c r="AB36" s="17"/>
      <c r="AC36" s="17"/>
      <c r="AD36" s="18"/>
      <c r="AE36" s="5"/>
      <c r="AF36" s="5"/>
      <c r="AG36" s="5"/>
      <c r="AH36" s="7"/>
      <c r="AI36" s="7"/>
      <c r="AJ36" s="7"/>
      <c r="BA36" s="17"/>
      <c r="BB36" s="17"/>
      <c r="BC36" s="17"/>
    </row>
    <row r="37" spans="1:55" x14ac:dyDescent="0.25">
      <c r="A37" s="18" t="s">
        <v>71</v>
      </c>
      <c r="B37" s="5">
        <f>AVERAGE(B18:B26)</f>
        <v>35653.447686700267</v>
      </c>
      <c r="C37" s="5">
        <f t="shared" ref="C37:F37" si="18">AVERAGE(C18:C26)</f>
        <v>37553.644352374562</v>
      </c>
      <c r="D37" s="5">
        <f t="shared" si="18"/>
        <v>2269.0926919111112</v>
      </c>
      <c r="E37" s="5">
        <f t="shared" si="18"/>
        <v>8204.5319585748002</v>
      </c>
      <c r="F37" s="5">
        <f t="shared" si="18"/>
        <v>9756.7182731340654</v>
      </c>
      <c r="G37" s="5">
        <f>AVERAGE(G18:G26)</f>
        <v>3910.3316836287777</v>
      </c>
      <c r="H37" s="5"/>
      <c r="I37" s="5"/>
      <c r="J37" s="17"/>
      <c r="K37" s="18" t="s">
        <v>71</v>
      </c>
      <c r="L37" s="5">
        <f>AVERAGE(L18:L26)</f>
        <v>35855.171790511413</v>
      </c>
      <c r="M37" s="5">
        <f t="shared" ref="M37:Q37" si="19">AVERAGE(M18:M26)</f>
        <v>38561.560073519329</v>
      </c>
      <c r="N37" s="5">
        <f t="shared" si="19"/>
        <v>2269.0926919111112</v>
      </c>
      <c r="O37" s="5">
        <f t="shared" si="19"/>
        <v>8204.5319585748002</v>
      </c>
      <c r="P37" s="5">
        <f t="shared" si="19"/>
        <v>9532.9133738005548</v>
      </c>
      <c r="Q37" s="5">
        <f t="shared" si="19"/>
        <v>3910.3316836287777</v>
      </c>
      <c r="R37" s="26"/>
      <c r="S37" s="19"/>
      <c r="T37" s="19"/>
      <c r="U37" s="18"/>
      <c r="V37" s="5"/>
      <c r="W37" s="5"/>
      <c r="X37" s="5"/>
      <c r="Y37" s="5"/>
      <c r="Z37" s="5"/>
      <c r="AA37" s="5"/>
      <c r="AB37" s="17"/>
      <c r="AC37" s="17"/>
      <c r="AD37" s="18"/>
      <c r="AE37" s="5"/>
      <c r="AF37" s="5"/>
      <c r="AG37" s="5"/>
      <c r="AH37" s="7"/>
      <c r="AI37" s="7"/>
      <c r="AJ37" s="7"/>
      <c r="BA37" s="17"/>
      <c r="BB37" s="17"/>
      <c r="BC37" s="17"/>
    </row>
    <row r="38" spans="1:55" x14ac:dyDescent="0.25">
      <c r="A38" s="18" t="s">
        <v>70</v>
      </c>
      <c r="B38" s="5">
        <f>AVERAGE(B31:B36)</f>
        <v>12415.979584562499</v>
      </c>
      <c r="C38" s="5">
        <f t="shared" ref="C38:G38" si="20">AVERAGE(C31:C36)</f>
        <v>31740.173480953166</v>
      </c>
      <c r="D38" s="5">
        <f t="shared" si="20"/>
        <v>171.77074307500001</v>
      </c>
      <c r="E38" s="5">
        <f t="shared" si="20"/>
        <v>4093.1847285333333</v>
      </c>
      <c r="F38" s="5">
        <f t="shared" si="20"/>
        <v>9985.8930372172163</v>
      </c>
      <c r="G38" s="5">
        <f t="shared" si="20"/>
        <v>3172.3435952104996</v>
      </c>
      <c r="H38" s="5"/>
      <c r="I38" s="5"/>
      <c r="J38" s="17"/>
      <c r="K38" s="18" t="s">
        <v>70</v>
      </c>
      <c r="L38" s="5">
        <f>AVERAGE(L31:L36)</f>
        <v>12433.574098652665</v>
      </c>
      <c r="M38" s="5">
        <f t="shared" ref="M38:Q38" si="21">AVERAGE(M31:M36)</f>
        <v>31869.754745354669</v>
      </c>
      <c r="N38" s="5">
        <f t="shared" si="21"/>
        <v>171.77074307500001</v>
      </c>
      <c r="O38" s="5">
        <f t="shared" si="21"/>
        <v>4093.1847285333333</v>
      </c>
      <c r="P38" s="5">
        <f t="shared" si="21"/>
        <v>9755.2532132076831</v>
      </c>
      <c r="Q38" s="5">
        <f t="shared" si="21"/>
        <v>3172.3435952104996</v>
      </c>
      <c r="R38" s="26"/>
      <c r="S38" s="19"/>
      <c r="T38" s="19"/>
      <c r="U38" s="5"/>
      <c r="V38" s="5"/>
      <c r="W38" s="5"/>
      <c r="X38" s="17"/>
      <c r="Y38" s="17"/>
      <c r="Z38" s="18"/>
      <c r="AA38" s="5"/>
      <c r="AB38" s="5"/>
      <c r="AC38" s="5"/>
      <c r="AD38" s="7"/>
      <c r="AE38" s="7"/>
      <c r="AF38" s="7"/>
      <c r="AG38" s="17"/>
      <c r="AH38" s="17"/>
    </row>
    <row r="39" spans="1:55" x14ac:dyDescent="0.25">
      <c r="A39" s="18" t="s">
        <v>85</v>
      </c>
      <c r="B39" s="73">
        <f>B38/B37</f>
        <v>0.34824064403718263</v>
      </c>
      <c r="C39" s="73">
        <f t="shared" ref="C39" si="22">C38/C37</f>
        <v>0.84519556033304655</v>
      </c>
      <c r="D39" s="73">
        <f t="shared" ref="D39" si="23">D38/D37</f>
        <v>7.5700187871271377E-2</v>
      </c>
      <c r="E39" s="73">
        <f t="shared" ref="E39" si="24">E38/E37</f>
        <v>0.49889314213170005</v>
      </c>
      <c r="F39" s="73">
        <f t="shared" ref="F39" si="25">F38/F37</f>
        <v>1.0234889188831251</v>
      </c>
      <c r="G39" s="73">
        <f t="shared" ref="G39" si="26">G38/G37</f>
        <v>0.8112722530653903</v>
      </c>
      <c r="H39" s="5"/>
      <c r="I39" s="5"/>
      <c r="J39" s="17"/>
      <c r="K39" s="18" t="s">
        <v>85</v>
      </c>
      <c r="L39" s="73">
        <f>L38/L37</f>
        <v>0.34677212457096757</v>
      </c>
      <c r="M39" s="73">
        <f t="shared" ref="M39:Q39" si="27">M38/M37</f>
        <v>0.8264643516650666</v>
      </c>
      <c r="N39" s="73">
        <f t="shared" si="27"/>
        <v>7.5700187871271377E-2</v>
      </c>
      <c r="O39" s="73">
        <f t="shared" si="27"/>
        <v>0.49889314213170005</v>
      </c>
      <c r="P39" s="73">
        <f t="shared" si="27"/>
        <v>1.0233233882118544</v>
      </c>
      <c r="Q39" s="73">
        <f t="shared" si="27"/>
        <v>0.8112722530653903</v>
      </c>
      <c r="R39" s="26"/>
      <c r="S39" s="19"/>
      <c r="U39" s="5"/>
      <c r="V39" s="5"/>
      <c r="W39" s="5"/>
      <c r="X39" s="17"/>
      <c r="Y39" s="17"/>
      <c r="Z39" s="18"/>
      <c r="AA39" s="5"/>
      <c r="AB39" s="5"/>
      <c r="AC39" s="5"/>
      <c r="AD39" s="7"/>
      <c r="AE39" s="7"/>
      <c r="AF39" s="7"/>
      <c r="AG39" s="17"/>
      <c r="AH39" s="17"/>
    </row>
    <row r="40" spans="1:55" s="17" customFormat="1" x14ac:dyDescent="0.25">
      <c r="A40" s="18" t="s">
        <v>335</v>
      </c>
      <c r="B40" s="73">
        <f>B44/B37</f>
        <v>1.1864395740653526</v>
      </c>
      <c r="C40" s="73">
        <f t="shared" ref="C40:G40" si="28">C44/C37</f>
        <v>1.1933862353297073</v>
      </c>
      <c r="D40" s="73">
        <f t="shared" si="28"/>
        <v>1.2617377907064162</v>
      </c>
      <c r="E40" s="73">
        <f t="shared" si="28"/>
        <v>1.1515141029862157</v>
      </c>
      <c r="F40" s="73">
        <f t="shared" si="28"/>
        <v>1.3231813698411794</v>
      </c>
      <c r="G40" s="73">
        <f t="shared" si="28"/>
        <v>0.93728921701055945</v>
      </c>
      <c r="H40" s="5"/>
      <c r="I40" s="5"/>
      <c r="K40" s="18" t="s">
        <v>335</v>
      </c>
      <c r="L40" s="73">
        <f>L44/L37</f>
        <v>1.1814179705732155</v>
      </c>
      <c r="M40" s="73">
        <f t="shared" ref="M40:Q40" si="29">M44/M37</f>
        <v>1.1815203529628577</v>
      </c>
      <c r="N40" s="73">
        <f t="shared" si="29"/>
        <v>1.2617377907064162</v>
      </c>
      <c r="O40" s="73">
        <f t="shared" si="29"/>
        <v>1.1515141029862157</v>
      </c>
      <c r="P40" s="73">
        <f t="shared" si="29"/>
        <v>1.3240370378471111</v>
      </c>
      <c r="Q40" s="73">
        <f t="shared" si="29"/>
        <v>0.93728921701055945</v>
      </c>
      <c r="R40" s="26"/>
      <c r="S40" s="19"/>
      <c r="U40" s="5"/>
      <c r="V40" s="5"/>
      <c r="W40" s="5"/>
      <c r="Z40" s="18"/>
      <c r="AA40" s="5"/>
      <c r="AB40" s="5"/>
      <c r="AC40" s="5"/>
      <c r="AD40" s="7"/>
      <c r="AE40" s="7"/>
      <c r="AF40" s="7"/>
    </row>
    <row r="41" spans="1:55" x14ac:dyDescent="0.25">
      <c r="A41" s="18"/>
      <c r="B41" s="5"/>
      <c r="C41" s="5"/>
      <c r="D41" s="5"/>
      <c r="E41" s="5"/>
      <c r="F41" s="5"/>
      <c r="G41" s="5"/>
      <c r="H41" s="26"/>
      <c r="I41" s="5"/>
      <c r="Q41" s="18"/>
      <c r="R41" s="19"/>
      <c r="S41" s="19"/>
      <c r="U41" s="5"/>
      <c r="V41" s="5"/>
      <c r="W41" s="5"/>
      <c r="X41" s="17"/>
      <c r="Y41" s="17"/>
      <c r="Z41" s="18"/>
      <c r="AA41" s="5"/>
      <c r="AB41" s="5"/>
      <c r="AC41" s="5"/>
      <c r="AD41" s="7"/>
      <c r="AE41" s="7"/>
      <c r="AF41" s="7"/>
    </row>
    <row r="42" spans="1:55" x14ac:dyDescent="0.25">
      <c r="A42" s="18"/>
      <c r="B42" s="50" t="s">
        <v>16</v>
      </c>
      <c r="C42" s="50" t="s">
        <v>18</v>
      </c>
      <c r="D42" s="50" t="s">
        <v>25</v>
      </c>
      <c r="E42" s="50" t="s">
        <v>28</v>
      </c>
      <c r="F42" s="50" t="s">
        <v>30</v>
      </c>
      <c r="G42" s="50" t="s">
        <v>26</v>
      </c>
      <c r="H42" s="5"/>
      <c r="I42" s="5"/>
      <c r="K42" s="25"/>
      <c r="L42" s="50" t="s">
        <v>16</v>
      </c>
      <c r="M42" s="50" t="s">
        <v>18</v>
      </c>
      <c r="N42" s="50" t="s">
        <v>25</v>
      </c>
      <c r="O42" s="50" t="s">
        <v>28</v>
      </c>
      <c r="P42" s="50" t="s">
        <v>30</v>
      </c>
      <c r="Q42" s="50" t="s">
        <v>26</v>
      </c>
      <c r="R42" s="19"/>
      <c r="U42" s="5"/>
      <c r="V42" s="5"/>
      <c r="W42" s="5"/>
      <c r="X42" s="17"/>
      <c r="Y42" s="17"/>
      <c r="Z42" s="18"/>
      <c r="AA42" s="5"/>
      <c r="AB42" s="5"/>
      <c r="AC42" s="5"/>
      <c r="AD42" s="7"/>
      <c r="AE42" s="7"/>
      <c r="AF42" s="7"/>
    </row>
    <row r="43" spans="1:55" x14ac:dyDescent="0.25">
      <c r="A43" s="33" t="s">
        <v>20</v>
      </c>
      <c r="B43" s="29" t="s">
        <v>328</v>
      </c>
      <c r="C43" s="141" t="s">
        <v>328</v>
      </c>
      <c r="D43" s="141" t="s">
        <v>328</v>
      </c>
      <c r="E43" s="141" t="s">
        <v>328</v>
      </c>
      <c r="F43" s="141" t="s">
        <v>328</v>
      </c>
      <c r="G43" s="141" t="s">
        <v>328</v>
      </c>
      <c r="H43" s="26"/>
      <c r="I43" s="5"/>
      <c r="J43" s="4"/>
      <c r="K43" s="51" t="s">
        <v>20</v>
      </c>
      <c r="L43" s="28" t="s">
        <v>329</v>
      </c>
      <c r="M43" s="28" t="s">
        <v>329</v>
      </c>
      <c r="N43" s="28" t="s">
        <v>329</v>
      </c>
      <c r="O43" s="28" t="s">
        <v>329</v>
      </c>
      <c r="P43" s="28" t="s">
        <v>329</v>
      </c>
      <c r="Q43" s="28" t="s">
        <v>329</v>
      </c>
      <c r="R43" s="19"/>
      <c r="AD43" s="25"/>
      <c r="AE43" s="25"/>
      <c r="AF43" s="25"/>
    </row>
    <row r="44" spans="1:55" x14ac:dyDescent="0.25">
      <c r="A44" s="33">
        <v>2012</v>
      </c>
      <c r="B44" s="5">
        <f>VLOOKUP(VLOOKUP(3,A$137:$G$145,A$149,FALSE),$A$18:$G$26,A$148,FALSE)</f>
        <v>42300.66128737</v>
      </c>
      <c r="C44" s="5">
        <f>VLOOKUP(VLOOKUP(3,B$137:$G$145,B$149,FALSE),$A$18:$G$26,B$148,FALSE)</f>
        <v>44816.002256591004</v>
      </c>
      <c r="D44" s="5">
        <f>VLOOKUP(VLOOKUP(3,C$137:$G$145,C$149,FALSE),$A$18:$G$26,C$148,FALSE)</f>
        <v>2863</v>
      </c>
      <c r="E44" s="5">
        <f>VLOOKUP(VLOOKUP(3,D$137:$G$145,D$149,FALSE),$A$18:$G$26,D$148,FALSE)</f>
        <v>9447.6342586999999</v>
      </c>
      <c r="F44" s="5">
        <f>VLOOKUP(VLOOKUP(3,E$137:$G$145,E$149,FALSE),$A$18:$G$26,E$148,FALSE)</f>
        <v>12909.9078498</v>
      </c>
      <c r="G44" s="5">
        <f>VLOOKUP(VLOOKUP(3,F$137:$G$145,F$149,FALSE),$A$18:$G$26,F$148,FALSE)</f>
        <v>3665.1117219999996</v>
      </c>
      <c r="H44" s="5"/>
      <c r="I44" s="5"/>
      <c r="J44" s="5"/>
      <c r="K44" s="51">
        <v>2012</v>
      </c>
      <c r="L44" s="7">
        <f>VLOOKUP(VLOOKUP(3,A$120:$G$128,A$132,FALSE),$K$18:$Q$26,A$131,FALSE)</f>
        <v>42359.944291300002</v>
      </c>
      <c r="M44" s="7">
        <f>VLOOKUP(VLOOKUP(3,B$120:$G$128,B$132,FALSE),$K$18:$Q$26,B$131,FALSE)</f>
        <v>45561.268068862999</v>
      </c>
      <c r="N44" s="7">
        <f>VLOOKUP(VLOOKUP(3,C$120:$G$128,C$132,FALSE),$K$18:$Q$26,C$131,FALSE)</f>
        <v>2863</v>
      </c>
      <c r="O44" s="7">
        <f>VLOOKUP(VLOOKUP(3,D$120:$G$128,D$132,FALSE),$K$18:$Q$26,D$131,FALSE)</f>
        <v>9447.6342586999999</v>
      </c>
      <c r="P44" s="7">
        <f>VLOOKUP(VLOOKUP(3,E$120:$G$128,E$132,FALSE),$K$18:$Q$26,E$131,FALSE)</f>
        <v>12621.930385499998</v>
      </c>
      <c r="Q44" s="7">
        <f>VLOOKUP(VLOOKUP(3,F$120:$G$128,F$132,FALSE),$K$18:$Q$26,F$131,FALSE)</f>
        <v>3665.1117219999996</v>
      </c>
      <c r="AD44" s="25"/>
      <c r="AE44" s="25"/>
      <c r="AF44" s="25"/>
    </row>
    <row r="45" spans="1:55" x14ac:dyDescent="0.25">
      <c r="A45" s="33">
        <v>2013</v>
      </c>
      <c r="B45" s="5">
        <f>VLOOKUP(VLOOKUP(3,A$137:$G$145,A$149,FALSE),$A$18:$G$26,A$148,FALSE)</f>
        <v>42300.66128737</v>
      </c>
      <c r="C45" s="5">
        <f>VLOOKUP(VLOOKUP(3,B$137:$G$145,B$149,FALSE),$A$18:$G$26,B$148,FALSE)</f>
        <v>44816.002256591004</v>
      </c>
      <c r="D45" s="5">
        <f>VLOOKUP(VLOOKUP(3,C$137:$G$145,C$149,FALSE),$A$18:$G$26,C$148,FALSE)</f>
        <v>2863</v>
      </c>
      <c r="E45" s="5">
        <f>VLOOKUP(VLOOKUP(3,D$137:$G$145,D$149,FALSE),$A$18:$G$26,D$148,FALSE)</f>
        <v>9447.6342586999999</v>
      </c>
      <c r="F45" s="5">
        <f>VLOOKUP(VLOOKUP(3,E$137:$G$145,E$149,FALSE),$A$18:$G$26,E$148,FALSE)</f>
        <v>12909.9078498</v>
      </c>
      <c r="G45" s="5">
        <f>VLOOKUP(VLOOKUP(3,F$137:$G$145,F$149,FALSE),$A$18:$G$26,F$148,FALSE)</f>
        <v>3665.1117219999996</v>
      </c>
      <c r="H45" s="26"/>
      <c r="I45" s="5"/>
      <c r="J45" s="5"/>
      <c r="K45" s="51">
        <v>2013</v>
      </c>
      <c r="L45" s="7">
        <f>VLOOKUP(VLOOKUP(3,A$120:$G$128,A$132,FALSE),$K$18:$Q$26,A$131,FALSE)</f>
        <v>42359.944291300002</v>
      </c>
      <c r="M45" s="7">
        <f>VLOOKUP(VLOOKUP(3,B$120:$G$128,B$132,FALSE),$K$18:$Q$26,B$131,FALSE)</f>
        <v>45561.268068862999</v>
      </c>
      <c r="N45" s="7">
        <f>VLOOKUP(VLOOKUP(3,C$120:$G$128,C$132,FALSE),$K$18:$Q$26,C$131,FALSE)</f>
        <v>2863</v>
      </c>
      <c r="O45" s="7">
        <f>VLOOKUP(VLOOKUP(3,D$120:$G$128,D$132,FALSE),$K$18:$Q$26,D$131,FALSE)</f>
        <v>9447.6342586999999</v>
      </c>
      <c r="P45" s="7">
        <f>VLOOKUP(VLOOKUP(3,E$120:$G$128,E$132,FALSE),$K$18:$Q$26,E$131,FALSE)</f>
        <v>12621.930385499998</v>
      </c>
      <c r="Q45" s="7">
        <f>VLOOKUP(VLOOKUP(3,F$120:$G$128,F$132,FALSE),$K$18:$Q$26,F$131,FALSE)</f>
        <v>3665.1117219999996</v>
      </c>
    </row>
    <row r="46" spans="1:55" x14ac:dyDescent="0.25">
      <c r="A46" s="33">
        <v>2014</v>
      </c>
      <c r="B46" s="5">
        <f>VLOOKUP(VLOOKUP(3,A$137:$G$145,A$149,FALSE),$A$18:$G$26,A$148,FALSE)</f>
        <v>42300.66128737</v>
      </c>
      <c r="C46" s="5">
        <f>VLOOKUP(VLOOKUP(3,B$137:$G$145,B$149,FALSE),$A$18:$G$26,B$148,FALSE)</f>
        <v>44816.002256591004</v>
      </c>
      <c r="D46" s="5">
        <f>VLOOKUP(VLOOKUP(3,C$137:$G$145,C$149,FALSE),$A$18:$G$26,C$148,FALSE)</f>
        <v>2863</v>
      </c>
      <c r="E46" s="5">
        <f>VLOOKUP(VLOOKUP(3,D$137:$G$145,D$149,FALSE),$A$18:$G$26,D$148,FALSE)</f>
        <v>9447.6342586999999</v>
      </c>
      <c r="F46" s="5">
        <f>VLOOKUP(VLOOKUP(3,E$137:$G$145,E$149,FALSE),$A$18:$G$26,E$148,FALSE)</f>
        <v>12909.9078498</v>
      </c>
      <c r="G46" s="5">
        <f>VLOOKUP(VLOOKUP(3,F$137:$G$145,F$149,FALSE),$A$18:$G$26,F$148,FALSE)</f>
        <v>3665.1117219999996</v>
      </c>
      <c r="H46" s="5"/>
      <c r="I46" s="5"/>
      <c r="J46" s="5"/>
      <c r="K46" s="51">
        <v>2014</v>
      </c>
      <c r="L46" s="7">
        <f>VLOOKUP(VLOOKUP(3,A$120:$G$128,A$132,FALSE),$K$18:$Q$26,A$131,FALSE)</f>
        <v>42359.944291300002</v>
      </c>
      <c r="M46" s="7">
        <f>VLOOKUP(VLOOKUP(3,B$120:$G$128,B$132,FALSE),$K$18:$Q$26,B$131,FALSE)</f>
        <v>45561.268068862999</v>
      </c>
      <c r="N46" s="7">
        <f>VLOOKUP(VLOOKUP(3,C$120:$G$128,C$132,FALSE),$K$18:$Q$26,C$131,FALSE)</f>
        <v>2863</v>
      </c>
      <c r="O46" s="7">
        <f>VLOOKUP(VLOOKUP(3,D$120:$G$128,D$132,FALSE),$K$18:$Q$26,D$131,FALSE)</f>
        <v>9447.6342586999999</v>
      </c>
      <c r="P46" s="7">
        <f>VLOOKUP(VLOOKUP(3,E$120:$G$128,E$132,FALSE),$K$18:$Q$26,E$131,FALSE)</f>
        <v>12621.930385499998</v>
      </c>
      <c r="Q46" s="7">
        <f>VLOOKUP(VLOOKUP(3,F$120:$G$128,F$132,FALSE),$K$18:$Q$26,F$131,FALSE)</f>
        <v>3665.1117219999996</v>
      </c>
    </row>
    <row r="47" spans="1:55" s="17" customFormat="1" x14ac:dyDescent="0.25">
      <c r="A47" s="33">
        <v>2015</v>
      </c>
      <c r="B47" s="5">
        <f>$B$59</f>
        <v>90889.300134028817</v>
      </c>
      <c r="C47" s="5">
        <f>$C$59</f>
        <v>113107.86731512801</v>
      </c>
      <c r="D47" s="5">
        <f>VLOOKUP(VLOOKUP(3,C$137:$G$145,C$149,FALSE),$A$18:$G$26,C$148,FALSE)</f>
        <v>2863</v>
      </c>
      <c r="E47" s="5">
        <f>VLOOKUP(VLOOKUP(3,D$137:$G$145,D$149,FALSE),$A$18:$G$26,D$148,FALSE)</f>
        <v>9447.6342586999999</v>
      </c>
      <c r="F47" s="5">
        <f>VLOOKUP(VLOOKUP(3,E$137:$G$145,E$149,FALSE),$A$18:$G$26,E$148,FALSE)</f>
        <v>12909.9078498</v>
      </c>
      <c r="G47" s="5">
        <f>VLOOKUP(VLOOKUP(3,F$137:$G$145,F$149,FALSE),$A$18:$G$26,F$148,FALSE)</f>
        <v>3665.1117219999996</v>
      </c>
      <c r="H47" s="26"/>
      <c r="I47" s="5"/>
      <c r="J47" s="5"/>
      <c r="K47" s="51">
        <v>2015</v>
      </c>
      <c r="L47" s="7">
        <f>$L$59</f>
        <v>91222.124008915212</v>
      </c>
      <c r="M47" s="7">
        <f>$M$59</f>
        <v>123007.01368739999</v>
      </c>
      <c r="N47" s="7">
        <f>VLOOKUP(VLOOKUP(3,C$120:$G$128,C$132,FALSE),$K$18:$Q$26,C$131,FALSE)</f>
        <v>2863</v>
      </c>
      <c r="O47" s="7">
        <f>VLOOKUP(VLOOKUP(3,D$120:$G$128,D$132,FALSE),$K$18:$Q$26,D$131,FALSE)</f>
        <v>9447.6342586999999</v>
      </c>
      <c r="P47" s="7">
        <f>VLOOKUP(VLOOKUP(3,E$120:$G$128,E$132,FALSE),$K$18:$Q$26,E$131,FALSE)</f>
        <v>12621.930385499998</v>
      </c>
      <c r="Q47" s="7">
        <f>VLOOKUP(VLOOKUP(3,F$120:$G$128,F$132,FALSE),$K$18:$Q$26,F$131,FALSE)</f>
        <v>3665.1117219999996</v>
      </c>
      <c r="R47"/>
      <c r="S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17" customFormat="1" x14ac:dyDescent="0.25">
      <c r="A48" s="33">
        <v>2016</v>
      </c>
      <c r="B48" s="5">
        <f t="shared" ref="B48:B49" si="30">$B$59</f>
        <v>90889.300134028817</v>
      </c>
      <c r="C48" s="5">
        <f t="shared" ref="C48:C49" si="31">$C$59</f>
        <v>113107.86731512801</v>
      </c>
      <c r="D48" s="5">
        <f>VLOOKUP(VLOOKUP(3,C$137:$G$145,C$149,FALSE),$A$18:$G$26,C$148,FALSE)</f>
        <v>2863</v>
      </c>
      <c r="E48" s="5">
        <f>VLOOKUP(VLOOKUP(3,D$137:$G$145,D$149,FALSE),$A$18:$G$26,D$148,FALSE)</f>
        <v>9447.6342586999999</v>
      </c>
      <c r="F48" s="5">
        <f>VLOOKUP(VLOOKUP(3,E$137:$G$145,E$149,FALSE),$A$18:$G$26,E$148,FALSE)</f>
        <v>12909.9078498</v>
      </c>
      <c r="G48" s="5">
        <f>VLOOKUP(VLOOKUP(3,F$137:$G$145,F$149,FALSE),$A$18:$G$26,F$148,FALSE)</f>
        <v>3665.1117219999996</v>
      </c>
      <c r="H48"/>
      <c r="I48" s="6"/>
      <c r="J48" s="5"/>
      <c r="K48" s="51">
        <v>2016</v>
      </c>
      <c r="L48" s="7">
        <f t="shared" ref="L48:L49" si="32">$L$59</f>
        <v>91222.124008915212</v>
      </c>
      <c r="M48" s="7">
        <f t="shared" ref="M48:M49" si="33">$M$59</f>
        <v>123007.01368739999</v>
      </c>
      <c r="N48" s="7">
        <f>VLOOKUP(VLOOKUP(3,C$120:$G$128,C$132,FALSE),$K$18:$Q$26,C$131,FALSE)</f>
        <v>2863</v>
      </c>
      <c r="O48" s="7">
        <f>VLOOKUP(VLOOKUP(3,D$120:$G$128,D$132,FALSE),$K$18:$Q$26,D$131,FALSE)</f>
        <v>9447.6342586999999</v>
      </c>
      <c r="P48" s="7">
        <f>VLOOKUP(VLOOKUP(3,E$120:$G$128,E$132,FALSE),$K$18:$Q$26,E$131,FALSE)</f>
        <v>12621.930385499998</v>
      </c>
      <c r="Q48" s="7">
        <f>VLOOKUP(VLOOKUP(3,F$120:$G$128,F$132,FALSE),$K$18:$Q$26,F$131,FALSE)</f>
        <v>3665.1117219999996</v>
      </c>
      <c r="R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20" x14ac:dyDescent="0.25">
      <c r="A49" s="33">
        <v>2017</v>
      </c>
      <c r="B49" s="5">
        <f t="shared" si="30"/>
        <v>90889.300134028817</v>
      </c>
      <c r="C49" s="5">
        <f t="shared" si="31"/>
        <v>113107.86731512801</v>
      </c>
      <c r="D49" s="5">
        <f>VLOOKUP(VLOOKUP(3,C$137:$G$145,C$149,FALSE),$A$18:$G$26,C$148,FALSE)</f>
        <v>2863</v>
      </c>
      <c r="E49" s="5">
        <f>VLOOKUP(VLOOKUP(3,D$137:$G$145,D$149,FALSE),$A$18:$G$26,D$148,FALSE)</f>
        <v>9447.6342586999999</v>
      </c>
      <c r="F49" s="5">
        <f>VLOOKUP(VLOOKUP(3,E$137:$G$145,E$149,FALSE),$A$18:$G$26,E$148,FALSE)</f>
        <v>12909.9078498</v>
      </c>
      <c r="G49" s="5">
        <f>VLOOKUP(VLOOKUP(3,F$137:$G$145,F$149,FALSE),$A$18:$G$26,F$148,FALSE)</f>
        <v>3665.1117219999996</v>
      </c>
      <c r="J49" s="5"/>
      <c r="K49" s="51">
        <v>2017</v>
      </c>
      <c r="L49" s="7">
        <f t="shared" si="32"/>
        <v>91222.124008915212</v>
      </c>
      <c r="M49" s="7">
        <f t="shared" si="33"/>
        <v>123007.01368739999</v>
      </c>
      <c r="N49" s="7">
        <f>VLOOKUP(VLOOKUP(3,C$120:$G$128,C$132,FALSE),$K$18:$Q$26,C$131,FALSE)</f>
        <v>2863</v>
      </c>
      <c r="O49" s="7">
        <f>VLOOKUP(VLOOKUP(3,D$120:$G$128,D$132,FALSE),$K$18:$Q$26,D$131,FALSE)</f>
        <v>9447.6342586999999</v>
      </c>
      <c r="P49" s="7">
        <f>VLOOKUP(VLOOKUP(3,E$120:$G$128,E$132,FALSE),$K$18:$Q$26,E$131,FALSE)</f>
        <v>12621.930385499998</v>
      </c>
      <c r="Q49" s="7">
        <f>VLOOKUP(VLOOKUP(3,F$120:$G$128,F$132,FALSE),$K$18:$Q$26,F$131,FALSE)</f>
        <v>3665.1117219999996</v>
      </c>
      <c r="S49" s="17"/>
      <c r="T49" s="17"/>
    </row>
    <row r="50" spans="1:20" x14ac:dyDescent="0.25">
      <c r="A50" s="33"/>
      <c r="B50" s="5"/>
      <c r="C50" s="5"/>
      <c r="D50" s="5"/>
      <c r="E50" s="5"/>
      <c r="F50" s="5"/>
      <c r="G50" s="5"/>
      <c r="H50" s="17"/>
      <c r="I50" s="17"/>
      <c r="J50" s="5"/>
      <c r="K50" s="51"/>
      <c r="L50" s="7"/>
      <c r="M50" s="7"/>
      <c r="N50" s="7"/>
      <c r="O50" s="7"/>
      <c r="P50" s="7"/>
      <c r="Q50" s="7"/>
      <c r="R50" s="17"/>
      <c r="S50" s="17"/>
      <c r="T50" s="17"/>
    </row>
    <row r="51" spans="1:20" x14ac:dyDescent="0.25">
      <c r="A51" s="367" t="s">
        <v>332</v>
      </c>
      <c r="B51" s="368"/>
      <c r="C51" s="369"/>
      <c r="D51" s="7"/>
      <c r="E51" s="7"/>
      <c r="F51" s="7"/>
      <c r="G51" s="7"/>
      <c r="H51" s="17"/>
      <c r="I51" s="17"/>
      <c r="J51" s="5"/>
      <c r="K51" s="367" t="s">
        <v>333</v>
      </c>
      <c r="L51" s="368"/>
      <c r="M51" s="369"/>
      <c r="N51" s="7"/>
      <c r="O51" s="7"/>
      <c r="P51" s="7"/>
      <c r="Q51" s="7"/>
      <c r="R51" s="17"/>
      <c r="S51" s="17"/>
      <c r="T51" s="5"/>
    </row>
    <row r="52" spans="1:20" x14ac:dyDescent="0.25">
      <c r="A52" s="74" t="s">
        <v>56</v>
      </c>
      <c r="B52" s="53" t="s">
        <v>16</v>
      </c>
      <c r="C52" s="53" t="s">
        <v>18</v>
      </c>
      <c r="D52" s="27"/>
      <c r="E52" s="27"/>
      <c r="F52" s="27"/>
      <c r="G52" s="27"/>
      <c r="H52" s="17"/>
      <c r="I52" s="17"/>
      <c r="J52" s="5"/>
      <c r="K52" s="74" t="s">
        <v>56</v>
      </c>
      <c r="L52" s="53" t="s">
        <v>16</v>
      </c>
      <c r="M52" s="53" t="s">
        <v>18</v>
      </c>
      <c r="N52" s="17"/>
      <c r="O52" s="17"/>
      <c r="P52" s="17"/>
      <c r="Q52" s="18"/>
      <c r="R52" s="5"/>
      <c r="S52" s="5"/>
      <c r="T52" s="5"/>
    </row>
    <row r="53" spans="1:20" x14ac:dyDescent="0.25">
      <c r="A53" s="49" t="s">
        <v>79</v>
      </c>
      <c r="B53" s="49" t="s">
        <v>78</v>
      </c>
      <c r="C53" s="49" t="s">
        <v>78</v>
      </c>
      <c r="H53" s="17"/>
      <c r="I53" s="17"/>
      <c r="J53" s="5"/>
      <c r="K53" s="49" t="s">
        <v>79</v>
      </c>
      <c r="L53" s="49" t="s">
        <v>78</v>
      </c>
      <c r="M53" s="49" t="s">
        <v>78</v>
      </c>
      <c r="N53" s="17"/>
      <c r="O53" s="17"/>
      <c r="P53" s="17"/>
      <c r="Q53" s="18"/>
      <c r="R53" s="5"/>
      <c r="S53" s="5"/>
      <c r="T53" s="5"/>
    </row>
    <row r="54" spans="1:20" x14ac:dyDescent="0.25">
      <c r="A54" s="49" t="s">
        <v>80</v>
      </c>
      <c r="B54" s="49">
        <f>VLOOKUP(B53,'ORCS Categories'!$A$5:$C$9,2,FALSE)</f>
        <v>1.5</v>
      </c>
      <c r="C54" s="49">
        <f>VLOOKUP(C53,'ORCS Categories'!$A$5:$C$9,2,FALSE)</f>
        <v>1.5</v>
      </c>
      <c r="E54" s="64"/>
      <c r="H54" s="17"/>
      <c r="I54" s="17"/>
      <c r="J54" s="5"/>
      <c r="K54" s="49" t="s">
        <v>80</v>
      </c>
      <c r="L54" s="49">
        <f>VLOOKUP(L53,'ORCS Categories'!$A$5:$C$9,2,FALSE)</f>
        <v>1.5</v>
      </c>
      <c r="M54" s="49">
        <f>VLOOKUP(M53,'ORCS Categories'!$A$5:$C$9,2,FALSE)</f>
        <v>1.5</v>
      </c>
      <c r="N54" s="17"/>
      <c r="O54" s="17"/>
      <c r="P54" s="17"/>
      <c r="Q54" s="18"/>
      <c r="R54" s="5"/>
      <c r="S54" s="5"/>
      <c r="T54" s="5"/>
    </row>
    <row r="55" spans="1:20" x14ac:dyDescent="0.25">
      <c r="A55" s="49" t="s">
        <v>81</v>
      </c>
      <c r="B55" s="49" t="s">
        <v>54</v>
      </c>
      <c r="C55" s="49" t="s">
        <v>54</v>
      </c>
      <c r="E55" s="64"/>
      <c r="H55" s="17"/>
      <c r="I55" s="17"/>
      <c r="J55" s="5"/>
      <c r="K55" s="49" t="s">
        <v>81</v>
      </c>
      <c r="L55" s="49" t="s">
        <v>54</v>
      </c>
      <c r="M55" s="49" t="s">
        <v>54</v>
      </c>
      <c r="N55" s="17"/>
      <c r="O55" s="17"/>
      <c r="P55" s="17"/>
      <c r="Q55" s="18"/>
      <c r="R55" s="5"/>
      <c r="S55" s="5"/>
    </row>
    <row r="56" spans="1:20" x14ac:dyDescent="0.25">
      <c r="A56" s="49" t="s">
        <v>82</v>
      </c>
      <c r="B56" s="49">
        <f>VLOOKUP(MAX(B18:B26),B18:$J$26,9,FALSE)</f>
        <v>2000</v>
      </c>
      <c r="C56" s="49">
        <f>VLOOKUP(MAX(C18:C26),C18:$J$26,8,FALSE)</f>
        <v>2005</v>
      </c>
      <c r="E56" s="64"/>
      <c r="H56" s="17"/>
      <c r="I56" s="17"/>
      <c r="J56" s="5"/>
      <c r="K56" s="49" t="s">
        <v>82</v>
      </c>
      <c r="L56" s="49">
        <f>VLOOKUP(L57,L18:$T$26,9,FALSE)</f>
        <v>2000</v>
      </c>
      <c r="M56" s="49">
        <f>VLOOKUP(M57,M18:$T$26,8,FALSE)</f>
        <v>2005</v>
      </c>
      <c r="N56" s="17"/>
    </row>
    <row r="57" spans="1:20" x14ac:dyDescent="0.25">
      <c r="A57" s="49" t="s">
        <v>83</v>
      </c>
      <c r="B57" s="24">
        <f>MAX(B18:B26)</f>
        <v>75741.083445024007</v>
      </c>
      <c r="C57" s="24">
        <f>MAX(C18:C26)</f>
        <v>94256.556095940003</v>
      </c>
      <c r="E57" s="37"/>
      <c r="H57" s="17"/>
      <c r="I57" s="17"/>
      <c r="J57" s="5"/>
      <c r="K57" s="49" t="s">
        <v>83</v>
      </c>
      <c r="L57" s="24">
        <f>MAX(L18:L26)</f>
        <v>76018.436674095996</v>
      </c>
      <c r="M57" s="24">
        <f>MAX(M18:M26)</f>
        <v>102505.84473949998</v>
      </c>
      <c r="N57" s="17"/>
    </row>
    <row r="58" spans="1:20" x14ac:dyDescent="0.25">
      <c r="A58" s="49" t="s">
        <v>59</v>
      </c>
      <c r="B58" s="49">
        <f>VLOOKUP(B53,'ORCS Categories'!$A$5:$C$9,3,FALSE)</f>
        <v>0.8</v>
      </c>
      <c r="C58" s="49">
        <f>VLOOKUP(C53,'ORCS Categories'!$A$5:$C$9,3,FALSE)</f>
        <v>0.8</v>
      </c>
      <c r="E58" s="64"/>
      <c r="J58" s="5"/>
      <c r="K58" s="49" t="s">
        <v>59</v>
      </c>
      <c r="L58" s="49">
        <f>VLOOKUP(L53,'ORCS Categories'!$A$5:$C$9,3,FALSE)</f>
        <v>0.8</v>
      </c>
      <c r="M58" s="49">
        <f>VLOOKUP(M53,'ORCS Categories'!$A$5:$C$9,3,FALSE)</f>
        <v>0.8</v>
      </c>
    </row>
    <row r="59" spans="1:20" x14ac:dyDescent="0.25">
      <c r="A59" s="49" t="s">
        <v>41</v>
      </c>
      <c r="B59" s="24">
        <f>B57*B54*B58</f>
        <v>90889.300134028817</v>
      </c>
      <c r="C59" s="24">
        <f>C57*C54*C58</f>
        <v>113107.86731512801</v>
      </c>
      <c r="J59" s="5"/>
      <c r="K59" s="49" t="s">
        <v>41</v>
      </c>
      <c r="L59" s="24">
        <f>L57*L54*L58</f>
        <v>91222.124008915212</v>
      </c>
      <c r="M59" s="24">
        <f t="shared" ref="M59" si="34">M57*M54*M58</f>
        <v>123007.01368739999</v>
      </c>
    </row>
    <row r="60" spans="1:20" x14ac:dyDescent="0.25">
      <c r="A60" s="25"/>
      <c r="B60" s="7"/>
      <c r="C60" s="7"/>
    </row>
    <row r="61" spans="1:20" x14ac:dyDescent="0.25">
      <c r="B61" s="27"/>
      <c r="C61" s="27"/>
    </row>
    <row r="77" spans="4:9" x14ac:dyDescent="0.25">
      <c r="I77" s="4"/>
    </row>
    <row r="78" spans="4:9" x14ac:dyDescent="0.25">
      <c r="I78" s="5"/>
    </row>
    <row r="79" spans="4:9" x14ac:dyDescent="0.25">
      <c r="D79" s="6"/>
      <c r="E79" s="6"/>
      <c r="F79" s="6"/>
      <c r="G79" s="6"/>
      <c r="I79" s="5"/>
    </row>
    <row r="80" spans="4:9" x14ac:dyDescent="0.25">
      <c r="D80" s="6"/>
      <c r="E80" s="6"/>
      <c r="F80" s="6"/>
      <c r="G80" s="6"/>
      <c r="I80" s="5"/>
    </row>
    <row r="81" spans="2:9" x14ac:dyDescent="0.25">
      <c r="D81" s="6"/>
      <c r="E81" s="6"/>
      <c r="F81" s="6"/>
      <c r="G81" s="6"/>
      <c r="I81" s="5"/>
    </row>
    <row r="82" spans="2:9" x14ac:dyDescent="0.25">
      <c r="D82" s="6"/>
      <c r="E82" s="6"/>
      <c r="F82" s="6"/>
      <c r="G82" s="6"/>
      <c r="I82" s="5"/>
    </row>
    <row r="83" spans="2:9" x14ac:dyDescent="0.25">
      <c r="D83" s="6"/>
      <c r="E83" s="6"/>
      <c r="F83" s="6"/>
      <c r="G83" s="6"/>
      <c r="I83" s="5"/>
    </row>
    <row r="84" spans="2:9" x14ac:dyDescent="0.25">
      <c r="D84" s="6"/>
      <c r="E84" s="6"/>
      <c r="F84" s="6"/>
      <c r="G84" s="6"/>
      <c r="I84" s="5"/>
    </row>
    <row r="85" spans="2:9" x14ac:dyDescent="0.25">
      <c r="D85" s="6"/>
      <c r="E85" s="6"/>
      <c r="F85" s="6"/>
      <c r="G85" s="6"/>
      <c r="I85" s="5"/>
    </row>
    <row r="86" spans="2:9" x14ac:dyDescent="0.25">
      <c r="D86" s="6"/>
      <c r="E86" s="6"/>
      <c r="F86" s="6"/>
      <c r="G86" s="6"/>
      <c r="I86" s="5"/>
    </row>
    <row r="87" spans="2:9" x14ac:dyDescent="0.25">
      <c r="D87" s="6"/>
      <c r="E87" s="6"/>
      <c r="F87" s="6"/>
      <c r="G87" s="6"/>
      <c r="H87" s="6"/>
    </row>
    <row r="88" spans="2:9" x14ac:dyDescent="0.25">
      <c r="B88" s="6"/>
      <c r="C88" s="6"/>
      <c r="D88" s="6"/>
      <c r="E88" s="6"/>
      <c r="F88" s="6"/>
      <c r="G88" s="6"/>
      <c r="H88" s="6"/>
    </row>
    <row r="89" spans="2:9" x14ac:dyDescent="0.25">
      <c r="B89" s="6"/>
      <c r="C89" s="6"/>
      <c r="D89" s="6"/>
      <c r="E89" s="6"/>
      <c r="F89" s="6"/>
      <c r="G89" s="6"/>
      <c r="H89" s="6"/>
    </row>
    <row r="90" spans="2:9" x14ac:dyDescent="0.25">
      <c r="B90" s="6"/>
      <c r="C90" s="6"/>
      <c r="H90" s="6"/>
    </row>
    <row r="91" spans="2:9" x14ac:dyDescent="0.25">
      <c r="B91" s="6"/>
      <c r="C91" s="6"/>
      <c r="H91" s="6"/>
    </row>
    <row r="92" spans="2:9" x14ac:dyDescent="0.25">
      <c r="B92" s="6"/>
      <c r="C92" s="6"/>
      <c r="H92" s="6"/>
    </row>
    <row r="93" spans="2:9" x14ac:dyDescent="0.25">
      <c r="B93" s="6"/>
      <c r="C93" s="6"/>
      <c r="H93" s="6"/>
    </row>
    <row r="94" spans="2:9" x14ac:dyDescent="0.25">
      <c r="B94" s="6"/>
      <c r="C94" s="6"/>
      <c r="H94" s="6"/>
    </row>
    <row r="95" spans="2:9" x14ac:dyDescent="0.25">
      <c r="B95" s="6"/>
      <c r="C95" s="6"/>
      <c r="H95" s="6"/>
    </row>
    <row r="96" spans="2:9" x14ac:dyDescent="0.25">
      <c r="B96" s="6"/>
      <c r="C96" s="6"/>
      <c r="H96" s="6"/>
    </row>
    <row r="97" spans="2:41" x14ac:dyDescent="0.25">
      <c r="B97" s="6"/>
      <c r="C97" s="6"/>
      <c r="H97" s="6"/>
    </row>
    <row r="98" spans="2:41" x14ac:dyDescent="0.25">
      <c r="B98" s="6"/>
      <c r="C98" s="6"/>
    </row>
    <row r="108" spans="2:41" x14ac:dyDescent="0.25">
      <c r="J108" s="366" t="s">
        <v>16</v>
      </c>
      <c r="K108" s="366"/>
      <c r="L108" s="366"/>
      <c r="M108" s="366"/>
      <c r="N108" s="366"/>
      <c r="O108" s="366"/>
      <c r="P108" s="366"/>
      <c r="Q108" s="366"/>
      <c r="R108" s="366"/>
      <c r="S108" s="366"/>
      <c r="U108" s="366" t="s">
        <v>18</v>
      </c>
      <c r="V108" s="366"/>
      <c r="W108" s="366"/>
      <c r="X108" s="366"/>
      <c r="Y108" s="366"/>
      <c r="Z108" s="366"/>
      <c r="AA108" s="366"/>
      <c r="AB108" s="366"/>
      <c r="AC108" s="366"/>
      <c r="AD108" s="366"/>
      <c r="AF108" s="366" t="s">
        <v>25</v>
      </c>
      <c r="AG108" s="366"/>
      <c r="AH108" s="366"/>
      <c r="AI108" s="366"/>
      <c r="AJ108" s="366"/>
      <c r="AK108" s="366"/>
      <c r="AL108" s="366"/>
      <c r="AM108" s="366"/>
      <c r="AN108" s="366"/>
      <c r="AO108" s="366"/>
    </row>
    <row r="109" spans="2:41" x14ac:dyDescent="0.25">
      <c r="J109" s="131" t="s">
        <v>20</v>
      </c>
      <c r="K109" s="131" t="s">
        <v>94</v>
      </c>
      <c r="L109" s="131" t="s">
        <v>95</v>
      </c>
      <c r="M109" s="131" t="s">
        <v>101</v>
      </c>
      <c r="N109" s="93" t="s">
        <v>50</v>
      </c>
      <c r="O109" s="131" t="s">
        <v>45</v>
      </c>
      <c r="P109" s="131" t="s">
        <v>98</v>
      </c>
      <c r="Q109" s="131" t="s">
        <v>97</v>
      </c>
      <c r="R109" s="131" t="s">
        <v>99</v>
      </c>
      <c r="S109" s="131" t="s">
        <v>103</v>
      </c>
      <c r="U109" s="131" t="s">
        <v>20</v>
      </c>
      <c r="V109" s="131" t="s">
        <v>94</v>
      </c>
      <c r="W109" s="131" t="s">
        <v>95</v>
      </c>
      <c r="X109" s="131" t="s">
        <v>101</v>
      </c>
      <c r="Y109" s="93" t="s">
        <v>50</v>
      </c>
      <c r="Z109" s="131" t="s">
        <v>45</v>
      </c>
      <c r="AA109" s="131" t="s">
        <v>98</v>
      </c>
      <c r="AB109" s="131" t="s">
        <v>97</v>
      </c>
      <c r="AC109" s="131" t="s">
        <v>99</v>
      </c>
      <c r="AD109" s="131" t="s">
        <v>103</v>
      </c>
      <c r="AF109" s="131" t="s">
        <v>20</v>
      </c>
      <c r="AG109" s="131" t="s">
        <v>94</v>
      </c>
      <c r="AH109" s="131" t="s">
        <v>95</v>
      </c>
      <c r="AI109" s="131" t="s">
        <v>101</v>
      </c>
      <c r="AJ109" s="93" t="s">
        <v>50</v>
      </c>
      <c r="AK109" s="131" t="s">
        <v>45</v>
      </c>
      <c r="AL109" s="131" t="s">
        <v>98</v>
      </c>
      <c r="AM109" s="131" t="s">
        <v>97</v>
      </c>
      <c r="AN109" s="131" t="s">
        <v>99</v>
      </c>
      <c r="AO109" s="131" t="s">
        <v>103</v>
      </c>
    </row>
    <row r="110" spans="2:41" x14ac:dyDescent="0.25">
      <c r="J110" s="39">
        <v>1986</v>
      </c>
      <c r="K110" s="26"/>
      <c r="L110" s="26"/>
      <c r="M110" s="26"/>
      <c r="N110" s="35">
        <v>11803.692951999999</v>
      </c>
      <c r="O110" s="5">
        <v>11803.692951999999</v>
      </c>
      <c r="P110" s="5">
        <f t="shared" ref="P110:P140" si="35">M110+O110</f>
        <v>11803.692951999999</v>
      </c>
      <c r="Q110" s="5">
        <f t="shared" ref="Q110:Q140" si="36">N110-P110</f>
        <v>0</v>
      </c>
      <c r="R110" s="92">
        <f t="shared" ref="R110:R141" si="37">Q110/P110</f>
        <v>0</v>
      </c>
      <c r="S110" s="92">
        <f>Q110/$P$142</f>
        <v>0</v>
      </c>
      <c r="U110" s="39">
        <v>1986</v>
      </c>
      <c r="V110" s="26"/>
      <c r="W110" s="26"/>
      <c r="X110" s="26"/>
      <c r="Y110" s="35">
        <v>93.695499999999996</v>
      </c>
      <c r="Z110" s="5">
        <v>93.695499999999996</v>
      </c>
      <c r="AA110" s="5">
        <f t="shared" ref="AA110:AA141" si="38">X110+Z110</f>
        <v>93.695499999999996</v>
      </c>
      <c r="AB110" s="5">
        <f t="shared" ref="AB110:AB141" si="39">Y110-AA110</f>
        <v>0</v>
      </c>
      <c r="AC110" s="92">
        <f t="shared" ref="AC110:AC141" si="40">AB110/AA110</f>
        <v>0</v>
      </c>
      <c r="AD110" s="92">
        <f>AB110/$AA$142</f>
        <v>0</v>
      </c>
      <c r="AF110" s="39">
        <v>1986</v>
      </c>
      <c r="AG110" s="26"/>
      <c r="AH110" s="26"/>
      <c r="AI110" s="26"/>
      <c r="AJ110" s="35">
        <v>8.8184000000000005</v>
      </c>
      <c r="AK110" s="5">
        <v>8.8184000000000005</v>
      </c>
      <c r="AL110" s="5">
        <f t="shared" ref="AL110:AL141" si="41">AI110+AK110</f>
        <v>8.8184000000000005</v>
      </c>
      <c r="AM110" s="5">
        <f t="shared" ref="AM110:AM141" si="42">AJ110-AL110</f>
        <v>0</v>
      </c>
      <c r="AN110" s="92">
        <f t="shared" ref="AN110:AN141" si="43">AM110/AL110</f>
        <v>0</v>
      </c>
      <c r="AO110" s="92">
        <f>AM110/$AL$142</f>
        <v>0</v>
      </c>
    </row>
    <row r="111" spans="2:41" x14ac:dyDescent="0.25">
      <c r="J111" s="95">
        <v>1987</v>
      </c>
      <c r="K111" s="96">
        <v>66</v>
      </c>
      <c r="L111" s="96">
        <v>0</v>
      </c>
      <c r="M111" s="96">
        <v>13255.344323704785</v>
      </c>
      <c r="N111" s="97">
        <v>43105.087556140003</v>
      </c>
      <c r="O111" s="97">
        <v>17169.096314600007</v>
      </c>
      <c r="P111" s="97">
        <f t="shared" ref="P111:P114" si="44">M111+O111</f>
        <v>30424.44063830479</v>
      </c>
      <c r="Q111" s="97">
        <f t="shared" ref="Q111:Q114" si="45">N111-P111</f>
        <v>12680.646917835213</v>
      </c>
      <c r="R111" s="98">
        <f t="shared" ref="R111:R115" si="46">Q111/P111</f>
        <v>0.41679145620413161</v>
      </c>
      <c r="S111" s="98">
        <f t="shared" ref="S111:S115" si="47">Q111/$P$142</f>
        <v>1.679372309063893</v>
      </c>
      <c r="T111" s="17"/>
      <c r="U111" s="39">
        <v>1987</v>
      </c>
      <c r="V111" s="26"/>
      <c r="W111" s="26"/>
      <c r="X111" s="26"/>
      <c r="Y111" s="35">
        <v>960.65445</v>
      </c>
      <c r="Z111" s="5">
        <v>960.65445</v>
      </c>
      <c r="AA111" s="5">
        <f t="shared" ref="AA111:AA115" si="48">X111+Z111</f>
        <v>960.65445</v>
      </c>
      <c r="AB111" s="5">
        <f t="shared" ref="AB111:AB115" si="49">Y111-AA111</f>
        <v>0</v>
      </c>
      <c r="AC111" s="92">
        <f t="shared" ref="AC111:AC115" si="50">AB111/AA111</f>
        <v>0</v>
      </c>
      <c r="AD111" s="92">
        <f t="shared" ref="AD111:AD115" si="51">AB111/$AA$142</f>
        <v>0</v>
      </c>
      <c r="AE111" s="17"/>
      <c r="AF111" s="95">
        <v>1987</v>
      </c>
      <c r="AG111" s="96">
        <v>2</v>
      </c>
      <c r="AH111" s="96">
        <v>0</v>
      </c>
      <c r="AI111" s="96">
        <v>111379.29764559311</v>
      </c>
      <c r="AJ111" s="97">
        <v>55039.353956999999</v>
      </c>
      <c r="AK111" s="97">
        <v>0</v>
      </c>
      <c r="AL111" s="97">
        <f t="shared" ref="AL111:AL115" si="52">AI111+AK111</f>
        <v>111379.29764559311</v>
      </c>
      <c r="AM111" s="97">
        <f t="shared" ref="AM111:AM115" si="53">AJ111-AL111</f>
        <v>-56339.943688593106</v>
      </c>
      <c r="AN111" s="98">
        <f t="shared" ref="AN111:AN115" si="54">AM111/AL111</f>
        <v>-0.50583856138028249</v>
      </c>
      <c r="AO111" s="98">
        <f t="shared" ref="AO111:AO115" si="55">AM111/$AL$142</f>
        <v>-16.160504362103563</v>
      </c>
    </row>
    <row r="112" spans="2:41" x14ac:dyDescent="0.25">
      <c r="J112" s="39">
        <v>1988</v>
      </c>
      <c r="K112" s="26">
        <v>51</v>
      </c>
      <c r="L112" s="26">
        <v>0</v>
      </c>
      <c r="M112" s="26">
        <v>0</v>
      </c>
      <c r="N112" s="35">
        <v>12769.010455579995</v>
      </c>
      <c r="O112" s="5">
        <v>7445.1149771999999</v>
      </c>
      <c r="P112" s="5"/>
      <c r="Q112" s="5"/>
      <c r="R112" s="92" t="e">
        <f t="shared" si="46"/>
        <v>#DIV/0!</v>
      </c>
      <c r="S112" s="92">
        <f t="shared" si="47"/>
        <v>0</v>
      </c>
      <c r="T112" s="17" t="s">
        <v>112</v>
      </c>
      <c r="U112" s="39">
        <v>1988</v>
      </c>
      <c r="V112" s="26">
        <v>1</v>
      </c>
      <c r="W112" s="26">
        <v>0</v>
      </c>
      <c r="X112" s="26">
        <v>0</v>
      </c>
      <c r="Y112" s="35">
        <v>22379.063478199998</v>
      </c>
      <c r="Z112" s="5">
        <v>36.005527200000003</v>
      </c>
      <c r="AA112" s="5"/>
      <c r="AB112" s="5"/>
      <c r="AC112" s="92" t="e">
        <f t="shared" si="50"/>
        <v>#DIV/0!</v>
      </c>
      <c r="AD112" s="92">
        <f t="shared" si="51"/>
        <v>0</v>
      </c>
      <c r="AE112" s="17" t="s">
        <v>112</v>
      </c>
      <c r="AF112" s="39">
        <v>1988</v>
      </c>
      <c r="AG112" s="26"/>
      <c r="AH112" s="26"/>
      <c r="AI112" s="26"/>
      <c r="AJ112" s="35">
        <v>0</v>
      </c>
      <c r="AK112" s="5">
        <v>0</v>
      </c>
      <c r="AL112" s="5">
        <f t="shared" si="52"/>
        <v>0</v>
      </c>
      <c r="AM112" s="5">
        <f t="shared" si="53"/>
        <v>0</v>
      </c>
      <c r="AN112" s="92" t="e">
        <f t="shared" si="54"/>
        <v>#DIV/0!</v>
      </c>
      <c r="AO112" s="92">
        <f t="shared" si="55"/>
        <v>0</v>
      </c>
    </row>
    <row r="113" spans="1:41" x14ac:dyDescent="0.25">
      <c r="J113" s="95">
        <v>1989</v>
      </c>
      <c r="K113" s="96">
        <v>5</v>
      </c>
      <c r="L113" s="96">
        <v>0</v>
      </c>
      <c r="M113" s="96">
        <v>2865.0550313221438</v>
      </c>
      <c r="N113" s="97">
        <v>9941.3620046499982</v>
      </c>
      <c r="O113" s="97">
        <v>2736.702256</v>
      </c>
      <c r="P113" s="97">
        <f t="shared" si="44"/>
        <v>5601.7572873221434</v>
      </c>
      <c r="Q113" s="97">
        <f t="shared" si="45"/>
        <v>4339.6047173278548</v>
      </c>
      <c r="R113" s="98">
        <f t="shared" si="46"/>
        <v>0.7746863162295905</v>
      </c>
      <c r="S113" s="98">
        <f t="shared" si="47"/>
        <v>0.57471925855085537</v>
      </c>
      <c r="T113" s="17"/>
      <c r="U113" s="39">
        <v>1989</v>
      </c>
      <c r="V113" s="26"/>
      <c r="W113" s="26"/>
      <c r="X113" s="26"/>
      <c r="Y113" s="35">
        <v>95.296039599999986</v>
      </c>
      <c r="Z113" s="5">
        <v>95.296039599999986</v>
      </c>
      <c r="AA113" s="5">
        <f t="shared" si="48"/>
        <v>95.296039599999986</v>
      </c>
      <c r="AB113" s="5">
        <f t="shared" si="49"/>
        <v>0</v>
      </c>
      <c r="AC113" s="92">
        <f t="shared" si="50"/>
        <v>0</v>
      </c>
      <c r="AD113" s="92">
        <f t="shared" si="51"/>
        <v>0</v>
      </c>
      <c r="AE113" s="17"/>
      <c r="AF113" s="39">
        <v>1989</v>
      </c>
      <c r="AG113" s="26"/>
      <c r="AH113" s="26"/>
      <c r="AI113" s="26"/>
      <c r="AJ113" s="35">
        <v>0</v>
      </c>
      <c r="AK113" s="5">
        <v>0</v>
      </c>
      <c r="AL113" s="5">
        <f t="shared" si="52"/>
        <v>0</v>
      </c>
      <c r="AM113" s="5">
        <f t="shared" si="53"/>
        <v>0</v>
      </c>
      <c r="AN113" s="92" t="e">
        <f t="shared" si="54"/>
        <v>#DIV/0!</v>
      </c>
      <c r="AO113" s="92">
        <f t="shared" si="55"/>
        <v>0</v>
      </c>
    </row>
    <row r="114" spans="1:41" x14ac:dyDescent="0.25">
      <c r="J114" s="39">
        <v>1990</v>
      </c>
      <c r="K114" s="26"/>
      <c r="L114" s="26"/>
      <c r="M114" s="26"/>
      <c r="N114" s="35">
        <v>1943.861958</v>
      </c>
      <c r="O114" s="5">
        <v>1943.861958</v>
      </c>
      <c r="P114" s="5">
        <f t="shared" si="44"/>
        <v>1943.861958</v>
      </c>
      <c r="Q114" s="5">
        <f t="shared" si="45"/>
        <v>0</v>
      </c>
      <c r="R114" s="92">
        <f t="shared" si="46"/>
        <v>0</v>
      </c>
      <c r="S114" s="92">
        <f t="shared" si="47"/>
        <v>0</v>
      </c>
      <c r="T114" s="17"/>
      <c r="U114" s="39">
        <v>1990</v>
      </c>
      <c r="V114" s="26"/>
      <c r="W114" s="26"/>
      <c r="X114" s="26"/>
      <c r="Y114" s="35">
        <v>82.385901999999987</v>
      </c>
      <c r="Z114" s="5">
        <v>82.385901999999987</v>
      </c>
      <c r="AA114" s="5">
        <f t="shared" si="48"/>
        <v>82.385901999999987</v>
      </c>
      <c r="AB114" s="5">
        <f t="shared" si="49"/>
        <v>0</v>
      </c>
      <c r="AC114" s="92">
        <f t="shared" si="50"/>
        <v>0</v>
      </c>
      <c r="AD114" s="92">
        <f t="shared" si="51"/>
        <v>0</v>
      </c>
      <c r="AE114" s="17"/>
      <c r="AF114" s="39">
        <v>1990</v>
      </c>
      <c r="AG114" s="26"/>
      <c r="AH114" s="26"/>
      <c r="AI114" s="26"/>
      <c r="AJ114" s="35">
        <v>0</v>
      </c>
      <c r="AK114" s="5">
        <v>0</v>
      </c>
      <c r="AL114" s="5">
        <f t="shared" si="52"/>
        <v>0</v>
      </c>
      <c r="AM114" s="5">
        <f t="shared" si="53"/>
        <v>0</v>
      </c>
      <c r="AN114" s="92" t="e">
        <f t="shared" si="54"/>
        <v>#DIV/0!</v>
      </c>
      <c r="AO114" s="92">
        <f t="shared" si="55"/>
        <v>0</v>
      </c>
    </row>
    <row r="115" spans="1:41" x14ac:dyDescent="0.25">
      <c r="J115" s="39">
        <v>1991</v>
      </c>
      <c r="K115" s="26">
        <v>12</v>
      </c>
      <c r="L115" s="26">
        <v>2</v>
      </c>
      <c r="M115" s="26">
        <v>0</v>
      </c>
      <c r="N115" s="35">
        <v>8808.686696499999</v>
      </c>
      <c r="O115" s="5">
        <v>2583.3282339999996</v>
      </c>
      <c r="P115" s="5"/>
      <c r="Q115" s="5"/>
      <c r="R115" s="92" t="e">
        <f t="shared" si="46"/>
        <v>#DIV/0!</v>
      </c>
      <c r="S115" s="92">
        <f t="shared" si="47"/>
        <v>0</v>
      </c>
      <c r="T115" s="17" t="s">
        <v>112</v>
      </c>
      <c r="U115" s="39">
        <v>1991</v>
      </c>
      <c r="V115" s="26"/>
      <c r="W115" s="26"/>
      <c r="X115" s="26"/>
      <c r="Y115" s="35">
        <v>92.438878000000003</v>
      </c>
      <c r="Z115" s="5">
        <v>92.438878000000003</v>
      </c>
      <c r="AA115" s="5">
        <f t="shared" si="48"/>
        <v>92.438878000000003</v>
      </c>
      <c r="AB115" s="5">
        <f t="shared" si="49"/>
        <v>0</v>
      </c>
      <c r="AC115" s="92">
        <f t="shared" si="50"/>
        <v>0</v>
      </c>
      <c r="AD115" s="92">
        <f t="shared" si="51"/>
        <v>0</v>
      </c>
      <c r="AE115" s="17"/>
      <c r="AF115" s="39">
        <v>1991</v>
      </c>
      <c r="AG115" s="26"/>
      <c r="AH115" s="26"/>
      <c r="AI115" s="26"/>
      <c r="AJ115" s="35">
        <v>0</v>
      </c>
      <c r="AK115" s="5">
        <v>0</v>
      </c>
      <c r="AL115" s="5">
        <f t="shared" si="52"/>
        <v>0</v>
      </c>
      <c r="AM115" s="5">
        <f t="shared" si="53"/>
        <v>0</v>
      </c>
      <c r="AN115" s="92" t="e">
        <f t="shared" si="54"/>
        <v>#DIV/0!</v>
      </c>
      <c r="AO115" s="92">
        <f t="shared" si="55"/>
        <v>0</v>
      </c>
    </row>
    <row r="116" spans="1:41" x14ac:dyDescent="0.25">
      <c r="J116" s="39">
        <v>1992</v>
      </c>
      <c r="K116" s="26"/>
      <c r="L116" s="26"/>
      <c r="M116" s="26"/>
      <c r="N116" s="35">
        <v>2694.395982</v>
      </c>
      <c r="O116" s="5">
        <v>2694.395982</v>
      </c>
      <c r="P116" s="5">
        <f t="shared" si="35"/>
        <v>2694.395982</v>
      </c>
      <c r="Q116" s="5">
        <f t="shared" si="36"/>
        <v>0</v>
      </c>
      <c r="R116" s="92">
        <f t="shared" si="37"/>
        <v>0</v>
      </c>
      <c r="S116" s="92">
        <f t="shared" ref="S116:S141" si="56">Q116/$P$142</f>
        <v>0</v>
      </c>
      <c r="U116" s="39">
        <v>1992</v>
      </c>
      <c r="V116" s="26"/>
      <c r="W116" s="26"/>
      <c r="X116" s="26"/>
      <c r="Y116" s="35">
        <v>41.666940000000004</v>
      </c>
      <c r="Z116" s="5">
        <v>41.666940000000004</v>
      </c>
      <c r="AA116" s="5">
        <f t="shared" si="38"/>
        <v>41.666940000000004</v>
      </c>
      <c r="AB116" s="5">
        <f t="shared" si="39"/>
        <v>0</v>
      </c>
      <c r="AC116" s="92">
        <f t="shared" si="40"/>
        <v>0</v>
      </c>
      <c r="AD116" s="92">
        <f t="shared" ref="AD116:AD141" si="57">AB116/$AA$142</f>
        <v>0</v>
      </c>
      <c r="AF116" s="39">
        <v>1992</v>
      </c>
      <c r="AG116" s="26"/>
      <c r="AH116" s="26"/>
      <c r="AI116" s="26"/>
      <c r="AJ116" s="35">
        <v>0</v>
      </c>
      <c r="AK116" s="5">
        <v>0</v>
      </c>
      <c r="AL116" s="5">
        <f t="shared" si="41"/>
        <v>0</v>
      </c>
      <c r="AM116" s="5">
        <f t="shared" si="42"/>
        <v>0</v>
      </c>
      <c r="AN116" s="92" t="e">
        <f t="shared" si="43"/>
        <v>#DIV/0!</v>
      </c>
      <c r="AO116" s="92">
        <f t="shared" ref="AO116:AO141" si="58">AM116/$AL$142</f>
        <v>0</v>
      </c>
    </row>
    <row r="117" spans="1:41" x14ac:dyDescent="0.25">
      <c r="J117" s="39">
        <v>1993</v>
      </c>
      <c r="K117" s="26">
        <v>7</v>
      </c>
      <c r="L117" s="26">
        <v>0</v>
      </c>
      <c r="M117" s="26">
        <v>1593.3508011329641</v>
      </c>
      <c r="N117" s="35">
        <v>5702.6568599300017</v>
      </c>
      <c r="O117" s="5">
        <v>4102.1874040000002</v>
      </c>
      <c r="P117" s="5">
        <f t="shared" si="35"/>
        <v>5695.5382051329643</v>
      </c>
      <c r="Q117" s="5">
        <f t="shared" si="36"/>
        <v>7.1186547970373795</v>
      </c>
      <c r="R117" s="92">
        <f t="shared" si="37"/>
        <v>1.2498651647392808E-3</v>
      </c>
      <c r="S117" s="92">
        <f t="shared" si="56"/>
        <v>9.4276513031168834E-4</v>
      </c>
      <c r="U117" s="39">
        <v>1993</v>
      </c>
      <c r="V117" s="26"/>
      <c r="W117" s="26"/>
      <c r="X117" s="26"/>
      <c r="Y117" s="35">
        <v>114.74942999999999</v>
      </c>
      <c r="Z117" s="5">
        <v>114.74942999999999</v>
      </c>
      <c r="AA117" s="5">
        <f t="shared" si="38"/>
        <v>114.74942999999999</v>
      </c>
      <c r="AB117" s="5">
        <f t="shared" si="39"/>
        <v>0</v>
      </c>
      <c r="AC117" s="92">
        <f t="shared" si="40"/>
        <v>0</v>
      </c>
      <c r="AD117" s="92">
        <f t="shared" si="57"/>
        <v>0</v>
      </c>
      <c r="AF117" s="39">
        <v>1993</v>
      </c>
      <c r="AG117" s="26"/>
      <c r="AH117" s="26"/>
      <c r="AI117" s="26"/>
      <c r="AJ117" s="35">
        <v>6.0185579999999996</v>
      </c>
      <c r="AK117" s="5">
        <v>6.0185579999999996</v>
      </c>
      <c r="AL117" s="5">
        <f t="shared" si="41"/>
        <v>6.0185579999999996</v>
      </c>
      <c r="AM117" s="5">
        <f t="shared" si="42"/>
        <v>0</v>
      </c>
      <c r="AN117" s="92">
        <f t="shared" si="43"/>
        <v>0</v>
      </c>
      <c r="AO117" s="92">
        <f t="shared" si="58"/>
        <v>0</v>
      </c>
    </row>
    <row r="118" spans="1:41" x14ac:dyDescent="0.25">
      <c r="A118" s="366" t="s">
        <v>330</v>
      </c>
      <c r="B118" s="366"/>
      <c r="C118" s="366"/>
      <c r="D118" s="366"/>
      <c r="E118" s="366"/>
      <c r="F118" s="366"/>
      <c r="G118" s="366"/>
      <c r="J118" s="95">
        <v>1994</v>
      </c>
      <c r="K118" s="96">
        <v>79</v>
      </c>
      <c r="L118" s="96">
        <v>3</v>
      </c>
      <c r="M118" s="96">
        <v>35142.333479982532</v>
      </c>
      <c r="N118" s="97">
        <v>18543.085961169993</v>
      </c>
      <c r="O118" s="97">
        <v>3818.8522120000002</v>
      </c>
      <c r="P118" s="97">
        <f t="shared" si="35"/>
        <v>38961.18569198253</v>
      </c>
      <c r="Q118" s="97">
        <f t="shared" si="36"/>
        <v>-20418.099730812537</v>
      </c>
      <c r="R118" s="98">
        <f t="shared" si="37"/>
        <v>-0.52406258608844636</v>
      </c>
      <c r="S118" s="98">
        <f t="shared" si="56"/>
        <v>-2.7040884833252088</v>
      </c>
      <c r="U118" s="39">
        <v>1994</v>
      </c>
      <c r="V118" s="26"/>
      <c r="W118" s="26"/>
      <c r="X118" s="26"/>
      <c r="Y118" s="35">
        <v>260.03257000000002</v>
      </c>
      <c r="Z118" s="5">
        <v>260.03257000000002</v>
      </c>
      <c r="AA118" s="5">
        <f t="shared" si="38"/>
        <v>260.03257000000002</v>
      </c>
      <c r="AB118" s="5">
        <f t="shared" si="39"/>
        <v>0</v>
      </c>
      <c r="AC118" s="92">
        <f t="shared" si="40"/>
        <v>0</v>
      </c>
      <c r="AD118" s="92">
        <f t="shared" si="57"/>
        <v>0</v>
      </c>
      <c r="AF118" s="39">
        <v>1994</v>
      </c>
      <c r="AG118" s="26"/>
      <c r="AH118" s="26"/>
      <c r="AI118" s="26"/>
      <c r="AJ118" s="35">
        <v>0</v>
      </c>
      <c r="AK118" s="5">
        <v>0</v>
      </c>
      <c r="AL118" s="5">
        <f t="shared" si="41"/>
        <v>0</v>
      </c>
      <c r="AM118" s="5">
        <f t="shared" si="42"/>
        <v>0</v>
      </c>
      <c r="AN118" s="92" t="e">
        <f t="shared" si="43"/>
        <v>#DIV/0!</v>
      </c>
      <c r="AO118" s="92">
        <f t="shared" si="58"/>
        <v>0</v>
      </c>
    </row>
    <row r="119" spans="1:41" x14ac:dyDescent="0.25">
      <c r="A119" s="60" t="s">
        <v>16</v>
      </c>
      <c r="B119" s="60" t="s">
        <v>18</v>
      </c>
      <c r="C119" s="60" t="s">
        <v>25</v>
      </c>
      <c r="D119" s="60" t="s">
        <v>28</v>
      </c>
      <c r="E119" s="60" t="s">
        <v>30</v>
      </c>
      <c r="F119" s="60" t="s">
        <v>26</v>
      </c>
      <c r="G119" s="60" t="s">
        <v>20</v>
      </c>
      <c r="J119" s="95">
        <v>1995</v>
      </c>
      <c r="K119" s="96">
        <v>66</v>
      </c>
      <c r="L119" s="96">
        <v>1</v>
      </c>
      <c r="M119" s="96">
        <v>10027.086906396635</v>
      </c>
      <c r="N119" s="97">
        <v>21008.530042579994</v>
      </c>
      <c r="O119" s="97">
        <v>4815.0007220000007</v>
      </c>
      <c r="P119" s="97">
        <f t="shared" si="35"/>
        <v>14842.087628396635</v>
      </c>
      <c r="Q119" s="97">
        <f t="shared" si="36"/>
        <v>6166.4424141833588</v>
      </c>
      <c r="R119" s="98">
        <f t="shared" si="37"/>
        <v>0.41547001800376171</v>
      </c>
      <c r="S119" s="98">
        <f t="shared" si="56"/>
        <v>0.81665806980646738</v>
      </c>
      <c r="U119" s="39">
        <v>1995</v>
      </c>
      <c r="V119" s="26"/>
      <c r="W119" s="26"/>
      <c r="X119" s="26"/>
      <c r="Y119" s="35">
        <v>249.957548</v>
      </c>
      <c r="Z119" s="5">
        <v>249.957548</v>
      </c>
      <c r="AA119" s="5">
        <f t="shared" si="38"/>
        <v>249.957548</v>
      </c>
      <c r="AB119" s="5">
        <f t="shared" si="39"/>
        <v>0</v>
      </c>
      <c r="AC119" s="92">
        <f t="shared" si="40"/>
        <v>0</v>
      </c>
      <c r="AD119" s="92">
        <f t="shared" si="57"/>
        <v>0</v>
      </c>
      <c r="AF119" s="39">
        <v>1995</v>
      </c>
      <c r="AG119" s="26">
        <v>0</v>
      </c>
      <c r="AH119" s="26">
        <v>0</v>
      </c>
      <c r="AI119" s="26">
        <v>0</v>
      </c>
      <c r="AJ119" s="35">
        <v>0</v>
      </c>
      <c r="AK119" s="5">
        <v>0</v>
      </c>
      <c r="AL119" s="5">
        <f t="shared" si="41"/>
        <v>0</v>
      </c>
      <c r="AM119" s="5">
        <f t="shared" si="42"/>
        <v>0</v>
      </c>
      <c r="AN119" s="92" t="e">
        <f t="shared" si="43"/>
        <v>#DIV/0!</v>
      </c>
      <c r="AO119" s="92">
        <f t="shared" si="58"/>
        <v>0</v>
      </c>
    </row>
    <row r="120" spans="1:41" x14ac:dyDescent="0.25">
      <c r="A120" s="5">
        <f t="shared" ref="A120:A128" si="59">_xlfn.RANK.AVG(L18,L$18:L$26,0)</f>
        <v>8</v>
      </c>
      <c r="B120" s="5">
        <f t="shared" ref="B120:F120" si="60">_xlfn.RANK.AVG(M18,M$18:M$26,0)</f>
        <v>5</v>
      </c>
      <c r="C120" s="5">
        <f t="shared" si="60"/>
        <v>5</v>
      </c>
      <c r="D120" s="5">
        <f t="shared" si="60"/>
        <v>4</v>
      </c>
      <c r="E120" s="5">
        <f t="shared" si="60"/>
        <v>8</v>
      </c>
      <c r="F120" s="5">
        <f t="shared" si="60"/>
        <v>8</v>
      </c>
      <c r="G120" s="58">
        <v>1999</v>
      </c>
      <c r="J120" s="39">
        <v>1996</v>
      </c>
      <c r="K120" s="26">
        <v>31</v>
      </c>
      <c r="L120" s="26">
        <v>0</v>
      </c>
      <c r="M120" s="26">
        <v>2581.7309522913029</v>
      </c>
      <c r="N120" s="35">
        <v>7176.4146139799977</v>
      </c>
      <c r="O120" s="5">
        <v>2639.0164300000001</v>
      </c>
      <c r="P120" s="5">
        <f t="shared" si="35"/>
        <v>5220.7473822913034</v>
      </c>
      <c r="Q120" s="5">
        <f t="shared" si="36"/>
        <v>1955.6672316886943</v>
      </c>
      <c r="R120" s="92">
        <f t="shared" si="37"/>
        <v>0.37459526165205542</v>
      </c>
      <c r="S120" s="92">
        <f t="shared" si="56"/>
        <v>0.25900046077478162</v>
      </c>
      <c r="U120" s="39">
        <v>1996</v>
      </c>
      <c r="V120" s="26"/>
      <c r="W120" s="26"/>
      <c r="X120" s="26"/>
      <c r="Y120" s="35">
        <v>514.00248999999997</v>
      </c>
      <c r="Z120" s="5">
        <v>514.00248999999997</v>
      </c>
      <c r="AA120" s="5">
        <f t="shared" si="38"/>
        <v>514.00248999999997</v>
      </c>
      <c r="AB120" s="5">
        <f t="shared" si="39"/>
        <v>0</v>
      </c>
      <c r="AC120" s="92">
        <f t="shared" si="40"/>
        <v>0</v>
      </c>
      <c r="AD120" s="92">
        <f t="shared" si="57"/>
        <v>0</v>
      </c>
      <c r="AF120" s="39">
        <v>1996</v>
      </c>
      <c r="AG120" s="26"/>
      <c r="AH120" s="26"/>
      <c r="AI120" s="26"/>
      <c r="AJ120" s="35">
        <v>3.990326</v>
      </c>
      <c r="AK120" s="5">
        <v>3.990326</v>
      </c>
      <c r="AL120" s="5">
        <f t="shared" si="41"/>
        <v>3.990326</v>
      </c>
      <c r="AM120" s="5">
        <f t="shared" si="42"/>
        <v>0</v>
      </c>
      <c r="AN120" s="92">
        <f t="shared" si="43"/>
        <v>0</v>
      </c>
      <c r="AO120" s="92">
        <f t="shared" si="58"/>
        <v>0</v>
      </c>
    </row>
    <row r="121" spans="1:41" x14ac:dyDescent="0.25">
      <c r="A121" s="5">
        <f t="shared" si="59"/>
        <v>1</v>
      </c>
      <c r="B121" s="5">
        <f t="shared" ref="B121:F121" si="61">_xlfn.RANK.AVG(M19,M$18:M$26,0)</f>
        <v>2</v>
      </c>
      <c r="C121" s="5">
        <f t="shared" si="61"/>
        <v>7</v>
      </c>
      <c r="D121" s="5">
        <f t="shared" si="61"/>
        <v>1</v>
      </c>
      <c r="E121" s="5">
        <f t="shared" si="61"/>
        <v>3</v>
      </c>
      <c r="F121" s="5">
        <f t="shared" si="61"/>
        <v>2</v>
      </c>
      <c r="G121" s="58">
        <v>2000</v>
      </c>
      <c r="J121" s="39">
        <v>1997</v>
      </c>
      <c r="K121" s="26">
        <v>27</v>
      </c>
      <c r="L121" s="26">
        <v>0</v>
      </c>
      <c r="M121" s="26">
        <v>2491.2856105967126</v>
      </c>
      <c r="N121" s="35">
        <v>5177.8053692640015</v>
      </c>
      <c r="O121" s="5">
        <v>2141.4382099999998</v>
      </c>
      <c r="P121" s="5">
        <f t="shared" si="35"/>
        <v>4632.7238205967124</v>
      </c>
      <c r="Q121" s="5">
        <f t="shared" si="36"/>
        <v>545.0815486672891</v>
      </c>
      <c r="R121" s="92">
        <f t="shared" si="37"/>
        <v>0.11765897769340382</v>
      </c>
      <c r="S121" s="92">
        <f t="shared" si="56"/>
        <v>7.2188340622118707E-2</v>
      </c>
      <c r="U121" s="95">
        <v>1997</v>
      </c>
      <c r="V121" s="96">
        <v>1</v>
      </c>
      <c r="W121" s="96">
        <v>0</v>
      </c>
      <c r="X121" s="96">
        <v>229.26317319887897</v>
      </c>
      <c r="Y121" s="97">
        <v>1441.0960148000001</v>
      </c>
      <c r="Z121" s="97">
        <v>23.302622</v>
      </c>
      <c r="AA121" s="97">
        <f t="shared" si="38"/>
        <v>252.56579519887896</v>
      </c>
      <c r="AB121" s="97">
        <f t="shared" si="39"/>
        <v>1188.5302196011212</v>
      </c>
      <c r="AC121" s="98">
        <f t="shared" si="40"/>
        <v>4.7058241543168258</v>
      </c>
      <c r="AD121" s="98">
        <f t="shared" si="57"/>
        <v>0.44731943623501069</v>
      </c>
      <c r="AF121" s="39">
        <v>1997</v>
      </c>
      <c r="AG121" s="26"/>
      <c r="AH121" s="26"/>
      <c r="AI121" s="26"/>
      <c r="AJ121" s="35">
        <v>0</v>
      </c>
      <c r="AK121" s="5">
        <v>0</v>
      </c>
      <c r="AL121" s="5">
        <f t="shared" si="41"/>
        <v>0</v>
      </c>
      <c r="AM121" s="5">
        <f t="shared" si="42"/>
        <v>0</v>
      </c>
      <c r="AN121" s="92" t="e">
        <f t="shared" si="43"/>
        <v>#DIV/0!</v>
      </c>
      <c r="AO121" s="92">
        <f t="shared" si="58"/>
        <v>0</v>
      </c>
    </row>
    <row r="122" spans="1:41" x14ac:dyDescent="0.25">
      <c r="A122" s="5">
        <f t="shared" si="59"/>
        <v>3</v>
      </c>
      <c r="B122" s="5">
        <f t="shared" ref="B122:F122" si="62">_xlfn.RANK.AVG(M20,M$18:M$26,0)</f>
        <v>3</v>
      </c>
      <c r="C122" s="5">
        <f t="shared" si="62"/>
        <v>4</v>
      </c>
      <c r="D122" s="5">
        <f t="shared" si="62"/>
        <v>2</v>
      </c>
      <c r="E122" s="5">
        <f t="shared" si="62"/>
        <v>4</v>
      </c>
      <c r="F122" s="5">
        <f t="shared" si="62"/>
        <v>3</v>
      </c>
      <c r="G122" s="58">
        <v>2001</v>
      </c>
      <c r="J122" s="39">
        <v>1998</v>
      </c>
      <c r="K122" s="26">
        <v>0</v>
      </c>
      <c r="L122" s="26">
        <v>1</v>
      </c>
      <c r="M122" s="26">
        <v>3058.3718826443219</v>
      </c>
      <c r="N122" s="35">
        <v>6188.872724400002</v>
      </c>
      <c r="O122" s="5">
        <v>2663.5756739999997</v>
      </c>
      <c r="P122" s="5">
        <f t="shared" si="35"/>
        <v>5721.9475566443216</v>
      </c>
      <c r="Q122" s="5">
        <f t="shared" si="36"/>
        <v>466.92516775568038</v>
      </c>
      <c r="R122" s="92">
        <f t="shared" si="37"/>
        <v>8.1602489909836234E-2</v>
      </c>
      <c r="S122" s="92">
        <f t="shared" si="56"/>
        <v>6.1837633538318559E-2</v>
      </c>
      <c r="U122" s="39">
        <v>1998</v>
      </c>
      <c r="V122" s="26"/>
      <c r="W122" s="26"/>
      <c r="X122" s="26"/>
      <c r="Y122" s="35">
        <v>254.45493199999999</v>
      </c>
      <c r="Z122" s="5">
        <v>254.45493199999999</v>
      </c>
      <c r="AA122" s="5">
        <f t="shared" si="38"/>
        <v>254.45493199999999</v>
      </c>
      <c r="AB122" s="5">
        <f t="shared" si="39"/>
        <v>0</v>
      </c>
      <c r="AC122" s="92">
        <f t="shared" si="40"/>
        <v>0</v>
      </c>
      <c r="AD122" s="92">
        <f t="shared" si="57"/>
        <v>0</v>
      </c>
      <c r="AF122" s="39">
        <v>1998</v>
      </c>
      <c r="AG122" s="26"/>
      <c r="AH122" s="26"/>
      <c r="AI122" s="26"/>
      <c r="AJ122" s="35">
        <v>8.0247440000000001</v>
      </c>
      <c r="AK122" s="5">
        <v>8.0247440000000001</v>
      </c>
      <c r="AL122" s="5">
        <f t="shared" si="41"/>
        <v>8.0247440000000001</v>
      </c>
      <c r="AM122" s="5">
        <f t="shared" si="42"/>
        <v>0</v>
      </c>
      <c r="AN122" s="92">
        <f t="shared" si="43"/>
        <v>0</v>
      </c>
      <c r="AO122" s="92">
        <f t="shared" si="58"/>
        <v>0</v>
      </c>
    </row>
    <row r="123" spans="1:41" x14ac:dyDescent="0.25">
      <c r="A123" s="5">
        <f t="shared" si="59"/>
        <v>2</v>
      </c>
      <c r="B123" s="5">
        <f t="shared" ref="B123:F123" si="63">_xlfn.RANK.AVG(M21,M$18:M$26,0)</f>
        <v>6</v>
      </c>
      <c r="C123" s="5">
        <f t="shared" si="63"/>
        <v>2</v>
      </c>
      <c r="D123" s="5">
        <f t="shared" si="63"/>
        <v>5</v>
      </c>
      <c r="E123" s="5">
        <f t="shared" si="63"/>
        <v>5</v>
      </c>
      <c r="F123" s="5">
        <f t="shared" si="63"/>
        <v>7</v>
      </c>
      <c r="G123" s="58">
        <v>2002</v>
      </c>
      <c r="J123" s="39">
        <v>1999</v>
      </c>
      <c r="K123" s="26">
        <v>4</v>
      </c>
      <c r="L123" s="26">
        <v>0</v>
      </c>
      <c r="M123" s="26">
        <v>660.16460285740686</v>
      </c>
      <c r="N123" s="35">
        <v>1648.2451327337005</v>
      </c>
      <c r="O123" s="5">
        <v>1417.0507420000006</v>
      </c>
      <c r="P123" s="5">
        <f t="shared" si="35"/>
        <v>2077.2153448574072</v>
      </c>
      <c r="Q123" s="5">
        <f t="shared" si="36"/>
        <v>-428.97021212370669</v>
      </c>
      <c r="R123" s="92">
        <f t="shared" si="37"/>
        <v>-0.20651215252463573</v>
      </c>
      <c r="S123" s="92">
        <f t="shared" si="56"/>
        <v>-5.6811036560018117E-2</v>
      </c>
      <c r="U123" s="39">
        <v>1999</v>
      </c>
      <c r="V123" s="26"/>
      <c r="W123" s="26"/>
      <c r="X123" s="26"/>
      <c r="Y123" s="35">
        <v>0</v>
      </c>
      <c r="Z123" s="5">
        <v>0</v>
      </c>
      <c r="AA123" s="5">
        <f t="shared" si="38"/>
        <v>0</v>
      </c>
      <c r="AB123" s="5">
        <f t="shared" si="39"/>
        <v>0</v>
      </c>
      <c r="AC123" s="92" t="e">
        <f t="shared" si="40"/>
        <v>#DIV/0!</v>
      </c>
      <c r="AD123" s="92">
        <f t="shared" si="57"/>
        <v>0</v>
      </c>
      <c r="AF123" s="39">
        <v>1999</v>
      </c>
      <c r="AG123" s="26"/>
      <c r="AH123" s="26"/>
      <c r="AI123" s="26"/>
      <c r="AJ123" s="35">
        <v>0</v>
      </c>
      <c r="AK123" s="5">
        <v>0</v>
      </c>
      <c r="AL123" s="5">
        <f t="shared" si="41"/>
        <v>0</v>
      </c>
      <c r="AM123" s="5">
        <f t="shared" si="42"/>
        <v>0</v>
      </c>
      <c r="AN123" s="92" t="e">
        <f t="shared" si="43"/>
        <v>#DIV/0!</v>
      </c>
      <c r="AO123" s="92">
        <f t="shared" si="58"/>
        <v>0</v>
      </c>
    </row>
    <row r="124" spans="1:41" x14ac:dyDescent="0.25">
      <c r="A124" s="5">
        <f t="shared" si="59"/>
        <v>4</v>
      </c>
      <c r="B124" s="5">
        <f t="shared" ref="B124:F124" si="64">_xlfn.RANK.AVG(M22,M$18:M$26,0)</f>
        <v>8</v>
      </c>
      <c r="C124" s="5">
        <f t="shared" si="64"/>
        <v>6</v>
      </c>
      <c r="D124" s="5">
        <f t="shared" si="64"/>
        <v>7</v>
      </c>
      <c r="E124" s="5">
        <f t="shared" si="64"/>
        <v>1</v>
      </c>
      <c r="F124" s="5">
        <f t="shared" si="64"/>
        <v>6</v>
      </c>
      <c r="G124" s="58">
        <v>2003</v>
      </c>
      <c r="J124" s="39">
        <v>2000</v>
      </c>
      <c r="K124" s="26">
        <v>3</v>
      </c>
      <c r="L124" s="26">
        <v>8</v>
      </c>
      <c r="M124" s="26">
        <v>5471.3124371674294</v>
      </c>
      <c r="N124" s="35">
        <v>6231.4366740960013</v>
      </c>
      <c r="O124" s="5">
        <v>1517.6245940000001</v>
      </c>
      <c r="P124" s="5">
        <f t="shared" si="35"/>
        <v>6988.9370311674293</v>
      </c>
      <c r="Q124" s="5">
        <f t="shared" si="36"/>
        <v>-757.50035707142797</v>
      </c>
      <c r="R124" s="92">
        <f t="shared" si="37"/>
        <v>-0.10838563199143539</v>
      </c>
      <c r="S124" s="92">
        <f t="shared" si="56"/>
        <v>-0.10032020700635827</v>
      </c>
      <c r="U124" s="39">
        <v>2000</v>
      </c>
      <c r="V124" s="26">
        <v>1</v>
      </c>
      <c r="W124" s="26">
        <v>0</v>
      </c>
      <c r="X124" s="26">
        <v>284.23257013185651</v>
      </c>
      <c r="Y124" s="35">
        <v>991.11668411999972</v>
      </c>
      <c r="Z124" s="5">
        <v>186.61939000000001</v>
      </c>
      <c r="AA124" s="5">
        <f t="shared" si="38"/>
        <v>470.85196013185652</v>
      </c>
      <c r="AB124" s="5">
        <f t="shared" si="39"/>
        <v>520.26472398814326</v>
      </c>
      <c r="AC124" s="92">
        <f t="shared" si="40"/>
        <v>1.1049433113593692</v>
      </c>
      <c r="AD124" s="92">
        <f t="shared" si="57"/>
        <v>0.1958086712388715</v>
      </c>
      <c r="AF124" s="39">
        <v>2000</v>
      </c>
      <c r="AG124" s="26"/>
      <c r="AH124" s="26"/>
      <c r="AI124" s="26"/>
      <c r="AJ124" s="35">
        <v>0</v>
      </c>
      <c r="AK124" s="5">
        <v>0</v>
      </c>
      <c r="AL124" s="5">
        <f t="shared" si="41"/>
        <v>0</v>
      </c>
      <c r="AM124" s="5">
        <f t="shared" si="42"/>
        <v>0</v>
      </c>
      <c r="AN124" s="92" t="e">
        <f t="shared" si="43"/>
        <v>#DIV/0!</v>
      </c>
      <c r="AO124" s="92">
        <f t="shared" si="58"/>
        <v>0</v>
      </c>
    </row>
    <row r="125" spans="1:41" x14ac:dyDescent="0.25">
      <c r="A125" s="5">
        <f t="shared" si="59"/>
        <v>7</v>
      </c>
      <c r="B125" s="5">
        <f t="shared" ref="B125:F125" si="65">_xlfn.RANK.AVG(M23,M$18:M$26,0)</f>
        <v>4</v>
      </c>
      <c r="C125" s="5">
        <f t="shared" si="65"/>
        <v>3</v>
      </c>
      <c r="D125" s="5">
        <f t="shared" si="65"/>
        <v>8</v>
      </c>
      <c r="E125" s="5">
        <f t="shared" si="65"/>
        <v>2</v>
      </c>
      <c r="F125" s="5">
        <f t="shared" si="65"/>
        <v>5</v>
      </c>
      <c r="G125" s="58">
        <v>2004</v>
      </c>
      <c r="J125" s="39">
        <v>2001</v>
      </c>
      <c r="K125" s="26">
        <v>11</v>
      </c>
      <c r="L125" s="26">
        <v>0</v>
      </c>
      <c r="M125" s="26">
        <v>1656.1116152035363</v>
      </c>
      <c r="N125" s="35">
        <v>2109.9442913000003</v>
      </c>
      <c r="O125" s="5">
        <v>1102.3881839999999</v>
      </c>
      <c r="P125" s="5">
        <f t="shared" si="35"/>
        <v>2758.499799203536</v>
      </c>
      <c r="Q125" s="5">
        <f t="shared" si="36"/>
        <v>-648.55550790353573</v>
      </c>
      <c r="R125" s="92">
        <f t="shared" si="37"/>
        <v>-0.23511167486428447</v>
      </c>
      <c r="S125" s="92">
        <f t="shared" si="56"/>
        <v>-8.5892002822991989E-2</v>
      </c>
      <c r="U125" s="95">
        <v>2001</v>
      </c>
      <c r="V125" s="96">
        <v>2</v>
      </c>
      <c r="W125" s="96">
        <v>0</v>
      </c>
      <c r="X125" s="96">
        <v>2760.0944584823615</v>
      </c>
      <c r="Y125" s="97">
        <v>8449.2680688629989</v>
      </c>
      <c r="Z125" s="97">
        <v>43.099930000000001</v>
      </c>
      <c r="AA125" s="97">
        <f t="shared" si="38"/>
        <v>2803.1943884823613</v>
      </c>
      <c r="AB125" s="97">
        <f t="shared" si="39"/>
        <v>5646.0736803806376</v>
      </c>
      <c r="AC125" s="98">
        <f t="shared" si="40"/>
        <v>2.0141570287023156</v>
      </c>
      <c r="AD125" s="98">
        <f t="shared" si="57"/>
        <v>2.1249762555442695</v>
      </c>
      <c r="AF125" s="39">
        <v>2001</v>
      </c>
      <c r="AG125" s="26"/>
      <c r="AH125" s="26"/>
      <c r="AI125" s="26"/>
      <c r="AJ125" s="35">
        <v>0</v>
      </c>
      <c r="AK125" s="5">
        <v>0</v>
      </c>
      <c r="AL125" s="5">
        <f t="shared" si="41"/>
        <v>0</v>
      </c>
      <c r="AM125" s="5">
        <f t="shared" si="42"/>
        <v>0</v>
      </c>
      <c r="AN125" s="92" t="e">
        <f t="shared" si="43"/>
        <v>#DIV/0!</v>
      </c>
      <c r="AO125" s="92">
        <f t="shared" si="58"/>
        <v>0</v>
      </c>
    </row>
    <row r="126" spans="1:41" x14ac:dyDescent="0.25">
      <c r="A126" s="5">
        <f t="shared" si="59"/>
        <v>5</v>
      </c>
      <c r="B126" s="5">
        <f t="shared" ref="B126:F126" si="66">_xlfn.RANK.AVG(M24,M$18:M$26,0)</f>
        <v>1</v>
      </c>
      <c r="C126" s="5">
        <f t="shared" si="66"/>
        <v>8</v>
      </c>
      <c r="D126" s="5">
        <f t="shared" si="66"/>
        <v>3</v>
      </c>
      <c r="E126" s="5">
        <f t="shared" si="66"/>
        <v>6</v>
      </c>
      <c r="F126" s="5">
        <f t="shared" si="66"/>
        <v>9</v>
      </c>
      <c r="G126" s="58">
        <v>2005</v>
      </c>
      <c r="J126" s="39">
        <v>2002</v>
      </c>
      <c r="K126" s="26">
        <v>12</v>
      </c>
      <c r="L126" s="26">
        <v>0</v>
      </c>
      <c r="M126" s="26">
        <v>2639.2751911334126</v>
      </c>
      <c r="N126" s="35">
        <v>4489.3794231040001</v>
      </c>
      <c r="O126" s="5">
        <v>2638.6196019999998</v>
      </c>
      <c r="P126" s="5">
        <f t="shared" si="35"/>
        <v>5277.8947931334123</v>
      </c>
      <c r="Q126" s="5">
        <f t="shared" si="36"/>
        <v>-788.51537002941222</v>
      </c>
      <c r="R126" s="92">
        <f t="shared" si="37"/>
        <v>-0.14939959982818862</v>
      </c>
      <c r="S126" s="92">
        <f t="shared" si="56"/>
        <v>-0.1044277067470567</v>
      </c>
      <c r="U126" s="39">
        <v>2002</v>
      </c>
      <c r="V126" s="26"/>
      <c r="W126" s="26"/>
      <c r="X126" s="26"/>
      <c r="Y126" s="35">
        <v>53.086767999999999</v>
      </c>
      <c r="Z126" s="5">
        <v>53.086767999999999</v>
      </c>
      <c r="AA126" s="5">
        <f t="shared" si="38"/>
        <v>53.086767999999999</v>
      </c>
      <c r="AB126" s="5">
        <f t="shared" si="39"/>
        <v>0</v>
      </c>
      <c r="AC126" s="92">
        <f t="shared" si="40"/>
        <v>0</v>
      </c>
      <c r="AD126" s="92">
        <f t="shared" si="57"/>
        <v>0</v>
      </c>
      <c r="AF126" s="39">
        <v>2002</v>
      </c>
      <c r="AG126" s="26"/>
      <c r="AH126" s="26"/>
      <c r="AI126" s="26"/>
      <c r="AJ126" s="35">
        <v>0</v>
      </c>
      <c r="AK126" s="5">
        <v>0</v>
      </c>
      <c r="AL126" s="5">
        <f t="shared" si="41"/>
        <v>0</v>
      </c>
      <c r="AM126" s="5">
        <f t="shared" si="42"/>
        <v>0</v>
      </c>
      <c r="AN126" s="92" t="e">
        <f t="shared" si="43"/>
        <v>#DIV/0!</v>
      </c>
      <c r="AO126" s="92">
        <f t="shared" si="58"/>
        <v>0</v>
      </c>
    </row>
    <row r="127" spans="1:41" x14ac:dyDescent="0.25">
      <c r="A127" s="5">
        <f t="shared" si="59"/>
        <v>6</v>
      </c>
      <c r="B127" s="5">
        <f t="shared" ref="B127:F127" si="67">_xlfn.RANK.AVG(M25,M$18:M$26,0)</f>
        <v>9</v>
      </c>
      <c r="C127" s="5">
        <f t="shared" si="67"/>
        <v>9</v>
      </c>
      <c r="D127" s="5">
        <f t="shared" si="67"/>
        <v>9</v>
      </c>
      <c r="E127" s="5">
        <f t="shared" si="67"/>
        <v>7</v>
      </c>
      <c r="F127" s="5">
        <f t="shared" si="67"/>
        <v>4</v>
      </c>
      <c r="G127" s="58">
        <v>2006</v>
      </c>
      <c r="J127" s="39">
        <v>2003</v>
      </c>
      <c r="K127" s="26">
        <v>0</v>
      </c>
      <c r="L127" s="26">
        <v>1</v>
      </c>
      <c r="M127" s="26">
        <v>11806.61961566946</v>
      </c>
      <c r="N127" s="35">
        <v>16868.289054000001</v>
      </c>
      <c r="O127" s="5">
        <v>3637.1711259999993</v>
      </c>
      <c r="P127" s="5">
        <f t="shared" si="35"/>
        <v>15443.79074166946</v>
      </c>
      <c r="Q127" s="5">
        <f t="shared" si="36"/>
        <v>1424.498312330541</v>
      </c>
      <c r="R127" s="92">
        <f t="shared" si="37"/>
        <v>9.2237607732345767E-2</v>
      </c>
      <c r="S127" s="92">
        <f t="shared" si="56"/>
        <v>0.18865465110233953</v>
      </c>
      <c r="U127" s="39">
        <v>2003</v>
      </c>
      <c r="V127" s="26">
        <v>1</v>
      </c>
      <c r="W127" s="26">
        <v>0</v>
      </c>
      <c r="X127" s="26">
        <v>19.875940008746017</v>
      </c>
      <c r="Y127" s="35">
        <v>172.28345119099998</v>
      </c>
      <c r="Z127" s="5">
        <v>111.795266</v>
      </c>
      <c r="AA127" s="5">
        <f t="shared" si="38"/>
        <v>131.67120600874603</v>
      </c>
      <c r="AB127" s="5">
        <f t="shared" si="39"/>
        <v>40.612245182253957</v>
      </c>
      <c r="AC127" s="92">
        <f t="shared" si="40"/>
        <v>0.30843679809203206</v>
      </c>
      <c r="AD127" s="92">
        <f t="shared" si="57"/>
        <v>1.5284968206580998E-2</v>
      </c>
      <c r="AF127" s="39">
        <v>2003</v>
      </c>
      <c r="AG127" s="26"/>
      <c r="AH127" s="26"/>
      <c r="AI127" s="26"/>
      <c r="AJ127" s="35">
        <v>0</v>
      </c>
      <c r="AK127" s="5">
        <v>0</v>
      </c>
      <c r="AL127" s="5">
        <f t="shared" si="41"/>
        <v>0</v>
      </c>
      <c r="AM127" s="5">
        <f t="shared" si="42"/>
        <v>0</v>
      </c>
      <c r="AN127" s="92" t="e">
        <f t="shared" si="43"/>
        <v>#DIV/0!</v>
      </c>
      <c r="AO127" s="92">
        <f t="shared" si="58"/>
        <v>0</v>
      </c>
    </row>
    <row r="128" spans="1:41" x14ac:dyDescent="0.25">
      <c r="A128" s="5">
        <f t="shared" si="59"/>
        <v>9</v>
      </c>
      <c r="B128" s="5">
        <f t="shared" ref="B128:F128" si="68">_xlfn.RANK.AVG(M26,M$18:M$26,0)</f>
        <v>7</v>
      </c>
      <c r="C128" s="5">
        <f t="shared" si="68"/>
        <v>1</v>
      </c>
      <c r="D128" s="5">
        <f t="shared" si="68"/>
        <v>6</v>
      </c>
      <c r="E128" s="5">
        <f t="shared" si="68"/>
        <v>9</v>
      </c>
      <c r="F128" s="5">
        <f t="shared" si="68"/>
        <v>1</v>
      </c>
      <c r="G128" s="58">
        <v>2007</v>
      </c>
      <c r="J128" s="39">
        <v>2004</v>
      </c>
      <c r="K128" s="26">
        <v>4</v>
      </c>
      <c r="L128" s="26">
        <v>8</v>
      </c>
      <c r="M128" s="26">
        <v>3013.6047106255337</v>
      </c>
      <c r="N128" s="35">
        <v>4168.9702618699994</v>
      </c>
      <c r="O128" s="5">
        <v>1933.9633040000003</v>
      </c>
      <c r="P128" s="5">
        <f t="shared" si="35"/>
        <v>4947.5680146255345</v>
      </c>
      <c r="Q128" s="5">
        <f t="shared" si="36"/>
        <v>-778.59775275553511</v>
      </c>
      <c r="R128" s="92">
        <f t="shared" si="37"/>
        <v>-0.15736979268479337</v>
      </c>
      <c r="S128" s="92">
        <f t="shared" si="56"/>
        <v>-0.10311425862965685</v>
      </c>
      <c r="U128" s="39">
        <v>2004</v>
      </c>
      <c r="V128" s="26"/>
      <c r="W128" s="26"/>
      <c r="X128" s="26"/>
      <c r="Y128" s="35">
        <v>86.001446000000016</v>
      </c>
      <c r="Z128" s="5">
        <v>86.001446000000016</v>
      </c>
      <c r="AA128" s="5">
        <f t="shared" si="38"/>
        <v>86.001446000000016</v>
      </c>
      <c r="AB128" s="5">
        <f t="shared" si="39"/>
        <v>0</v>
      </c>
      <c r="AC128" s="92">
        <f t="shared" si="40"/>
        <v>0</v>
      </c>
      <c r="AD128" s="92">
        <f t="shared" si="57"/>
        <v>0</v>
      </c>
      <c r="AF128" s="39">
        <v>2004</v>
      </c>
      <c r="AG128" s="26"/>
      <c r="AH128" s="26"/>
      <c r="AI128" s="26"/>
      <c r="AJ128" s="35">
        <v>0</v>
      </c>
      <c r="AK128" s="5">
        <v>0</v>
      </c>
      <c r="AL128" s="5">
        <f t="shared" si="41"/>
        <v>0</v>
      </c>
      <c r="AM128" s="5">
        <f t="shared" si="42"/>
        <v>0</v>
      </c>
      <c r="AN128" s="92" t="e">
        <f t="shared" si="43"/>
        <v>#DIV/0!</v>
      </c>
      <c r="AO128" s="92">
        <f t="shared" si="58"/>
        <v>0</v>
      </c>
    </row>
    <row r="129" spans="1:41" x14ac:dyDescent="0.25">
      <c r="A129" s="5"/>
      <c r="B129" s="5"/>
      <c r="C129" s="5"/>
      <c r="D129" s="5"/>
      <c r="E129" s="5"/>
      <c r="F129" s="5"/>
      <c r="G129" s="58"/>
      <c r="J129" s="39">
        <v>2005</v>
      </c>
      <c r="K129" s="26">
        <v>1</v>
      </c>
      <c r="L129" s="26">
        <v>0</v>
      </c>
      <c r="M129" s="26">
        <v>1721.0893034589624</v>
      </c>
      <c r="N129" s="35">
        <v>3870.6170553999987</v>
      </c>
      <c r="O129" s="5">
        <v>2217.4087260000001</v>
      </c>
      <c r="P129" s="5">
        <f t="shared" si="35"/>
        <v>3938.4980294589623</v>
      </c>
      <c r="Q129" s="5">
        <f t="shared" si="36"/>
        <v>-67.880974058963602</v>
      </c>
      <c r="R129" s="92">
        <f t="shared" si="37"/>
        <v>-1.7235243880086064E-2</v>
      </c>
      <c r="S129" s="92">
        <f t="shared" si="56"/>
        <v>-8.9898747978363475E-3</v>
      </c>
      <c r="U129" s="95">
        <v>2005</v>
      </c>
      <c r="V129" s="96">
        <v>6</v>
      </c>
      <c r="W129" s="96">
        <v>0</v>
      </c>
      <c r="X129" s="96">
        <v>55088.960421892421</v>
      </c>
      <c r="Y129" s="97">
        <v>93112.844739499982</v>
      </c>
      <c r="Z129" s="97">
        <v>65.630942000000005</v>
      </c>
      <c r="AA129" s="97">
        <f t="shared" si="38"/>
        <v>55154.591363892425</v>
      </c>
      <c r="AB129" s="97">
        <f t="shared" si="39"/>
        <v>37958.253375607557</v>
      </c>
      <c r="AC129" s="98">
        <f t="shared" si="40"/>
        <v>0.68821565778941396</v>
      </c>
      <c r="AD129" s="98">
        <f t="shared" si="57"/>
        <v>14.286102465397041</v>
      </c>
      <c r="AF129" s="39">
        <v>2005</v>
      </c>
      <c r="AG129" s="26"/>
      <c r="AH129" s="26"/>
      <c r="AI129" s="26"/>
      <c r="AJ129" s="35">
        <v>0</v>
      </c>
      <c r="AK129" s="5">
        <v>0</v>
      </c>
      <c r="AL129" s="5">
        <f t="shared" si="41"/>
        <v>0</v>
      </c>
      <c r="AM129" s="5">
        <f t="shared" si="42"/>
        <v>0</v>
      </c>
      <c r="AN129" s="92" t="e">
        <f t="shared" si="43"/>
        <v>#DIV/0!</v>
      </c>
      <c r="AO129" s="92">
        <f t="shared" si="58"/>
        <v>0</v>
      </c>
    </row>
    <row r="130" spans="1:41" x14ac:dyDescent="0.25">
      <c r="A130" s="17"/>
      <c r="B130" s="17"/>
      <c r="C130" s="17"/>
      <c r="D130" s="17"/>
      <c r="E130" s="17"/>
      <c r="F130" s="17"/>
      <c r="G130" s="17"/>
      <c r="J130" s="39">
        <v>2006</v>
      </c>
      <c r="K130" s="26">
        <v>13</v>
      </c>
      <c r="L130" s="26">
        <v>0</v>
      </c>
      <c r="M130" s="26">
        <v>2911.3310935808399</v>
      </c>
      <c r="N130" s="35">
        <v>4522.0374185199998</v>
      </c>
      <c r="O130" s="5">
        <v>1497.3643200000001</v>
      </c>
      <c r="P130" s="5">
        <f t="shared" si="35"/>
        <v>4408.6954135808401</v>
      </c>
      <c r="Q130" s="5">
        <f t="shared" si="36"/>
        <v>113.34200493915978</v>
      </c>
      <c r="R130" s="92">
        <f t="shared" si="37"/>
        <v>2.5708740184230802E-2</v>
      </c>
      <c r="S130" s="92">
        <f t="shared" si="56"/>
        <v>1.5010545264917964E-2</v>
      </c>
      <c r="U130" s="39">
        <v>2006</v>
      </c>
      <c r="V130" s="26"/>
      <c r="W130" s="26"/>
      <c r="X130" s="26"/>
      <c r="Y130" s="35">
        <v>53.439503999999999</v>
      </c>
      <c r="Z130" s="5">
        <v>53.439503999999999</v>
      </c>
      <c r="AA130" s="5">
        <f t="shared" si="38"/>
        <v>53.439503999999999</v>
      </c>
      <c r="AB130" s="5">
        <f t="shared" si="39"/>
        <v>0</v>
      </c>
      <c r="AC130" s="92">
        <f t="shared" si="40"/>
        <v>0</v>
      </c>
      <c r="AD130" s="92">
        <f t="shared" si="57"/>
        <v>0</v>
      </c>
      <c r="AF130" s="39">
        <v>2006</v>
      </c>
      <c r="AG130" s="26"/>
      <c r="AH130" s="26"/>
      <c r="AI130" s="26"/>
      <c r="AJ130" s="35">
        <v>0</v>
      </c>
      <c r="AK130" s="5">
        <v>0</v>
      </c>
      <c r="AL130" s="5">
        <f t="shared" si="41"/>
        <v>0</v>
      </c>
      <c r="AM130" s="5">
        <f t="shared" si="42"/>
        <v>0</v>
      </c>
      <c r="AN130" s="92" t="e">
        <f t="shared" si="43"/>
        <v>#DIV/0!</v>
      </c>
      <c r="AO130" s="92">
        <f t="shared" si="58"/>
        <v>0</v>
      </c>
    </row>
    <row r="131" spans="1:41" x14ac:dyDescent="0.25">
      <c r="A131" s="17">
        <v>2</v>
      </c>
      <c r="B131" s="17">
        <v>3</v>
      </c>
      <c r="C131" s="17">
        <v>4</v>
      </c>
      <c r="D131" s="17">
        <v>5</v>
      </c>
      <c r="E131" s="17">
        <v>6</v>
      </c>
      <c r="F131" s="17">
        <v>7</v>
      </c>
      <c r="G131" s="17"/>
      <c r="J131" s="39">
        <v>2007</v>
      </c>
      <c r="K131" s="26">
        <v>11</v>
      </c>
      <c r="L131" s="26">
        <v>0</v>
      </c>
      <c r="M131" s="26">
        <v>3089.5223687085763</v>
      </c>
      <c r="N131" s="35">
        <v>5176.6268035789999</v>
      </c>
      <c r="O131" s="5">
        <v>2267.9756361999998</v>
      </c>
      <c r="P131" s="5">
        <f t="shared" si="35"/>
        <v>5357.4980049085761</v>
      </c>
      <c r="Q131" s="5">
        <f t="shared" si="36"/>
        <v>-180.87120132957625</v>
      </c>
      <c r="R131" s="92">
        <f t="shared" si="37"/>
        <v>-3.3760386128722925E-2</v>
      </c>
      <c r="S131" s="92">
        <f t="shared" si="56"/>
        <v>-2.3953832086657113E-2</v>
      </c>
      <c r="U131" s="39">
        <v>2007</v>
      </c>
      <c r="V131" s="26"/>
      <c r="W131" s="26"/>
      <c r="X131" s="26"/>
      <c r="Y131" s="35">
        <v>0</v>
      </c>
      <c r="Z131" s="5">
        <v>0</v>
      </c>
      <c r="AA131" s="5">
        <f t="shared" si="38"/>
        <v>0</v>
      </c>
      <c r="AB131" s="5">
        <f t="shared" si="39"/>
        <v>0</v>
      </c>
      <c r="AC131" s="92" t="e">
        <f t="shared" si="40"/>
        <v>#DIV/0!</v>
      </c>
      <c r="AD131" s="92">
        <f t="shared" si="57"/>
        <v>0</v>
      </c>
      <c r="AF131" s="39">
        <v>2007</v>
      </c>
      <c r="AG131" s="26"/>
      <c r="AH131" s="26"/>
      <c r="AI131" s="26"/>
      <c r="AJ131" s="35">
        <v>1.8342271999999999</v>
      </c>
      <c r="AK131" s="5">
        <v>1.8342271999999999</v>
      </c>
      <c r="AL131" s="5">
        <f t="shared" si="41"/>
        <v>1.8342271999999999</v>
      </c>
      <c r="AM131" s="5">
        <f t="shared" si="42"/>
        <v>0</v>
      </c>
      <c r="AN131" s="92">
        <f t="shared" si="43"/>
        <v>0</v>
      </c>
      <c r="AO131" s="92">
        <f t="shared" si="58"/>
        <v>0</v>
      </c>
    </row>
    <row r="132" spans="1:41" x14ac:dyDescent="0.25">
      <c r="A132" s="17">
        <v>7</v>
      </c>
      <c r="B132" s="17">
        <v>6</v>
      </c>
      <c r="C132" s="17">
        <v>5</v>
      </c>
      <c r="D132" s="17">
        <v>4</v>
      </c>
      <c r="E132" s="17">
        <v>3</v>
      </c>
      <c r="F132" s="17">
        <v>2</v>
      </c>
      <c r="G132" s="17"/>
      <c r="J132" s="39">
        <v>2008</v>
      </c>
      <c r="K132" s="26">
        <v>51</v>
      </c>
      <c r="L132" s="26">
        <v>0</v>
      </c>
      <c r="M132" s="26">
        <v>5640.9321104704013</v>
      </c>
      <c r="N132" s="35">
        <v>7838.2909645299997</v>
      </c>
      <c r="O132" s="5">
        <v>1044.0015575999998</v>
      </c>
      <c r="P132" s="5">
        <f t="shared" si="35"/>
        <v>6684.9336680704009</v>
      </c>
      <c r="Q132" s="5">
        <f t="shared" si="36"/>
        <v>1153.3572964595987</v>
      </c>
      <c r="R132" s="92">
        <f t="shared" si="37"/>
        <v>0.17253085127357951</v>
      </c>
      <c r="S132" s="92">
        <f t="shared" si="56"/>
        <v>0.15274585899925897</v>
      </c>
      <c r="U132" s="39">
        <v>2008</v>
      </c>
      <c r="V132" s="26">
        <v>1</v>
      </c>
      <c r="W132" s="26">
        <v>0</v>
      </c>
      <c r="X132" s="26">
        <v>171.91126813508794</v>
      </c>
      <c r="Y132" s="35">
        <v>621.70899729999996</v>
      </c>
      <c r="Z132" s="5">
        <v>0</v>
      </c>
      <c r="AA132" s="5">
        <f t="shared" si="38"/>
        <v>171.91126813508794</v>
      </c>
      <c r="AB132" s="5">
        <f t="shared" si="39"/>
        <v>449.79772916491203</v>
      </c>
      <c r="AC132" s="92">
        <f t="shared" si="40"/>
        <v>2.6164528599222523</v>
      </c>
      <c r="AD132" s="92">
        <f t="shared" si="57"/>
        <v>0.16928746388742363</v>
      </c>
      <c r="AF132" s="39">
        <v>2008</v>
      </c>
      <c r="AG132" s="26"/>
      <c r="AH132" s="26"/>
      <c r="AI132" s="26"/>
      <c r="AJ132" s="35">
        <v>0</v>
      </c>
      <c r="AK132" s="5">
        <v>0</v>
      </c>
      <c r="AL132" s="5">
        <f t="shared" si="41"/>
        <v>0</v>
      </c>
      <c r="AM132" s="5">
        <f t="shared" si="42"/>
        <v>0</v>
      </c>
      <c r="AN132" s="92" t="e">
        <f t="shared" si="43"/>
        <v>#DIV/0!</v>
      </c>
      <c r="AO132" s="92">
        <f t="shared" si="58"/>
        <v>0</v>
      </c>
    </row>
    <row r="133" spans="1:41" x14ac:dyDescent="0.25">
      <c r="J133" s="108">
        <v>2009</v>
      </c>
      <c r="K133" s="109">
        <v>2</v>
      </c>
      <c r="L133" s="109">
        <v>2</v>
      </c>
      <c r="M133" s="109">
        <v>1120.1701247763622</v>
      </c>
      <c r="N133" s="35">
        <v>6324.8250459400033</v>
      </c>
      <c r="O133" s="7">
        <v>5201.9168404000029</v>
      </c>
      <c r="P133" s="7">
        <f t="shared" si="35"/>
        <v>6322.0869651763651</v>
      </c>
      <c r="Q133" s="7">
        <f t="shared" si="36"/>
        <v>2.7380807636382087</v>
      </c>
      <c r="R133" s="102">
        <f t="shared" si="37"/>
        <v>4.3309761139323798E-4</v>
      </c>
      <c r="S133" s="102">
        <f t="shared" si="56"/>
        <v>3.6262006538224169E-4</v>
      </c>
      <c r="U133" s="108">
        <v>2009</v>
      </c>
      <c r="V133" s="109">
        <v>1</v>
      </c>
      <c r="W133" s="109">
        <v>0</v>
      </c>
      <c r="X133" s="109">
        <v>1054.2149027116707</v>
      </c>
      <c r="Y133" s="35">
        <v>506.53194458000002</v>
      </c>
      <c r="Z133" s="7">
        <v>78.59619459999999</v>
      </c>
      <c r="AA133" s="7">
        <f t="shared" si="38"/>
        <v>1132.8110973116707</v>
      </c>
      <c r="AB133" s="7">
        <f t="shared" si="39"/>
        <v>-626.27915273167059</v>
      </c>
      <c r="AC133" s="102">
        <f t="shared" si="40"/>
        <v>-0.55285400559539377</v>
      </c>
      <c r="AD133" s="102">
        <f t="shared" si="57"/>
        <v>-0.23570863652056759</v>
      </c>
      <c r="AF133" s="108">
        <v>2009</v>
      </c>
      <c r="AG133" s="109"/>
      <c r="AH133" s="109"/>
      <c r="AI133" s="109"/>
      <c r="AJ133" s="35">
        <v>0</v>
      </c>
      <c r="AK133" s="7">
        <v>0</v>
      </c>
      <c r="AL133" s="7">
        <f t="shared" si="41"/>
        <v>0</v>
      </c>
      <c r="AM133" s="7">
        <f t="shared" si="42"/>
        <v>0</v>
      </c>
      <c r="AN133" s="102" t="e">
        <f t="shared" si="43"/>
        <v>#DIV/0!</v>
      </c>
      <c r="AO133" s="102">
        <f t="shared" si="58"/>
        <v>0</v>
      </c>
    </row>
    <row r="134" spans="1:41" x14ac:dyDescent="0.25">
      <c r="J134" s="39">
        <v>2010</v>
      </c>
      <c r="K134" s="26">
        <v>6</v>
      </c>
      <c r="L134" s="26">
        <v>0</v>
      </c>
      <c r="M134" s="26">
        <v>450.95994385235201</v>
      </c>
      <c r="N134" s="35">
        <v>2246.5271980200009</v>
      </c>
      <c r="O134" s="5">
        <v>1889.8426442000004</v>
      </c>
      <c r="P134" s="5">
        <f t="shared" si="35"/>
        <v>2340.8025880523523</v>
      </c>
      <c r="Q134" s="5">
        <f t="shared" si="36"/>
        <v>-94.275390032351424</v>
      </c>
      <c r="R134" s="92">
        <f t="shared" si="37"/>
        <v>-4.0274814507443184E-2</v>
      </c>
      <c r="S134" s="92">
        <f t="shared" si="56"/>
        <v>-1.2485441828984973E-2</v>
      </c>
      <c r="U134" s="95">
        <v>2010</v>
      </c>
      <c r="V134" s="96">
        <v>3</v>
      </c>
      <c r="W134" s="96">
        <v>0</v>
      </c>
      <c r="X134" s="96">
        <v>4208.5589009986652</v>
      </c>
      <c r="Y134" s="97">
        <v>6393.3721406600007</v>
      </c>
      <c r="Z134" s="97">
        <v>0</v>
      </c>
      <c r="AA134" s="97">
        <f t="shared" si="38"/>
        <v>4208.5589009986652</v>
      </c>
      <c r="AB134" s="97">
        <f t="shared" si="39"/>
        <v>2184.8132396613355</v>
      </c>
      <c r="AC134" s="98">
        <f t="shared" si="40"/>
        <v>0.51913571630015509</v>
      </c>
      <c r="AD134" s="98">
        <f t="shared" si="57"/>
        <v>0.82228403664156524</v>
      </c>
      <c r="AF134" s="39">
        <v>2010</v>
      </c>
      <c r="AG134" s="26"/>
      <c r="AH134" s="26"/>
      <c r="AI134" s="26"/>
      <c r="AJ134" s="35">
        <v>0</v>
      </c>
      <c r="AK134" s="5">
        <v>0</v>
      </c>
      <c r="AL134" s="5">
        <f t="shared" si="41"/>
        <v>0</v>
      </c>
      <c r="AM134" s="5">
        <f t="shared" si="42"/>
        <v>0</v>
      </c>
      <c r="AN134" s="92" t="e">
        <f t="shared" si="43"/>
        <v>#DIV/0!</v>
      </c>
      <c r="AO134" s="92">
        <f t="shared" si="58"/>
        <v>0</v>
      </c>
    </row>
    <row r="135" spans="1:41" x14ac:dyDescent="0.25">
      <c r="A135" s="366" t="s">
        <v>331</v>
      </c>
      <c r="B135" s="366"/>
      <c r="C135" s="366"/>
      <c r="D135" s="366"/>
      <c r="E135" s="366"/>
      <c r="F135" s="366"/>
      <c r="G135" s="366"/>
      <c r="J135" s="95">
        <v>2011</v>
      </c>
      <c r="K135" s="96">
        <v>1</v>
      </c>
      <c r="L135" s="96">
        <v>0</v>
      </c>
      <c r="M135" s="96">
        <v>11796.327172610949</v>
      </c>
      <c r="N135" s="97">
        <v>5644.8962261999995</v>
      </c>
      <c r="O135" s="97">
        <v>1611.8029014000001</v>
      </c>
      <c r="P135" s="97">
        <f t="shared" si="35"/>
        <v>13408.130074010949</v>
      </c>
      <c r="Q135" s="97">
        <f t="shared" si="36"/>
        <v>-7763.2338478109496</v>
      </c>
      <c r="R135" s="98">
        <f t="shared" si="37"/>
        <v>-0.57899452085853997</v>
      </c>
      <c r="S135" s="98">
        <f t="shared" si="56"/>
        <v>-1.0281305076371394</v>
      </c>
      <c r="U135" s="39">
        <v>2011</v>
      </c>
      <c r="V135" s="26"/>
      <c r="W135" s="26"/>
      <c r="X135" s="26"/>
      <c r="Y135" s="35">
        <v>9.8236975999999991</v>
      </c>
      <c r="Z135" s="5">
        <v>9.8236975999999991</v>
      </c>
      <c r="AA135" s="5">
        <f t="shared" si="38"/>
        <v>9.8236975999999991</v>
      </c>
      <c r="AB135" s="5">
        <f t="shared" si="39"/>
        <v>0</v>
      </c>
      <c r="AC135" s="92">
        <f t="shared" si="40"/>
        <v>0</v>
      </c>
      <c r="AD135" s="92">
        <f t="shared" si="57"/>
        <v>0</v>
      </c>
      <c r="AF135" s="39">
        <v>2011</v>
      </c>
      <c r="AG135" s="26"/>
      <c r="AH135" s="26"/>
      <c r="AI135" s="26"/>
      <c r="AJ135" s="35">
        <v>0</v>
      </c>
      <c r="AK135" s="5">
        <v>0</v>
      </c>
      <c r="AL135" s="5">
        <f t="shared" si="41"/>
        <v>0</v>
      </c>
      <c r="AM135" s="5">
        <f t="shared" si="42"/>
        <v>0</v>
      </c>
      <c r="AN135" s="92" t="e">
        <f t="shared" si="43"/>
        <v>#DIV/0!</v>
      </c>
      <c r="AO135" s="92">
        <f t="shared" si="58"/>
        <v>0</v>
      </c>
    </row>
    <row r="136" spans="1:41" x14ac:dyDescent="0.25">
      <c r="A136" s="333" t="s">
        <v>16</v>
      </c>
      <c r="B136" s="333" t="s">
        <v>18</v>
      </c>
      <c r="C136" s="333" t="s">
        <v>25</v>
      </c>
      <c r="D136" s="333" t="s">
        <v>28</v>
      </c>
      <c r="E136" s="333" t="s">
        <v>30</v>
      </c>
      <c r="F136" s="333" t="s">
        <v>26</v>
      </c>
      <c r="G136" s="333" t="s">
        <v>20</v>
      </c>
      <c r="J136" s="39">
        <v>2012</v>
      </c>
      <c r="K136" s="26">
        <v>0</v>
      </c>
      <c r="L136" s="26">
        <v>0</v>
      </c>
      <c r="M136" s="26">
        <v>0</v>
      </c>
      <c r="N136" s="35">
        <v>4318.0971096000003</v>
      </c>
      <c r="O136" s="5">
        <v>4318.0971096000003</v>
      </c>
      <c r="P136" s="5">
        <f t="shared" si="35"/>
        <v>4318.0971096000003</v>
      </c>
      <c r="Q136" s="5">
        <f t="shared" si="36"/>
        <v>0</v>
      </c>
      <c r="R136" s="92">
        <f t="shared" si="37"/>
        <v>0</v>
      </c>
      <c r="S136" s="92">
        <f t="shared" si="56"/>
        <v>0</v>
      </c>
      <c r="U136" s="39">
        <v>2012</v>
      </c>
      <c r="V136" s="26"/>
      <c r="W136" s="26"/>
      <c r="X136" s="26"/>
      <c r="Y136" s="35">
        <v>4.9118487999999996</v>
      </c>
      <c r="Z136" s="5">
        <v>4.9118487999999996</v>
      </c>
      <c r="AA136" s="5">
        <f t="shared" si="38"/>
        <v>4.9118487999999996</v>
      </c>
      <c r="AB136" s="5">
        <f t="shared" si="39"/>
        <v>0</v>
      </c>
      <c r="AC136" s="92">
        <f t="shared" si="40"/>
        <v>0</v>
      </c>
      <c r="AD136" s="92">
        <f t="shared" si="57"/>
        <v>0</v>
      </c>
      <c r="AF136" s="39">
        <v>2012</v>
      </c>
      <c r="AG136" s="26"/>
      <c r="AH136" s="26"/>
      <c r="AI136" s="26"/>
      <c r="AJ136" s="35">
        <v>0</v>
      </c>
      <c r="AK136" s="5">
        <v>0</v>
      </c>
      <c r="AL136" s="5">
        <f t="shared" si="41"/>
        <v>0</v>
      </c>
      <c r="AM136" s="5">
        <f t="shared" si="42"/>
        <v>0</v>
      </c>
      <c r="AN136" s="92" t="e">
        <f t="shared" si="43"/>
        <v>#DIV/0!</v>
      </c>
      <c r="AO136" s="92">
        <f t="shared" si="58"/>
        <v>0</v>
      </c>
    </row>
    <row r="137" spans="1:41" x14ac:dyDescent="0.25">
      <c r="A137" s="141">
        <f t="shared" ref="A137:A145" si="69">_xlfn.RANK.AVG(B18,B$18:B$26,0)</f>
        <v>8</v>
      </c>
      <c r="B137" s="141">
        <f t="shared" ref="B137:F137" si="70">_xlfn.RANK.AVG(C18,C$18:C$26,0)</f>
        <v>5</v>
      </c>
      <c r="C137" s="141">
        <f t="shared" si="70"/>
        <v>5</v>
      </c>
      <c r="D137" s="141">
        <f t="shared" si="70"/>
        <v>4</v>
      </c>
      <c r="E137" s="141">
        <f t="shared" si="70"/>
        <v>8</v>
      </c>
      <c r="F137" s="141">
        <f t="shared" si="70"/>
        <v>8</v>
      </c>
      <c r="G137" s="141">
        <v>1999</v>
      </c>
      <c r="J137" s="39">
        <v>2013</v>
      </c>
      <c r="K137" s="26">
        <v>1</v>
      </c>
      <c r="L137" s="26">
        <v>0</v>
      </c>
      <c r="M137" s="26">
        <v>15.547448275662216</v>
      </c>
      <c r="N137" s="35">
        <v>1644.5307609460001</v>
      </c>
      <c r="O137" s="5">
        <v>1625.2311199999999</v>
      </c>
      <c r="P137" s="5">
        <f t="shared" si="35"/>
        <v>1640.7785682756621</v>
      </c>
      <c r="Q137" s="5">
        <f t="shared" si="36"/>
        <v>3.7521926703379904</v>
      </c>
      <c r="R137" s="92">
        <f t="shared" si="37"/>
        <v>2.2868367145246599E-3</v>
      </c>
      <c r="S137" s="92">
        <f t="shared" si="56"/>
        <v>4.9692484221568894E-4</v>
      </c>
      <c r="U137" s="39">
        <v>2013</v>
      </c>
      <c r="V137" s="26">
        <v>3</v>
      </c>
      <c r="W137" s="26">
        <v>0</v>
      </c>
      <c r="X137" s="26">
        <v>1106.1464172274325</v>
      </c>
      <c r="Y137" s="35">
        <v>1900.7469178099998</v>
      </c>
      <c r="Z137" s="5">
        <v>1041.2391938000001</v>
      </c>
      <c r="AA137" s="5">
        <f t="shared" si="38"/>
        <v>2147.3856110274328</v>
      </c>
      <c r="AB137" s="5">
        <f t="shared" si="39"/>
        <v>-246.638693217433</v>
      </c>
      <c r="AC137" s="92">
        <f t="shared" si="40"/>
        <v>-0.11485533476189536</v>
      </c>
      <c r="AD137" s="92">
        <f t="shared" si="57"/>
        <v>-9.2825810723422858E-2</v>
      </c>
      <c r="AF137" s="39">
        <v>2013</v>
      </c>
      <c r="AG137" s="26"/>
      <c r="AH137" s="26"/>
      <c r="AI137" s="26"/>
      <c r="AJ137" s="35">
        <v>0</v>
      </c>
      <c r="AK137" s="5">
        <v>0</v>
      </c>
      <c r="AL137" s="5">
        <f t="shared" si="41"/>
        <v>0</v>
      </c>
      <c r="AM137" s="5">
        <f t="shared" si="42"/>
        <v>0</v>
      </c>
      <c r="AN137" s="92" t="e">
        <f t="shared" si="43"/>
        <v>#DIV/0!</v>
      </c>
      <c r="AO137" s="92">
        <f t="shared" si="58"/>
        <v>0</v>
      </c>
    </row>
    <row r="138" spans="1:41" x14ac:dyDescent="0.25">
      <c r="A138" s="141">
        <f t="shared" si="69"/>
        <v>1</v>
      </c>
      <c r="B138" s="141">
        <f t="shared" ref="B138:F145" si="71">_xlfn.RANK.AVG(C19,C$18:C$26,0)</f>
        <v>2</v>
      </c>
      <c r="C138" s="141">
        <f t="shared" si="71"/>
        <v>7</v>
      </c>
      <c r="D138" s="141">
        <f t="shared" si="71"/>
        <v>1</v>
      </c>
      <c r="E138" s="141">
        <f t="shared" si="71"/>
        <v>3</v>
      </c>
      <c r="F138" s="141">
        <f t="shared" si="71"/>
        <v>2</v>
      </c>
      <c r="G138" s="141">
        <v>2000</v>
      </c>
      <c r="J138" s="39">
        <v>2014</v>
      </c>
      <c r="K138" s="26">
        <v>1</v>
      </c>
      <c r="L138" s="26">
        <v>0</v>
      </c>
      <c r="M138" s="26">
        <v>45.120134920743922</v>
      </c>
      <c r="N138" s="35">
        <v>1248.2928526200003</v>
      </c>
      <c r="O138" s="5">
        <v>1163.6275628000003</v>
      </c>
      <c r="P138" s="5">
        <f t="shared" si="35"/>
        <v>1208.7476977207443</v>
      </c>
      <c r="Q138" s="5">
        <f t="shared" si="36"/>
        <v>39.545154899255976</v>
      </c>
      <c r="R138" s="92">
        <f t="shared" si="37"/>
        <v>3.2715805766433854E-2</v>
      </c>
      <c r="S138" s="92">
        <f t="shared" si="56"/>
        <v>5.2371963769487443E-3</v>
      </c>
      <c r="U138" s="39">
        <v>2014</v>
      </c>
      <c r="V138" s="26">
        <v>3</v>
      </c>
      <c r="W138" s="26">
        <v>0</v>
      </c>
      <c r="X138" s="26">
        <v>204.63626505287232</v>
      </c>
      <c r="Y138" s="35">
        <v>3389.7915178979997</v>
      </c>
      <c r="Z138" s="5">
        <v>3119.8727590000003</v>
      </c>
      <c r="AA138" s="5">
        <f t="shared" si="38"/>
        <v>3324.5090240528725</v>
      </c>
      <c r="AB138" s="5">
        <f t="shared" si="39"/>
        <v>65.282493845127192</v>
      </c>
      <c r="AC138" s="92">
        <f t="shared" si="40"/>
        <v>1.9636732333348283E-2</v>
      </c>
      <c r="AD138" s="92">
        <f t="shared" si="57"/>
        <v>2.4569950230309064E-2</v>
      </c>
      <c r="AF138" s="39">
        <v>2014</v>
      </c>
      <c r="AG138" s="26"/>
      <c r="AH138" s="26"/>
      <c r="AI138" s="26"/>
      <c r="AJ138" s="35">
        <v>16.858576200000002</v>
      </c>
      <c r="AK138" s="5">
        <v>16.858576200000002</v>
      </c>
      <c r="AL138" s="5">
        <f t="shared" si="41"/>
        <v>16.858576200000002</v>
      </c>
      <c r="AM138" s="5">
        <f t="shared" si="42"/>
        <v>0</v>
      </c>
      <c r="AN138" s="92">
        <f t="shared" si="43"/>
        <v>0</v>
      </c>
      <c r="AO138" s="92">
        <f t="shared" si="58"/>
        <v>0</v>
      </c>
    </row>
    <row r="139" spans="1:41" x14ac:dyDescent="0.25">
      <c r="A139" s="141">
        <f t="shared" si="69"/>
        <v>3</v>
      </c>
      <c r="B139" s="141">
        <f t="shared" si="71"/>
        <v>3</v>
      </c>
      <c r="C139" s="141">
        <f t="shared" si="71"/>
        <v>4</v>
      </c>
      <c r="D139" s="141">
        <f t="shared" si="71"/>
        <v>2</v>
      </c>
      <c r="E139" s="141">
        <f t="shared" si="71"/>
        <v>4</v>
      </c>
      <c r="F139" s="141">
        <f t="shared" si="71"/>
        <v>3</v>
      </c>
      <c r="G139" s="141">
        <v>2001</v>
      </c>
      <c r="J139" s="39">
        <v>2015</v>
      </c>
      <c r="K139" s="26">
        <v>5</v>
      </c>
      <c r="L139" s="26">
        <v>0</v>
      </c>
      <c r="M139" s="26">
        <v>159.46152821185322</v>
      </c>
      <c r="N139" s="35">
        <v>2605.8917413999998</v>
      </c>
      <c r="O139" s="5">
        <v>2291.7809069999998</v>
      </c>
      <c r="P139" s="5">
        <f t="shared" si="35"/>
        <v>2451.2424352118533</v>
      </c>
      <c r="Q139" s="5">
        <f t="shared" si="36"/>
        <v>154.64930618814651</v>
      </c>
      <c r="R139" s="92">
        <f t="shared" si="37"/>
        <v>6.3090171729497102E-2</v>
      </c>
      <c r="S139" s="92">
        <f t="shared" si="56"/>
        <v>2.0481112999292773E-2</v>
      </c>
      <c r="U139" s="39">
        <v>2015</v>
      </c>
      <c r="V139" s="26">
        <v>1</v>
      </c>
      <c r="W139" s="26">
        <v>0</v>
      </c>
      <c r="X139" s="26">
        <v>1627.7844983703483</v>
      </c>
      <c r="Y139" s="35">
        <v>3015.3931560000001</v>
      </c>
      <c r="Z139" s="5">
        <v>1781.967157</v>
      </c>
      <c r="AA139" s="5">
        <f t="shared" si="38"/>
        <v>3409.7516553703481</v>
      </c>
      <c r="AB139" s="5">
        <f t="shared" si="39"/>
        <v>-394.358499370348</v>
      </c>
      <c r="AC139" s="92">
        <f t="shared" si="40"/>
        <v>-0.11565607681405025</v>
      </c>
      <c r="AD139" s="92">
        <f t="shared" si="57"/>
        <v>-0.14842215932215114</v>
      </c>
      <c r="AF139" s="39">
        <v>2015</v>
      </c>
      <c r="AG139" s="26"/>
      <c r="AH139" s="26"/>
      <c r="AI139" s="26"/>
      <c r="AJ139" s="35">
        <v>23.410647399999998</v>
      </c>
      <c r="AK139" s="5">
        <v>23.410647399999998</v>
      </c>
      <c r="AL139" s="5">
        <f t="shared" si="41"/>
        <v>23.410647399999998</v>
      </c>
      <c r="AM139" s="5">
        <f t="shared" si="42"/>
        <v>0</v>
      </c>
      <c r="AN139" s="92">
        <f t="shared" si="43"/>
        <v>0</v>
      </c>
      <c r="AO139" s="92">
        <f t="shared" si="58"/>
        <v>0</v>
      </c>
    </row>
    <row r="140" spans="1:41" x14ac:dyDescent="0.25">
      <c r="A140" s="141">
        <f t="shared" si="69"/>
        <v>2</v>
      </c>
      <c r="B140" s="141">
        <f t="shared" si="71"/>
        <v>6</v>
      </c>
      <c r="C140" s="141">
        <f t="shared" si="71"/>
        <v>2</v>
      </c>
      <c r="D140" s="141">
        <f t="shared" si="71"/>
        <v>5</v>
      </c>
      <c r="E140" s="141">
        <f t="shared" si="71"/>
        <v>5</v>
      </c>
      <c r="F140" s="141">
        <f t="shared" si="71"/>
        <v>7</v>
      </c>
      <c r="G140" s="141">
        <v>2002</v>
      </c>
      <c r="J140" s="39">
        <v>2016</v>
      </c>
      <c r="K140" s="26"/>
      <c r="L140" s="26"/>
      <c r="M140" s="26"/>
      <c r="N140" s="35">
        <v>1858.1382915999998</v>
      </c>
      <c r="O140" s="5">
        <v>1858.1382915999998</v>
      </c>
      <c r="P140" s="5">
        <f t="shared" si="35"/>
        <v>1858.1382915999998</v>
      </c>
      <c r="Q140" s="5">
        <f t="shared" si="36"/>
        <v>0</v>
      </c>
      <c r="R140" s="92">
        <f t="shared" si="37"/>
        <v>0</v>
      </c>
      <c r="S140" s="92">
        <f t="shared" si="56"/>
        <v>0</v>
      </c>
      <c r="U140" s="39">
        <v>2016</v>
      </c>
      <c r="V140" s="26">
        <v>2</v>
      </c>
      <c r="W140" s="26">
        <v>0</v>
      </c>
      <c r="X140" s="26">
        <v>212.55228740386414</v>
      </c>
      <c r="Y140" s="35">
        <v>2109.9058829200003</v>
      </c>
      <c r="Z140" s="5">
        <v>1716.6250176000001</v>
      </c>
      <c r="AA140" s="5">
        <f t="shared" si="38"/>
        <v>1929.1773050038641</v>
      </c>
      <c r="AB140" s="5">
        <f t="shared" si="39"/>
        <v>180.72857791613615</v>
      </c>
      <c r="AC140" s="92">
        <f t="shared" si="40"/>
        <v>9.3681683610607344E-2</v>
      </c>
      <c r="AD140" s="92">
        <f t="shared" si="57"/>
        <v>6.801964666252476E-2</v>
      </c>
      <c r="AF140" s="39">
        <v>2016</v>
      </c>
      <c r="AG140" s="26"/>
      <c r="AH140" s="26"/>
      <c r="AI140" s="26"/>
      <c r="AJ140" s="35">
        <v>32.365732600000001</v>
      </c>
      <c r="AK140" s="5">
        <v>32.365732600000001</v>
      </c>
      <c r="AL140" s="5">
        <f t="shared" si="41"/>
        <v>32.365732600000001</v>
      </c>
      <c r="AM140" s="5">
        <f t="shared" si="42"/>
        <v>0</v>
      </c>
      <c r="AN140" s="92">
        <f t="shared" si="43"/>
        <v>0</v>
      </c>
      <c r="AO140" s="92">
        <f t="shared" si="58"/>
        <v>0</v>
      </c>
    </row>
    <row r="141" spans="1:41" x14ac:dyDescent="0.25">
      <c r="A141" s="141">
        <f t="shared" si="69"/>
        <v>4</v>
      </c>
      <c r="B141" s="141">
        <f t="shared" si="71"/>
        <v>8</v>
      </c>
      <c r="C141" s="141">
        <f t="shared" si="71"/>
        <v>6</v>
      </c>
      <c r="D141" s="141">
        <f t="shared" si="71"/>
        <v>7</v>
      </c>
      <c r="E141" s="141">
        <f t="shared" si="71"/>
        <v>1</v>
      </c>
      <c r="F141" s="141">
        <f t="shared" si="71"/>
        <v>6</v>
      </c>
      <c r="G141" s="141">
        <v>2003</v>
      </c>
      <c r="J141" s="108">
        <v>2017</v>
      </c>
      <c r="K141" s="109">
        <v>1</v>
      </c>
      <c r="L141" s="109">
        <v>1</v>
      </c>
      <c r="M141" s="109">
        <v>0</v>
      </c>
      <c r="N141" s="35">
        <v>2790.49383575</v>
      </c>
      <c r="O141" s="7">
        <v>1414.3831759999998</v>
      </c>
      <c r="P141" s="7"/>
      <c r="Q141" s="7"/>
      <c r="R141" s="102" t="e">
        <f t="shared" si="37"/>
        <v>#DIV/0!</v>
      </c>
      <c r="S141" s="102">
        <f t="shared" si="56"/>
        <v>0</v>
      </c>
      <c r="T141" s="17" t="s">
        <v>112</v>
      </c>
      <c r="U141" s="95">
        <v>2017</v>
      </c>
      <c r="V141" s="96">
        <v>1</v>
      </c>
      <c r="W141" s="96">
        <v>0</v>
      </c>
      <c r="X141" s="96">
        <v>3023.2928308736764</v>
      </c>
      <c r="Y141" s="97">
        <v>7253.7791486999995</v>
      </c>
      <c r="Z141" s="97">
        <v>1240.3013462000001</v>
      </c>
      <c r="AA141" s="97">
        <f t="shared" si="38"/>
        <v>4263.5941770736763</v>
      </c>
      <c r="AB141" s="97">
        <f t="shared" si="39"/>
        <v>2990.1849716263232</v>
      </c>
      <c r="AC141" s="98">
        <f t="shared" si="40"/>
        <v>0.70132964054253422</v>
      </c>
      <c r="AD141" s="98">
        <f t="shared" si="57"/>
        <v>1.1253965895753035</v>
      </c>
      <c r="AF141" s="108">
        <v>2017</v>
      </c>
      <c r="AG141" s="109">
        <v>1</v>
      </c>
      <c r="AH141" s="109">
        <v>0</v>
      </c>
      <c r="AI141" s="109">
        <v>66.133967794564086</v>
      </c>
      <c r="AJ141" s="35">
        <v>638.9895022500001</v>
      </c>
      <c r="AK141" s="7">
        <v>14.010232999999999</v>
      </c>
      <c r="AL141" s="7">
        <f t="shared" si="41"/>
        <v>80.144200794564085</v>
      </c>
      <c r="AM141" s="7">
        <f t="shared" si="42"/>
        <v>558.84530145543602</v>
      </c>
      <c r="AN141" s="102">
        <f t="shared" si="43"/>
        <v>6.9729973711752411</v>
      </c>
      <c r="AO141" s="102">
        <f t="shared" si="58"/>
        <v>0.16029873905855829</v>
      </c>
    </row>
    <row r="142" spans="1:41" x14ac:dyDescent="0.25">
      <c r="A142" s="141">
        <f t="shared" si="69"/>
        <v>7</v>
      </c>
      <c r="B142" s="141">
        <f t="shared" si="71"/>
        <v>4</v>
      </c>
      <c r="C142" s="141">
        <f t="shared" si="71"/>
        <v>3</v>
      </c>
      <c r="D142" s="141">
        <f t="shared" si="71"/>
        <v>8</v>
      </c>
      <c r="E142" s="141">
        <f t="shared" si="71"/>
        <v>2</v>
      </c>
      <c r="F142" s="141">
        <f t="shared" si="71"/>
        <v>5</v>
      </c>
      <c r="G142" s="141">
        <v>2004</v>
      </c>
      <c r="J142" s="108" t="s">
        <v>104</v>
      </c>
      <c r="K142" s="109"/>
      <c r="L142" s="109"/>
      <c r="M142" s="109"/>
      <c r="N142" s="7"/>
      <c r="O142" s="7"/>
      <c r="P142" s="7">
        <f>AVERAGE(P110:P141)</f>
        <v>7550.8252990687888</v>
      </c>
      <c r="Q142" s="7"/>
      <c r="R142" s="102"/>
      <c r="S142" s="17"/>
      <c r="U142" s="108" t="s">
        <v>104</v>
      </c>
      <c r="V142" s="109"/>
      <c r="W142" s="109"/>
      <c r="X142" s="109"/>
      <c r="Y142" s="7"/>
      <c r="Z142" s="7"/>
      <c r="AA142" s="7">
        <f>AVERAGE(AA110:AA141)</f>
        <v>2657.0055386028353</v>
      </c>
      <c r="AB142" s="7"/>
      <c r="AC142" s="102"/>
      <c r="AD142" s="17"/>
      <c r="AF142" s="108" t="s">
        <v>104</v>
      </c>
      <c r="AG142" s="109"/>
      <c r="AH142" s="109"/>
      <c r="AI142" s="109"/>
      <c r="AJ142" s="7"/>
      <c r="AK142" s="7"/>
      <c r="AL142" s="7">
        <f>AVERAGE(AL110:AL141)</f>
        <v>3486.2738455558642</v>
      </c>
      <c r="AM142" s="7"/>
      <c r="AN142" s="102"/>
      <c r="AO142" s="17"/>
    </row>
    <row r="143" spans="1:41" x14ac:dyDescent="0.25">
      <c r="A143" s="141">
        <f t="shared" si="69"/>
        <v>5</v>
      </c>
      <c r="B143" s="141">
        <f t="shared" si="71"/>
        <v>1</v>
      </c>
      <c r="C143" s="141">
        <f t="shared" si="71"/>
        <v>8</v>
      </c>
      <c r="D143" s="141">
        <f t="shared" si="71"/>
        <v>3</v>
      </c>
      <c r="E143" s="141">
        <f t="shared" si="71"/>
        <v>6</v>
      </c>
      <c r="F143" s="141">
        <f t="shared" si="71"/>
        <v>9</v>
      </c>
      <c r="G143" s="141">
        <v>2005</v>
      </c>
    </row>
    <row r="144" spans="1:41" x14ac:dyDescent="0.25">
      <c r="A144" s="141">
        <f t="shared" si="69"/>
        <v>6</v>
      </c>
      <c r="B144" s="141">
        <f t="shared" si="71"/>
        <v>9</v>
      </c>
      <c r="C144" s="141">
        <f t="shared" si="71"/>
        <v>9</v>
      </c>
      <c r="D144" s="141">
        <f t="shared" si="71"/>
        <v>9</v>
      </c>
      <c r="E144" s="141">
        <f t="shared" si="71"/>
        <v>7</v>
      </c>
      <c r="F144" s="141">
        <f t="shared" si="71"/>
        <v>4</v>
      </c>
      <c r="G144" s="141">
        <v>2006</v>
      </c>
    </row>
    <row r="145" spans="1:41" x14ac:dyDescent="0.25">
      <c r="A145" s="141">
        <f t="shared" si="69"/>
        <v>9</v>
      </c>
      <c r="B145" s="141">
        <f t="shared" si="71"/>
        <v>7</v>
      </c>
      <c r="C145" s="141">
        <f t="shared" si="71"/>
        <v>1</v>
      </c>
      <c r="D145" s="141">
        <f t="shared" si="71"/>
        <v>6</v>
      </c>
      <c r="E145" s="141">
        <f t="shared" si="71"/>
        <v>9</v>
      </c>
      <c r="F145" s="141">
        <f t="shared" si="71"/>
        <v>1</v>
      </c>
      <c r="G145" s="141">
        <v>2007</v>
      </c>
      <c r="J145" s="366" t="s">
        <v>28</v>
      </c>
      <c r="K145" s="366"/>
      <c r="L145" s="366"/>
      <c r="M145" s="366"/>
      <c r="N145" s="366"/>
      <c r="O145" s="366"/>
      <c r="P145" s="366"/>
      <c r="Q145" s="366"/>
      <c r="R145" s="366"/>
      <c r="S145" s="366"/>
      <c r="T145" s="17"/>
      <c r="U145" s="366" t="s">
        <v>30</v>
      </c>
      <c r="V145" s="366"/>
      <c r="W145" s="366"/>
      <c r="X145" s="366"/>
      <c r="Y145" s="366"/>
      <c r="Z145" s="366"/>
      <c r="AA145" s="366"/>
      <c r="AB145" s="366"/>
      <c r="AC145" s="366"/>
      <c r="AD145" s="366"/>
      <c r="AE145" s="17"/>
      <c r="AF145" s="366" t="s">
        <v>26</v>
      </c>
      <c r="AG145" s="366"/>
      <c r="AH145" s="366"/>
      <c r="AI145" s="366"/>
      <c r="AJ145" s="366"/>
      <c r="AK145" s="366"/>
      <c r="AL145" s="366"/>
      <c r="AM145" s="366"/>
      <c r="AN145" s="366"/>
      <c r="AO145" s="366"/>
    </row>
    <row r="146" spans="1:41" x14ac:dyDescent="0.25">
      <c r="J146" s="131" t="s">
        <v>20</v>
      </c>
      <c r="K146" s="131" t="s">
        <v>94</v>
      </c>
      <c r="L146" s="131" t="s">
        <v>95</v>
      </c>
      <c r="M146" s="131" t="s">
        <v>101</v>
      </c>
      <c r="N146" s="93" t="s">
        <v>50</v>
      </c>
      <c r="O146" s="131" t="s">
        <v>45</v>
      </c>
      <c r="P146" s="131" t="s">
        <v>98</v>
      </c>
      <c r="Q146" s="131" t="s">
        <v>97</v>
      </c>
      <c r="R146" s="131" t="s">
        <v>99</v>
      </c>
      <c r="S146" s="131" t="s">
        <v>103</v>
      </c>
      <c r="T146" s="17"/>
      <c r="U146" s="131" t="s">
        <v>20</v>
      </c>
      <c r="V146" s="131" t="s">
        <v>94</v>
      </c>
      <c r="W146" s="131" t="s">
        <v>95</v>
      </c>
      <c r="X146" s="131" t="s">
        <v>101</v>
      </c>
      <c r="Y146" s="93" t="s">
        <v>50</v>
      </c>
      <c r="Z146" s="131" t="s">
        <v>45</v>
      </c>
      <c r="AA146" s="131" t="s">
        <v>98</v>
      </c>
      <c r="AB146" s="131" t="s">
        <v>97</v>
      </c>
      <c r="AC146" s="131" t="s">
        <v>99</v>
      </c>
      <c r="AD146" s="131" t="s">
        <v>103</v>
      </c>
      <c r="AE146" s="17"/>
      <c r="AF146" s="131" t="s">
        <v>20</v>
      </c>
      <c r="AG146" s="131" t="s">
        <v>94</v>
      </c>
      <c r="AH146" s="131" t="s">
        <v>95</v>
      </c>
      <c r="AI146" s="131" t="s">
        <v>101</v>
      </c>
      <c r="AJ146" s="93" t="s">
        <v>50</v>
      </c>
      <c r="AK146" s="131" t="s">
        <v>45</v>
      </c>
      <c r="AL146" s="131" t="s">
        <v>98</v>
      </c>
      <c r="AM146" s="131" t="s">
        <v>97</v>
      </c>
      <c r="AN146" s="131" t="s">
        <v>99</v>
      </c>
      <c r="AO146" s="131" t="s">
        <v>103</v>
      </c>
    </row>
    <row r="147" spans="1:41" x14ac:dyDescent="0.25">
      <c r="J147" s="39">
        <v>1986</v>
      </c>
      <c r="K147" s="26"/>
      <c r="L147" s="26"/>
      <c r="M147" s="26"/>
      <c r="N147" s="35">
        <v>0</v>
      </c>
      <c r="O147" s="5">
        <v>0</v>
      </c>
      <c r="P147" s="5">
        <f t="shared" ref="P147:P178" si="72">M147+O147</f>
        <v>0</v>
      </c>
      <c r="Q147" s="5">
        <f t="shared" ref="Q147:Q178" si="73">N147-P147</f>
        <v>0</v>
      </c>
      <c r="R147" s="92" t="e">
        <f t="shared" ref="R147:R178" si="74">Q147/P147</f>
        <v>#DIV/0!</v>
      </c>
      <c r="S147" s="92">
        <f>Q147/$P$179</f>
        <v>0</v>
      </c>
      <c r="T147" s="17"/>
      <c r="U147" s="39">
        <v>1986</v>
      </c>
      <c r="V147" s="26">
        <v>0</v>
      </c>
      <c r="W147" s="26">
        <v>0</v>
      </c>
      <c r="X147" s="26">
        <v>0</v>
      </c>
      <c r="Y147" s="35">
        <v>5874.9856295999962</v>
      </c>
      <c r="Z147" s="5">
        <v>5874.9856295999962</v>
      </c>
      <c r="AA147" s="5">
        <f t="shared" ref="AA147:AA178" si="75">X147+Z147</f>
        <v>5874.9856295999962</v>
      </c>
      <c r="AB147" s="5">
        <f t="shared" ref="AB147:AB178" si="76">Y147-AA147</f>
        <v>0</v>
      </c>
      <c r="AC147" s="92">
        <f t="shared" ref="AC147:AC178" si="77">AB147/AA147</f>
        <v>0</v>
      </c>
      <c r="AD147" s="92">
        <f>AB147/$AA$179</f>
        <v>0</v>
      </c>
      <c r="AE147" s="17"/>
      <c r="AF147" s="39">
        <v>1986</v>
      </c>
      <c r="AG147" s="26"/>
      <c r="AH147" s="26"/>
      <c r="AI147" s="26"/>
      <c r="AJ147" s="35">
        <v>3203.5174876000005</v>
      </c>
      <c r="AK147" s="5">
        <v>3203.5174876000005</v>
      </c>
      <c r="AL147" s="5">
        <f t="shared" ref="AL147:AL178" si="78">AI147+AK147</f>
        <v>3203.5174876000005</v>
      </c>
      <c r="AM147" s="5">
        <f t="shared" ref="AM147:AM178" si="79">AJ147-AL147</f>
        <v>0</v>
      </c>
      <c r="AN147" s="92">
        <f t="shared" ref="AN147:AN178" si="80">AM147/AL147</f>
        <v>0</v>
      </c>
      <c r="AO147" s="92">
        <f>AM147/$AL$142</f>
        <v>0</v>
      </c>
    </row>
    <row r="148" spans="1:41" x14ac:dyDescent="0.25">
      <c r="A148" s="17">
        <v>2</v>
      </c>
      <c r="B148" s="17">
        <v>3</v>
      </c>
      <c r="C148" s="17">
        <v>4</v>
      </c>
      <c r="D148" s="17">
        <v>5</v>
      </c>
      <c r="E148" s="17">
        <v>6</v>
      </c>
      <c r="F148" s="17">
        <v>7</v>
      </c>
      <c r="J148" s="39">
        <v>1987</v>
      </c>
      <c r="K148" s="26"/>
      <c r="L148" s="26"/>
      <c r="M148" s="26"/>
      <c r="N148" s="35">
        <v>0</v>
      </c>
      <c r="O148" s="5">
        <v>0</v>
      </c>
      <c r="P148" s="5">
        <f t="shared" ref="P148:P152" si="81">M148+O148</f>
        <v>0</v>
      </c>
      <c r="Q148" s="5">
        <f t="shared" ref="Q148:Q152" si="82">N148-P148</f>
        <v>0</v>
      </c>
      <c r="R148" s="92" t="e">
        <f t="shared" ref="R148:R152" si="83">Q148/P148</f>
        <v>#DIV/0!</v>
      </c>
      <c r="S148" s="92">
        <f t="shared" ref="S148:S152" si="84">Q148/$P$179</f>
        <v>0</v>
      </c>
      <c r="T148" s="17"/>
      <c r="U148" s="39">
        <v>1987</v>
      </c>
      <c r="V148" s="26">
        <v>2</v>
      </c>
      <c r="W148" s="26">
        <v>0</v>
      </c>
      <c r="X148" s="26">
        <v>6178.1487552138497</v>
      </c>
      <c r="Y148" s="35">
        <v>6931.73859292</v>
      </c>
      <c r="Z148" s="5">
        <v>4218.7115369999992</v>
      </c>
      <c r="AA148" s="5">
        <f t="shared" ref="AA148:AA152" si="85">X148+Z148</f>
        <v>10396.860292213849</v>
      </c>
      <c r="AB148" s="5">
        <f t="shared" ref="AB148:AB152" si="86">Y148-AA148</f>
        <v>-3465.1216992938489</v>
      </c>
      <c r="AC148" s="92">
        <f t="shared" ref="AC148:AC152" si="87">AB148/AA148</f>
        <v>-0.3332853959660167</v>
      </c>
      <c r="AD148" s="92">
        <f t="shared" ref="AD148:AD152" si="88">AB148/$AA$179</f>
        <v>-0.37826167645012276</v>
      </c>
      <c r="AE148" s="17"/>
      <c r="AF148" s="39">
        <v>1987</v>
      </c>
      <c r="AG148" s="26"/>
      <c r="AH148" s="26"/>
      <c r="AI148" s="26"/>
      <c r="AJ148" s="35">
        <v>2724.0853302</v>
      </c>
      <c r="AK148" s="5">
        <v>2724.0853302</v>
      </c>
      <c r="AL148" s="5">
        <f t="shared" ref="AL148:AL152" si="89">AI148+AK148</f>
        <v>2724.0853302</v>
      </c>
      <c r="AM148" s="5">
        <f t="shared" ref="AM148:AM152" si="90">AJ148-AL148</f>
        <v>0</v>
      </c>
      <c r="AN148" s="92">
        <f t="shared" ref="AN148:AN152" si="91">AM148/AL148</f>
        <v>0</v>
      </c>
      <c r="AO148" s="92">
        <f t="shared" ref="AO148:AO152" si="92">AM148/$AL$142</f>
        <v>0</v>
      </c>
    </row>
    <row r="149" spans="1:41" x14ac:dyDescent="0.25">
      <c r="A149" s="17">
        <v>7</v>
      </c>
      <c r="B149" s="17">
        <v>6</v>
      </c>
      <c r="C149" s="17">
        <v>5</v>
      </c>
      <c r="D149" s="17">
        <v>4</v>
      </c>
      <c r="E149" s="17">
        <v>3</v>
      </c>
      <c r="F149" s="17">
        <v>2</v>
      </c>
      <c r="J149" s="39">
        <v>1988</v>
      </c>
      <c r="K149" s="26"/>
      <c r="L149" s="26"/>
      <c r="M149" s="26"/>
      <c r="N149" s="35">
        <v>0</v>
      </c>
      <c r="O149" s="5">
        <v>0</v>
      </c>
      <c r="P149" s="5">
        <f t="shared" si="81"/>
        <v>0</v>
      </c>
      <c r="Q149" s="5">
        <f t="shared" si="82"/>
        <v>0</v>
      </c>
      <c r="R149" s="92" t="e">
        <f t="shared" si="83"/>
        <v>#DIV/0!</v>
      </c>
      <c r="S149" s="92">
        <f t="shared" si="84"/>
        <v>0</v>
      </c>
      <c r="T149" s="17"/>
      <c r="U149" s="39">
        <v>1988</v>
      </c>
      <c r="V149" s="26">
        <v>1</v>
      </c>
      <c r="W149" s="26">
        <v>0</v>
      </c>
      <c r="X149" s="26">
        <v>0</v>
      </c>
      <c r="Y149" s="35">
        <v>2815.0203766099999</v>
      </c>
      <c r="Z149" s="5">
        <v>2550.5921285999998</v>
      </c>
      <c r="AA149" s="5"/>
      <c r="AB149" s="5"/>
      <c r="AC149" s="92" t="e">
        <f t="shared" si="87"/>
        <v>#DIV/0!</v>
      </c>
      <c r="AD149" s="92">
        <f t="shared" si="88"/>
        <v>0</v>
      </c>
      <c r="AE149" s="17" t="s">
        <v>112</v>
      </c>
      <c r="AF149" s="39">
        <v>1988</v>
      </c>
      <c r="AG149" s="26"/>
      <c r="AH149" s="26"/>
      <c r="AI149" s="26"/>
      <c r="AJ149" s="35">
        <v>1302.3498132</v>
      </c>
      <c r="AK149" s="5">
        <v>1302.3498132</v>
      </c>
      <c r="AL149" s="5">
        <f t="shared" si="89"/>
        <v>1302.3498132</v>
      </c>
      <c r="AM149" s="5">
        <f t="shared" si="90"/>
        <v>0</v>
      </c>
      <c r="AN149" s="92">
        <f t="shared" si="91"/>
        <v>0</v>
      </c>
      <c r="AO149" s="92">
        <f t="shared" si="92"/>
        <v>0</v>
      </c>
    </row>
    <row r="150" spans="1:41" x14ac:dyDescent="0.25">
      <c r="J150" s="95">
        <v>1989</v>
      </c>
      <c r="K150" s="96">
        <v>12</v>
      </c>
      <c r="L150" s="96">
        <v>0</v>
      </c>
      <c r="M150" s="96">
        <v>23308.863714352163</v>
      </c>
      <c r="N150" s="97">
        <v>8871.7243796999992</v>
      </c>
      <c r="O150" s="97">
        <v>0</v>
      </c>
      <c r="P150" s="97">
        <f t="shared" si="81"/>
        <v>23308.863714352163</v>
      </c>
      <c r="Q150" s="97">
        <f t="shared" si="82"/>
        <v>-14437.139334652164</v>
      </c>
      <c r="R150" s="98">
        <f t="shared" si="83"/>
        <v>-0.61938408974276438</v>
      </c>
      <c r="S150" s="98">
        <f t="shared" si="84"/>
        <v>-10.271749118534338</v>
      </c>
      <c r="T150" s="17"/>
      <c r="U150" s="39">
        <v>1989</v>
      </c>
      <c r="V150" s="26">
        <v>2</v>
      </c>
      <c r="W150" s="26">
        <v>0</v>
      </c>
      <c r="X150" s="26">
        <v>824.61522617763603</v>
      </c>
      <c r="Y150" s="35">
        <v>3557.0043559999995</v>
      </c>
      <c r="Z150" s="5">
        <v>2948.9479163999995</v>
      </c>
      <c r="AA150" s="5">
        <f t="shared" si="85"/>
        <v>3773.5631425776355</v>
      </c>
      <c r="AB150" s="5">
        <f t="shared" si="86"/>
        <v>-216.55878657763606</v>
      </c>
      <c r="AC150" s="92">
        <f t="shared" si="87"/>
        <v>-5.7388409414479723E-2</v>
      </c>
      <c r="AD150" s="92">
        <f t="shared" si="88"/>
        <v>-2.3640119098141475E-2</v>
      </c>
      <c r="AE150" s="17"/>
      <c r="AF150" s="39">
        <v>1989</v>
      </c>
      <c r="AG150" s="26"/>
      <c r="AH150" s="26"/>
      <c r="AI150" s="26"/>
      <c r="AJ150" s="35">
        <v>917.97339400000033</v>
      </c>
      <c r="AK150" s="5">
        <v>917.97339400000033</v>
      </c>
      <c r="AL150" s="5">
        <f t="shared" si="89"/>
        <v>917.97339400000033</v>
      </c>
      <c r="AM150" s="5">
        <f t="shared" si="90"/>
        <v>0</v>
      </c>
      <c r="AN150" s="92">
        <f t="shared" si="91"/>
        <v>0</v>
      </c>
      <c r="AO150" s="92">
        <f t="shared" si="92"/>
        <v>0</v>
      </c>
    </row>
    <row r="151" spans="1:41" x14ac:dyDescent="0.25">
      <c r="J151" s="39">
        <v>1990</v>
      </c>
      <c r="K151" s="26"/>
      <c r="L151" s="26"/>
      <c r="M151" s="26"/>
      <c r="N151" s="35">
        <v>0</v>
      </c>
      <c r="O151" s="5">
        <v>0</v>
      </c>
      <c r="P151" s="5">
        <f t="shared" si="81"/>
        <v>0</v>
      </c>
      <c r="Q151" s="5">
        <f t="shared" si="82"/>
        <v>0</v>
      </c>
      <c r="R151" s="92" t="e">
        <f t="shared" si="83"/>
        <v>#DIV/0!</v>
      </c>
      <c r="S151" s="92">
        <f t="shared" si="84"/>
        <v>0</v>
      </c>
      <c r="T151" s="17"/>
      <c r="U151" s="39">
        <v>1990</v>
      </c>
      <c r="V151" s="26">
        <v>1</v>
      </c>
      <c r="W151" s="26">
        <v>0</v>
      </c>
      <c r="X151" s="26">
        <v>384.47161760899985</v>
      </c>
      <c r="Y151" s="35">
        <v>2627.5638226100004</v>
      </c>
      <c r="Z151" s="5">
        <v>2358.0842520000001</v>
      </c>
      <c r="AA151" s="5">
        <f t="shared" si="85"/>
        <v>2742.5558696090002</v>
      </c>
      <c r="AB151" s="5">
        <f t="shared" si="86"/>
        <v>-114.99204699899974</v>
      </c>
      <c r="AC151" s="92">
        <f t="shared" si="87"/>
        <v>-4.1928789226596097E-2</v>
      </c>
      <c r="AD151" s="92">
        <f t="shared" si="88"/>
        <v>-1.2552830246954139E-2</v>
      </c>
      <c r="AE151" s="17"/>
      <c r="AF151" s="39">
        <v>1990</v>
      </c>
      <c r="AG151" s="26"/>
      <c r="AH151" s="26"/>
      <c r="AI151" s="26"/>
      <c r="AJ151" s="35">
        <v>877.89376599999991</v>
      </c>
      <c r="AK151" s="5">
        <v>877.89376599999991</v>
      </c>
      <c r="AL151" s="5">
        <f t="shared" si="89"/>
        <v>877.89376599999991</v>
      </c>
      <c r="AM151" s="5">
        <f t="shared" si="90"/>
        <v>0</v>
      </c>
      <c r="AN151" s="92">
        <f t="shared" si="91"/>
        <v>0</v>
      </c>
      <c r="AO151" s="92">
        <f t="shared" si="92"/>
        <v>0</v>
      </c>
    </row>
    <row r="152" spans="1:41" x14ac:dyDescent="0.25">
      <c r="J152" s="39">
        <v>1991</v>
      </c>
      <c r="K152" s="26"/>
      <c r="L152" s="26"/>
      <c r="M152" s="26"/>
      <c r="N152" s="35">
        <v>0</v>
      </c>
      <c r="O152" s="5">
        <v>0</v>
      </c>
      <c r="P152" s="5">
        <f t="shared" si="81"/>
        <v>0</v>
      </c>
      <c r="Q152" s="5">
        <f t="shared" si="82"/>
        <v>0</v>
      </c>
      <c r="R152" s="92" t="e">
        <f t="shared" si="83"/>
        <v>#DIV/0!</v>
      </c>
      <c r="S152" s="92">
        <f t="shared" si="84"/>
        <v>0</v>
      </c>
      <c r="T152" s="17"/>
      <c r="U152" s="39">
        <v>1991</v>
      </c>
      <c r="V152" s="26">
        <v>2</v>
      </c>
      <c r="W152" s="26">
        <v>0</v>
      </c>
      <c r="X152" s="26">
        <v>4388.6090508868119</v>
      </c>
      <c r="Y152" s="35">
        <v>5090.2056275400018</v>
      </c>
      <c r="Z152" s="5">
        <v>2149.9920579999994</v>
      </c>
      <c r="AA152" s="5">
        <f t="shared" si="85"/>
        <v>6538.6011088868108</v>
      </c>
      <c r="AB152" s="5">
        <f t="shared" si="86"/>
        <v>-1448.395481346809</v>
      </c>
      <c r="AC152" s="92">
        <f t="shared" si="87"/>
        <v>-0.221514580447223</v>
      </c>
      <c r="AD152" s="92">
        <f t="shared" si="88"/>
        <v>-0.15811060923161124</v>
      </c>
      <c r="AE152" s="17"/>
      <c r="AF152" s="39">
        <v>1991</v>
      </c>
      <c r="AG152" s="26"/>
      <c r="AH152" s="26"/>
      <c r="AI152" s="26"/>
      <c r="AJ152" s="35">
        <v>4696.0845979999995</v>
      </c>
      <c r="AK152" s="5">
        <v>4696.0845979999995</v>
      </c>
      <c r="AL152" s="5">
        <f t="shared" si="89"/>
        <v>4696.0845979999995</v>
      </c>
      <c r="AM152" s="5">
        <f t="shared" si="90"/>
        <v>0</v>
      </c>
      <c r="AN152" s="92">
        <f t="shared" si="91"/>
        <v>0</v>
      </c>
      <c r="AO152" s="92">
        <f t="shared" si="92"/>
        <v>0</v>
      </c>
    </row>
    <row r="153" spans="1:41" x14ac:dyDescent="0.25">
      <c r="J153" s="39">
        <v>1992</v>
      </c>
      <c r="K153" s="26"/>
      <c r="L153" s="26"/>
      <c r="M153" s="26"/>
      <c r="N153" s="35">
        <v>0.99207000000000001</v>
      </c>
      <c r="O153" s="5">
        <v>0.99207000000000001</v>
      </c>
      <c r="P153" s="5">
        <f t="shared" si="72"/>
        <v>0.99207000000000001</v>
      </c>
      <c r="Q153" s="5">
        <f t="shared" si="73"/>
        <v>0</v>
      </c>
      <c r="R153" s="92">
        <f t="shared" si="74"/>
        <v>0</v>
      </c>
      <c r="S153" s="92">
        <f t="shared" ref="S153:S178" si="93">Q153/$P$179</f>
        <v>0</v>
      </c>
      <c r="T153" s="17"/>
      <c r="U153" s="39">
        <v>1992</v>
      </c>
      <c r="V153" s="26">
        <v>1</v>
      </c>
      <c r="W153" s="26">
        <v>1</v>
      </c>
      <c r="X153" s="26">
        <v>456.28252324438353</v>
      </c>
      <c r="Y153" s="35">
        <v>2724.9008568299996</v>
      </c>
      <c r="Z153" s="5">
        <v>1593.4628339999997</v>
      </c>
      <c r="AA153" s="5">
        <f t="shared" si="75"/>
        <v>2049.7453572443833</v>
      </c>
      <c r="AB153" s="5">
        <f t="shared" si="76"/>
        <v>675.15549958561633</v>
      </c>
      <c r="AC153" s="92">
        <f t="shared" si="77"/>
        <v>0.32938506102693427</v>
      </c>
      <c r="AD153" s="92">
        <f t="shared" ref="AD153:AD178" si="94">AB153/$AA$179</f>
        <v>7.3701726317381561E-2</v>
      </c>
      <c r="AE153" s="17"/>
      <c r="AF153" s="39">
        <v>1992</v>
      </c>
      <c r="AG153" s="26"/>
      <c r="AH153" s="26"/>
      <c r="AI153" s="26"/>
      <c r="AJ153" s="35">
        <v>501.43626999999998</v>
      </c>
      <c r="AK153" s="5">
        <v>501.43626999999998</v>
      </c>
      <c r="AL153" s="5">
        <f t="shared" si="78"/>
        <v>501.43626999999998</v>
      </c>
      <c r="AM153" s="5">
        <f t="shared" si="79"/>
        <v>0</v>
      </c>
      <c r="AN153" s="92">
        <f t="shared" si="80"/>
        <v>0</v>
      </c>
      <c r="AO153" s="92">
        <f t="shared" ref="AO153:AO178" si="95">AM153/$AL$142</f>
        <v>0</v>
      </c>
    </row>
    <row r="154" spans="1:41" x14ac:dyDescent="0.25">
      <c r="J154" s="39">
        <v>1993</v>
      </c>
      <c r="K154" s="26"/>
      <c r="L154" s="26"/>
      <c r="M154" s="26"/>
      <c r="N154" s="35">
        <v>1.499128</v>
      </c>
      <c r="O154" s="5">
        <v>1.499128</v>
      </c>
      <c r="P154" s="5">
        <f t="shared" si="72"/>
        <v>1.499128</v>
      </c>
      <c r="Q154" s="5">
        <f t="shared" si="73"/>
        <v>0</v>
      </c>
      <c r="R154" s="92">
        <f t="shared" si="74"/>
        <v>0</v>
      </c>
      <c r="S154" s="92">
        <f t="shared" si="93"/>
        <v>0</v>
      </c>
      <c r="T154" s="17"/>
      <c r="U154" s="39">
        <v>1993</v>
      </c>
      <c r="V154" s="26">
        <v>3</v>
      </c>
      <c r="W154" s="26">
        <v>1</v>
      </c>
      <c r="X154" s="26">
        <v>2531.4753808579276</v>
      </c>
      <c r="Y154" s="35">
        <v>6017.4684430000016</v>
      </c>
      <c r="Z154" s="5">
        <v>1342.4691239999997</v>
      </c>
      <c r="AA154" s="5">
        <f t="shared" si="75"/>
        <v>3873.9445048579273</v>
      </c>
      <c r="AB154" s="5">
        <f t="shared" si="76"/>
        <v>2143.5239381420743</v>
      </c>
      <c r="AC154" s="92">
        <f t="shared" si="77"/>
        <v>0.55331818394767784</v>
      </c>
      <c r="AD154" s="92">
        <f t="shared" si="94"/>
        <v>0.23399263538646403</v>
      </c>
      <c r="AE154" s="17"/>
      <c r="AF154" s="39">
        <v>1993</v>
      </c>
      <c r="AG154" s="26"/>
      <c r="AH154" s="26"/>
      <c r="AI154" s="26"/>
      <c r="AJ154" s="35">
        <v>461.31255000000004</v>
      </c>
      <c r="AK154" s="5">
        <v>461.31255000000004</v>
      </c>
      <c r="AL154" s="5">
        <f t="shared" si="78"/>
        <v>461.31255000000004</v>
      </c>
      <c r="AM154" s="5">
        <f t="shared" si="79"/>
        <v>0</v>
      </c>
      <c r="AN154" s="92">
        <f t="shared" si="80"/>
        <v>0</v>
      </c>
      <c r="AO154" s="92">
        <f t="shared" si="95"/>
        <v>0</v>
      </c>
    </row>
    <row r="155" spans="1:41" x14ac:dyDescent="0.25">
      <c r="J155" s="39">
        <v>1994</v>
      </c>
      <c r="K155" s="26"/>
      <c r="L155" s="26"/>
      <c r="M155" s="26"/>
      <c r="N155" s="35">
        <v>0</v>
      </c>
      <c r="O155" s="5">
        <v>0</v>
      </c>
      <c r="P155" s="5">
        <f t="shared" si="72"/>
        <v>0</v>
      </c>
      <c r="Q155" s="5">
        <f t="shared" si="73"/>
        <v>0</v>
      </c>
      <c r="R155" s="92" t="e">
        <f t="shared" si="74"/>
        <v>#DIV/0!</v>
      </c>
      <c r="S155" s="92">
        <f t="shared" si="93"/>
        <v>0</v>
      </c>
      <c r="T155" s="17"/>
      <c r="U155" s="39">
        <v>1994</v>
      </c>
      <c r="V155" s="26">
        <v>11</v>
      </c>
      <c r="W155" s="26">
        <v>0</v>
      </c>
      <c r="X155" s="26">
        <v>3777.5855414143361</v>
      </c>
      <c r="Y155" s="35">
        <v>4551.831292247999</v>
      </c>
      <c r="Z155" s="5">
        <v>2184.3838179999998</v>
      </c>
      <c r="AA155" s="5">
        <f t="shared" si="75"/>
        <v>5961.9693594143355</v>
      </c>
      <c r="AB155" s="5">
        <f t="shared" si="76"/>
        <v>-1410.1380671663364</v>
      </c>
      <c r="AC155" s="92">
        <f t="shared" si="77"/>
        <v>-0.236522192946134</v>
      </c>
      <c r="AD155" s="92">
        <f t="shared" si="94"/>
        <v>-0.1539343306242823</v>
      </c>
      <c r="AE155" s="17"/>
      <c r="AF155" s="39">
        <v>1994</v>
      </c>
      <c r="AG155" s="26"/>
      <c r="AH155" s="26"/>
      <c r="AI155" s="26"/>
      <c r="AJ155" s="35">
        <v>544.29369399999996</v>
      </c>
      <c r="AK155" s="5">
        <v>544.29369399999996</v>
      </c>
      <c r="AL155" s="5">
        <f t="shared" si="78"/>
        <v>544.29369399999996</v>
      </c>
      <c r="AM155" s="5">
        <f t="shared" si="79"/>
        <v>0</v>
      </c>
      <c r="AN155" s="92">
        <f t="shared" si="80"/>
        <v>0</v>
      </c>
      <c r="AO155" s="92">
        <f t="shared" si="95"/>
        <v>0</v>
      </c>
    </row>
    <row r="156" spans="1:41" x14ac:dyDescent="0.25">
      <c r="J156" s="39">
        <v>1995</v>
      </c>
      <c r="K156" s="26"/>
      <c r="L156" s="26"/>
      <c r="M156" s="26"/>
      <c r="N156" s="35">
        <v>0</v>
      </c>
      <c r="O156" s="5">
        <v>0</v>
      </c>
      <c r="P156" s="5">
        <f t="shared" si="72"/>
        <v>0</v>
      </c>
      <c r="Q156" s="5">
        <f t="shared" si="73"/>
        <v>0</v>
      </c>
      <c r="R156" s="92" t="e">
        <f t="shared" si="74"/>
        <v>#DIV/0!</v>
      </c>
      <c r="S156" s="92">
        <f t="shared" si="93"/>
        <v>0</v>
      </c>
      <c r="T156" s="17"/>
      <c r="U156" s="39">
        <v>1995</v>
      </c>
      <c r="V156" s="26">
        <v>1</v>
      </c>
      <c r="W156" s="26">
        <v>8</v>
      </c>
      <c r="X156" s="26">
        <v>12449.451619009817</v>
      </c>
      <c r="Y156" s="35">
        <v>16535.589671334001</v>
      </c>
      <c r="Z156" s="5">
        <v>4035.4762079999996</v>
      </c>
      <c r="AA156" s="5">
        <f t="shared" si="75"/>
        <v>16484.927827009815</v>
      </c>
      <c r="AB156" s="5">
        <f t="shared" si="76"/>
        <v>50.66184432418595</v>
      </c>
      <c r="AC156" s="92">
        <f t="shared" si="77"/>
        <v>3.0732220884327312E-3</v>
      </c>
      <c r="AD156" s="92">
        <f t="shared" si="94"/>
        <v>5.5303783904695168E-3</v>
      </c>
      <c r="AE156" s="17"/>
      <c r="AF156" s="39">
        <v>1995</v>
      </c>
      <c r="AG156" s="26"/>
      <c r="AH156" s="26"/>
      <c r="AI156" s="26"/>
      <c r="AJ156" s="35">
        <v>957.70028600000001</v>
      </c>
      <c r="AK156" s="5">
        <v>957.70028600000001</v>
      </c>
      <c r="AL156" s="5">
        <f t="shared" si="78"/>
        <v>957.70028600000001</v>
      </c>
      <c r="AM156" s="5">
        <f t="shared" si="79"/>
        <v>0</v>
      </c>
      <c r="AN156" s="92">
        <f t="shared" si="80"/>
        <v>0</v>
      </c>
      <c r="AO156" s="92">
        <f t="shared" si="95"/>
        <v>0</v>
      </c>
    </row>
    <row r="157" spans="1:41" x14ac:dyDescent="0.25">
      <c r="J157" s="95">
        <v>1996</v>
      </c>
      <c r="K157" s="96">
        <v>1</v>
      </c>
      <c r="L157" s="96">
        <v>0</v>
      </c>
      <c r="M157" s="96">
        <v>941.18952604956746</v>
      </c>
      <c r="N157" s="97">
        <v>4858.8337918999996</v>
      </c>
      <c r="O157" s="97">
        <v>0</v>
      </c>
      <c r="P157" s="97">
        <f t="shared" si="72"/>
        <v>941.18952604956746</v>
      </c>
      <c r="Q157" s="97">
        <f t="shared" si="73"/>
        <v>3917.644265850432</v>
      </c>
      <c r="R157" s="98">
        <f t="shared" si="74"/>
        <v>4.1624392934905128</v>
      </c>
      <c r="S157" s="98">
        <f t="shared" si="93"/>
        <v>2.7873291309098396</v>
      </c>
      <c r="T157" s="17"/>
      <c r="U157" s="39">
        <v>1996</v>
      </c>
      <c r="V157" s="26">
        <v>3</v>
      </c>
      <c r="W157" s="26">
        <v>0</v>
      </c>
      <c r="X157" s="26">
        <v>1737.3817126630679</v>
      </c>
      <c r="Y157" s="35">
        <v>5087.3406238100006</v>
      </c>
      <c r="Z157" s="5">
        <v>1927.5038260000001</v>
      </c>
      <c r="AA157" s="5">
        <f t="shared" si="75"/>
        <v>3664.885538663068</v>
      </c>
      <c r="AB157" s="5">
        <f t="shared" si="76"/>
        <v>1422.4550851469326</v>
      </c>
      <c r="AC157" s="92">
        <f t="shared" si="77"/>
        <v>0.38813083523089703</v>
      </c>
      <c r="AD157" s="92">
        <f t="shared" si="94"/>
        <v>0.15527888826886838</v>
      </c>
      <c r="AE157" s="17"/>
      <c r="AF157" s="39">
        <v>1996</v>
      </c>
      <c r="AG157" s="26"/>
      <c r="AH157" s="26"/>
      <c r="AI157" s="26"/>
      <c r="AJ157" s="35">
        <v>2361.986394</v>
      </c>
      <c r="AK157" s="5">
        <v>2361.986394</v>
      </c>
      <c r="AL157" s="5">
        <f t="shared" si="78"/>
        <v>2361.986394</v>
      </c>
      <c r="AM157" s="5">
        <f t="shared" si="79"/>
        <v>0</v>
      </c>
      <c r="AN157" s="92">
        <f t="shared" si="80"/>
        <v>0</v>
      </c>
      <c r="AO157" s="92">
        <f t="shared" si="95"/>
        <v>0</v>
      </c>
    </row>
    <row r="158" spans="1:41" x14ac:dyDescent="0.25">
      <c r="J158" s="39">
        <v>1997</v>
      </c>
      <c r="K158" s="26"/>
      <c r="L158" s="26"/>
      <c r="M158" s="26"/>
      <c r="N158" s="35">
        <v>0</v>
      </c>
      <c r="O158" s="5">
        <v>0</v>
      </c>
      <c r="P158" s="5">
        <f t="shared" si="72"/>
        <v>0</v>
      </c>
      <c r="Q158" s="5">
        <f t="shared" si="73"/>
        <v>0</v>
      </c>
      <c r="R158" s="92" t="e">
        <f t="shared" si="74"/>
        <v>#DIV/0!</v>
      </c>
      <c r="S158" s="92">
        <f t="shared" si="93"/>
        <v>0</v>
      </c>
      <c r="T158" s="17"/>
      <c r="U158" s="39">
        <v>1997</v>
      </c>
      <c r="V158" s="26">
        <v>3</v>
      </c>
      <c r="W158" s="26">
        <v>0</v>
      </c>
      <c r="X158" s="26">
        <v>3897.8319669706962</v>
      </c>
      <c r="Y158" s="35">
        <v>6735.5867951000037</v>
      </c>
      <c r="Z158" s="5">
        <v>2400.4566639999998</v>
      </c>
      <c r="AA158" s="5">
        <f t="shared" si="75"/>
        <v>6298.2886309706955</v>
      </c>
      <c r="AB158" s="5">
        <f t="shared" si="76"/>
        <v>437.29816412930813</v>
      </c>
      <c r="AC158" s="92">
        <f t="shared" si="77"/>
        <v>6.9431267722310064E-2</v>
      </c>
      <c r="AD158" s="92">
        <f t="shared" si="94"/>
        <v>4.7736602355358052E-2</v>
      </c>
      <c r="AE158" s="17"/>
      <c r="AF158" s="39">
        <v>1997</v>
      </c>
      <c r="AG158" s="26"/>
      <c r="AH158" s="26"/>
      <c r="AI158" s="26"/>
      <c r="AJ158" s="35">
        <v>712.19603000000006</v>
      </c>
      <c r="AK158" s="5">
        <v>712.19603000000006</v>
      </c>
      <c r="AL158" s="5">
        <f t="shared" si="78"/>
        <v>712.19603000000006</v>
      </c>
      <c r="AM158" s="5">
        <f t="shared" si="79"/>
        <v>0</v>
      </c>
      <c r="AN158" s="92">
        <f t="shared" si="80"/>
        <v>0</v>
      </c>
      <c r="AO158" s="92">
        <f t="shared" si="95"/>
        <v>0</v>
      </c>
    </row>
    <row r="159" spans="1:41" x14ac:dyDescent="0.25">
      <c r="J159" s="39">
        <v>1998</v>
      </c>
      <c r="K159" s="26"/>
      <c r="L159" s="26"/>
      <c r="M159" s="26"/>
      <c r="N159" s="35">
        <v>0</v>
      </c>
      <c r="O159" s="5">
        <v>0</v>
      </c>
      <c r="P159" s="5">
        <f t="shared" si="72"/>
        <v>0</v>
      </c>
      <c r="Q159" s="5">
        <f t="shared" si="73"/>
        <v>0</v>
      </c>
      <c r="R159" s="92" t="e">
        <f t="shared" si="74"/>
        <v>#DIV/0!</v>
      </c>
      <c r="S159" s="92">
        <f t="shared" si="93"/>
        <v>0</v>
      </c>
      <c r="T159" s="17"/>
      <c r="U159" s="39">
        <v>1998</v>
      </c>
      <c r="V159" s="26">
        <v>12</v>
      </c>
      <c r="W159" s="26">
        <v>0</v>
      </c>
      <c r="X159" s="26">
        <v>12522.462893613047</v>
      </c>
      <c r="Y159" s="35">
        <v>13214.021018254003</v>
      </c>
      <c r="Z159" s="5">
        <v>1196.43642</v>
      </c>
      <c r="AA159" s="5">
        <f t="shared" si="75"/>
        <v>13718.899313613047</v>
      </c>
      <c r="AB159" s="5">
        <f t="shared" si="76"/>
        <v>-504.87829535904348</v>
      </c>
      <c r="AC159" s="92">
        <f t="shared" si="77"/>
        <v>-3.6801661985962734E-2</v>
      </c>
      <c r="AD159" s="92">
        <f t="shared" si="94"/>
        <v>-5.5113824846241534E-2</v>
      </c>
      <c r="AE159" s="17"/>
      <c r="AF159" s="39">
        <v>1998</v>
      </c>
      <c r="AG159" s="26"/>
      <c r="AH159" s="26"/>
      <c r="AI159" s="26"/>
      <c r="AJ159" s="35">
        <v>317.46239999999995</v>
      </c>
      <c r="AK159" s="5">
        <v>317.46239999999995</v>
      </c>
      <c r="AL159" s="5">
        <f t="shared" si="78"/>
        <v>317.46239999999995</v>
      </c>
      <c r="AM159" s="5">
        <f t="shared" si="79"/>
        <v>0</v>
      </c>
      <c r="AN159" s="92">
        <f t="shared" si="80"/>
        <v>0</v>
      </c>
      <c r="AO159" s="92">
        <f t="shared" si="95"/>
        <v>0</v>
      </c>
    </row>
    <row r="160" spans="1:41" x14ac:dyDescent="0.25">
      <c r="J160" s="39">
        <v>1999</v>
      </c>
      <c r="K160" s="26">
        <v>2</v>
      </c>
      <c r="L160" s="26">
        <v>0</v>
      </c>
      <c r="M160" s="26">
        <v>111.90333998166679</v>
      </c>
      <c r="N160" s="35">
        <v>130.14681050999999</v>
      </c>
      <c r="O160" s="5">
        <v>0</v>
      </c>
      <c r="P160" s="5">
        <f t="shared" si="72"/>
        <v>111.90333998166679</v>
      </c>
      <c r="Q160" s="5">
        <f t="shared" si="73"/>
        <v>18.243470528333205</v>
      </c>
      <c r="R160" s="92">
        <f t="shared" si="74"/>
        <v>0.16302882944621713</v>
      </c>
      <c r="S160" s="92">
        <f t="shared" si="93"/>
        <v>1.2979881122892041E-2</v>
      </c>
      <c r="T160" s="17"/>
      <c r="U160" s="39">
        <v>1999</v>
      </c>
      <c r="V160" s="26">
        <v>8</v>
      </c>
      <c r="W160" s="26">
        <v>0</v>
      </c>
      <c r="X160" s="26">
        <v>1615.1680675023172</v>
      </c>
      <c r="Y160" s="35">
        <v>3098.8083541200003</v>
      </c>
      <c r="Z160" s="5">
        <v>676.30514199999982</v>
      </c>
      <c r="AA160" s="5">
        <f t="shared" si="75"/>
        <v>2291.4732095023169</v>
      </c>
      <c r="AB160" s="5">
        <f t="shared" si="76"/>
        <v>807.33514461768345</v>
      </c>
      <c r="AC160" s="92">
        <f t="shared" si="77"/>
        <v>0.35232144162533235</v>
      </c>
      <c r="AD160" s="92">
        <f t="shared" si="94"/>
        <v>8.8130799366273604E-2</v>
      </c>
      <c r="AE160" s="17"/>
      <c r="AF160" s="39">
        <v>1999</v>
      </c>
      <c r="AG160" s="26">
        <v>1</v>
      </c>
      <c r="AH160" s="26">
        <v>0</v>
      </c>
      <c r="AI160" s="26">
        <v>331.99483341415112</v>
      </c>
      <c r="AJ160" s="35">
        <v>123.27986080299999</v>
      </c>
      <c r="AK160" s="5">
        <v>67.130070000000003</v>
      </c>
      <c r="AL160" s="5">
        <f t="shared" si="78"/>
        <v>399.12490341415111</v>
      </c>
      <c r="AM160" s="5">
        <f t="shared" si="79"/>
        <v>-275.84504261115114</v>
      </c>
      <c r="AN160" s="92">
        <f t="shared" si="80"/>
        <v>-0.69112460849109458</v>
      </c>
      <c r="AO160" s="92">
        <f t="shared" si="95"/>
        <v>-7.9123171280071777E-2</v>
      </c>
    </row>
    <row r="161" spans="10:42" x14ac:dyDescent="0.25">
      <c r="J161" s="39">
        <v>2000</v>
      </c>
      <c r="K161" s="26"/>
      <c r="L161" s="26"/>
      <c r="M161" s="26"/>
      <c r="N161" s="35">
        <v>0</v>
      </c>
      <c r="O161" s="5">
        <v>0</v>
      </c>
      <c r="P161" s="5">
        <f t="shared" si="72"/>
        <v>0</v>
      </c>
      <c r="Q161" s="5">
        <f t="shared" si="73"/>
        <v>0</v>
      </c>
      <c r="R161" s="92" t="e">
        <f t="shared" si="74"/>
        <v>#DIV/0!</v>
      </c>
      <c r="S161" s="92">
        <f t="shared" si="93"/>
        <v>0</v>
      </c>
      <c r="T161" s="17"/>
      <c r="U161" s="39">
        <v>2000</v>
      </c>
      <c r="V161" s="26">
        <v>3</v>
      </c>
      <c r="W161" s="26">
        <v>4</v>
      </c>
      <c r="X161" s="26">
        <v>9805.9373038373633</v>
      </c>
      <c r="Y161" s="35">
        <v>11991.930385499998</v>
      </c>
      <c r="Z161" s="5">
        <v>1072.1631179999999</v>
      </c>
      <c r="AA161" s="5">
        <f t="shared" si="75"/>
        <v>10878.100421837364</v>
      </c>
      <c r="AB161" s="5">
        <f t="shared" si="76"/>
        <v>1113.8299636626343</v>
      </c>
      <c r="AC161" s="92">
        <f t="shared" si="77"/>
        <v>0.10239195452053963</v>
      </c>
      <c r="AD161" s="92">
        <f t="shared" si="94"/>
        <v>0.12158856914643641</v>
      </c>
      <c r="AE161" s="17"/>
      <c r="AF161" s="39">
        <v>2000</v>
      </c>
      <c r="AG161" s="26">
        <v>4</v>
      </c>
      <c r="AH161" s="26">
        <v>0</v>
      </c>
      <c r="AI161" s="26">
        <v>9045.9443876987498</v>
      </c>
      <c r="AJ161" s="35">
        <v>6399.7946306860003</v>
      </c>
      <c r="AK161" s="5">
        <v>36.927049999999994</v>
      </c>
      <c r="AL161" s="5">
        <f t="shared" si="78"/>
        <v>9082.87143769875</v>
      </c>
      <c r="AM161" s="5">
        <f t="shared" si="79"/>
        <v>-2683.0768070127497</v>
      </c>
      <c r="AN161" s="92">
        <f t="shared" si="80"/>
        <v>-0.29539962394233094</v>
      </c>
      <c r="AO161" s="92">
        <f t="shared" si="95"/>
        <v>-0.76961160421548869</v>
      </c>
    </row>
    <row r="162" spans="10:42" x14ac:dyDescent="0.25">
      <c r="J162" s="39">
        <v>2001</v>
      </c>
      <c r="K162" s="26">
        <v>1</v>
      </c>
      <c r="L162" s="26">
        <v>0</v>
      </c>
      <c r="M162" s="26">
        <v>0</v>
      </c>
      <c r="N162" s="35">
        <v>8.0065579632000006</v>
      </c>
      <c r="O162" s="5">
        <v>0</v>
      </c>
      <c r="P162" s="5"/>
      <c r="Q162" s="5"/>
      <c r="R162" s="92" t="e">
        <f t="shared" si="74"/>
        <v>#DIV/0!</v>
      </c>
      <c r="S162" s="92">
        <f t="shared" si="93"/>
        <v>0</v>
      </c>
      <c r="T162" s="17" t="s">
        <v>112</v>
      </c>
      <c r="U162" s="39">
        <v>2001</v>
      </c>
      <c r="V162" s="26">
        <v>10</v>
      </c>
      <c r="W162" s="26">
        <v>0</v>
      </c>
      <c r="X162" s="26">
        <v>9456.024129503221</v>
      </c>
      <c r="Y162" s="35">
        <v>10306.735201092999</v>
      </c>
      <c r="Z162" s="5">
        <v>809.04410800000005</v>
      </c>
      <c r="AA162" s="5">
        <f t="shared" si="75"/>
        <v>10265.068237503221</v>
      </c>
      <c r="AB162" s="5">
        <f t="shared" si="76"/>
        <v>41.666963589777879</v>
      </c>
      <c r="AC162" s="92">
        <f t="shared" si="77"/>
        <v>4.0591024458608528E-3</v>
      </c>
      <c r="AD162" s="92">
        <f t="shared" si="94"/>
        <v>4.5484738683976142E-3</v>
      </c>
      <c r="AE162" s="17"/>
      <c r="AF162" s="39">
        <v>2001</v>
      </c>
      <c r="AG162" s="26"/>
      <c r="AH162" s="26"/>
      <c r="AI162" s="26"/>
      <c r="AJ162" s="35">
        <v>1034.1117219999999</v>
      </c>
      <c r="AK162" s="5">
        <v>1034.1117219999999</v>
      </c>
      <c r="AL162" s="5">
        <f t="shared" si="78"/>
        <v>1034.1117219999999</v>
      </c>
      <c r="AM162" s="5">
        <f t="shared" si="79"/>
        <v>0</v>
      </c>
      <c r="AN162" s="92">
        <f t="shared" si="80"/>
        <v>0</v>
      </c>
      <c r="AO162" s="92">
        <f t="shared" si="95"/>
        <v>0</v>
      </c>
    </row>
    <row r="163" spans="10:42" x14ac:dyDescent="0.25">
      <c r="J163" s="39">
        <v>2002</v>
      </c>
      <c r="K163" s="26">
        <v>0</v>
      </c>
      <c r="L163" s="26">
        <v>0</v>
      </c>
      <c r="M163" s="26">
        <v>0</v>
      </c>
      <c r="N163" s="35">
        <v>0</v>
      </c>
      <c r="O163" s="5">
        <v>0</v>
      </c>
      <c r="P163" s="5">
        <f t="shared" si="72"/>
        <v>0</v>
      </c>
      <c r="Q163" s="5">
        <f t="shared" si="73"/>
        <v>0</v>
      </c>
      <c r="R163" s="92" t="e">
        <f t="shared" si="74"/>
        <v>#DIV/0!</v>
      </c>
      <c r="S163" s="92">
        <f t="shared" si="93"/>
        <v>0</v>
      </c>
      <c r="T163" s="17"/>
      <c r="U163" s="39">
        <v>2002</v>
      </c>
      <c r="V163" s="26">
        <v>13</v>
      </c>
      <c r="W163" s="26">
        <v>7</v>
      </c>
      <c r="X163" s="26">
        <v>6165.8190852886783</v>
      </c>
      <c r="Y163" s="35">
        <v>7941.4954430459993</v>
      </c>
      <c r="Z163" s="5">
        <v>1356.9974379999999</v>
      </c>
      <c r="AA163" s="5">
        <f t="shared" si="75"/>
        <v>7522.8165232886786</v>
      </c>
      <c r="AB163" s="5">
        <f t="shared" si="76"/>
        <v>418.67891975732073</v>
      </c>
      <c r="AC163" s="92">
        <f t="shared" si="77"/>
        <v>5.5654543542461785E-2</v>
      </c>
      <c r="AD163" s="92">
        <f t="shared" si="94"/>
        <v>4.5704077324038736E-2</v>
      </c>
      <c r="AE163" s="17"/>
      <c r="AF163" s="39">
        <v>2002</v>
      </c>
      <c r="AG163" s="26">
        <v>1</v>
      </c>
      <c r="AH163" s="26">
        <v>0</v>
      </c>
      <c r="AI163" s="26">
        <v>0</v>
      </c>
      <c r="AJ163" s="35">
        <v>224.34714001999998</v>
      </c>
      <c r="AK163" s="5">
        <v>186.95007999999999</v>
      </c>
      <c r="AL163" s="5"/>
      <c r="AM163" s="5"/>
      <c r="AN163" s="92" t="e">
        <f t="shared" si="80"/>
        <v>#DIV/0!</v>
      </c>
      <c r="AO163" s="92">
        <f t="shared" si="95"/>
        <v>0</v>
      </c>
      <c r="AP163" t="s">
        <v>112</v>
      </c>
    </row>
    <row r="164" spans="10:42" x14ac:dyDescent="0.25">
      <c r="J164" s="39">
        <v>2003</v>
      </c>
      <c r="K164" s="26"/>
      <c r="L164" s="26"/>
      <c r="M164" s="26"/>
      <c r="N164" s="35">
        <v>0</v>
      </c>
      <c r="O164" s="5">
        <v>0</v>
      </c>
      <c r="P164" s="5">
        <f t="shared" si="72"/>
        <v>0</v>
      </c>
      <c r="Q164" s="5">
        <f t="shared" si="73"/>
        <v>0</v>
      </c>
      <c r="R164" s="92" t="e">
        <f t="shared" si="74"/>
        <v>#DIV/0!</v>
      </c>
      <c r="S164" s="92">
        <f t="shared" si="93"/>
        <v>0</v>
      </c>
      <c r="T164" s="17"/>
      <c r="U164" s="39">
        <v>2003</v>
      </c>
      <c r="V164" s="26">
        <v>21</v>
      </c>
      <c r="W164" s="26">
        <v>1</v>
      </c>
      <c r="X164" s="26">
        <v>16076.980886377616</v>
      </c>
      <c r="Y164" s="35">
        <v>15044.679306772799</v>
      </c>
      <c r="Z164" s="5">
        <v>938.21162200000003</v>
      </c>
      <c r="AA164" s="5">
        <f t="shared" si="75"/>
        <v>17015.192508377615</v>
      </c>
      <c r="AB164" s="5">
        <f t="shared" si="76"/>
        <v>-1970.5132016048155</v>
      </c>
      <c r="AC164" s="92">
        <f t="shared" si="77"/>
        <v>-0.11580904539485004</v>
      </c>
      <c r="AD164" s="92">
        <f t="shared" si="94"/>
        <v>-0.21510633443495905</v>
      </c>
      <c r="AE164" s="17"/>
      <c r="AF164" s="39">
        <v>2003</v>
      </c>
      <c r="AG164" s="26"/>
      <c r="AH164" s="26"/>
      <c r="AI164" s="26"/>
      <c r="AJ164" s="35">
        <v>865.63619000000006</v>
      </c>
      <c r="AK164" s="5">
        <v>865.63619000000006</v>
      </c>
      <c r="AL164" s="5">
        <f t="shared" si="78"/>
        <v>865.63619000000006</v>
      </c>
      <c r="AM164" s="5">
        <f t="shared" si="79"/>
        <v>0</v>
      </c>
      <c r="AN164" s="92">
        <f t="shared" si="80"/>
        <v>0</v>
      </c>
      <c r="AO164" s="92">
        <f t="shared" si="95"/>
        <v>0</v>
      </c>
    </row>
    <row r="165" spans="10:42" x14ac:dyDescent="0.25">
      <c r="J165" s="39">
        <v>2004</v>
      </c>
      <c r="K165" s="26"/>
      <c r="L165" s="26"/>
      <c r="M165" s="26"/>
      <c r="N165" s="35">
        <v>0</v>
      </c>
      <c r="O165" s="5">
        <v>0</v>
      </c>
      <c r="P165" s="5">
        <f t="shared" si="72"/>
        <v>0</v>
      </c>
      <c r="Q165" s="5">
        <f t="shared" si="73"/>
        <v>0</v>
      </c>
      <c r="R165" s="92" t="e">
        <f t="shared" si="74"/>
        <v>#DIV/0!</v>
      </c>
      <c r="S165" s="92">
        <f t="shared" si="93"/>
        <v>0</v>
      </c>
      <c r="T165" s="17"/>
      <c r="U165" s="39">
        <v>2004</v>
      </c>
      <c r="V165" s="26">
        <v>26</v>
      </c>
      <c r="W165" s="26">
        <v>8</v>
      </c>
      <c r="X165" s="26">
        <v>10006.954810671217</v>
      </c>
      <c r="Y165" s="35">
        <v>12801.532333695999</v>
      </c>
      <c r="Z165" s="5">
        <v>949.82986400000016</v>
      </c>
      <c r="AA165" s="5">
        <f t="shared" si="75"/>
        <v>10956.784674671217</v>
      </c>
      <c r="AB165" s="5">
        <f t="shared" si="76"/>
        <v>1844.7476590247825</v>
      </c>
      <c r="AC165" s="92">
        <f t="shared" si="77"/>
        <v>0.16836578556565804</v>
      </c>
      <c r="AD165" s="92">
        <f t="shared" si="94"/>
        <v>0.2013774414538908</v>
      </c>
      <c r="AE165" s="17"/>
      <c r="AF165" s="39">
        <v>2004</v>
      </c>
      <c r="AG165" s="26">
        <v>4</v>
      </c>
      <c r="AH165" s="26">
        <v>0</v>
      </c>
      <c r="AI165" s="26">
        <v>76.593610499007795</v>
      </c>
      <c r="AJ165" s="35">
        <v>1225.5830568599999</v>
      </c>
      <c r="AK165" s="5">
        <v>1030.9370980000001</v>
      </c>
      <c r="AL165" s="5">
        <f t="shared" si="78"/>
        <v>1107.5307084990079</v>
      </c>
      <c r="AM165" s="5">
        <f t="shared" si="79"/>
        <v>118.05234836099203</v>
      </c>
      <c r="AN165" s="92">
        <f t="shared" si="80"/>
        <v>0.10659058701946392</v>
      </c>
      <c r="AO165" s="92">
        <f t="shared" si="95"/>
        <v>3.3862041133538474E-2</v>
      </c>
    </row>
    <row r="166" spans="10:42" x14ac:dyDescent="0.25">
      <c r="J166" s="39">
        <v>2005</v>
      </c>
      <c r="K166" s="26">
        <v>1</v>
      </c>
      <c r="L166" s="26">
        <v>0</v>
      </c>
      <c r="M166" s="26">
        <v>2681.8902132767357</v>
      </c>
      <c r="N166" s="35">
        <v>2565.6342586999999</v>
      </c>
      <c r="O166" s="5">
        <v>0</v>
      </c>
      <c r="P166" s="5">
        <f t="shared" si="72"/>
        <v>2681.8902132767357</v>
      </c>
      <c r="Q166" s="5">
        <f t="shared" si="73"/>
        <v>-116.2559545767358</v>
      </c>
      <c r="R166" s="92">
        <f t="shared" si="74"/>
        <v>-4.3348513671890458E-2</v>
      </c>
      <c r="S166" s="92">
        <f t="shared" si="93"/>
        <v>-8.2713893055097049E-2</v>
      </c>
      <c r="T166" s="17"/>
      <c r="U166" s="39">
        <v>2005</v>
      </c>
      <c r="V166" s="26">
        <v>9</v>
      </c>
      <c r="W166" s="26">
        <v>2</v>
      </c>
      <c r="X166" s="26">
        <v>1659.35267098126</v>
      </c>
      <c r="Y166" s="35">
        <v>2929.7345168371994</v>
      </c>
      <c r="Z166" s="5">
        <v>962.83700400000009</v>
      </c>
      <c r="AA166" s="5">
        <f t="shared" si="75"/>
        <v>2622.1896749812599</v>
      </c>
      <c r="AB166" s="5">
        <f t="shared" si="76"/>
        <v>307.54484185593947</v>
      </c>
      <c r="AC166" s="92">
        <f t="shared" si="77"/>
        <v>0.11728550561779533</v>
      </c>
      <c r="AD166" s="92">
        <f t="shared" si="94"/>
        <v>3.3572392994948123E-2</v>
      </c>
      <c r="AE166" s="17"/>
      <c r="AF166" s="39">
        <v>2005</v>
      </c>
      <c r="AG166" s="26">
        <v>2</v>
      </c>
      <c r="AH166" s="26">
        <v>0</v>
      </c>
      <c r="AI166" s="26">
        <v>121.53476106054502</v>
      </c>
      <c r="AJ166" s="35">
        <v>336.02317016000001</v>
      </c>
      <c r="AK166" s="5">
        <v>7.0106279999999996</v>
      </c>
      <c r="AL166" s="5">
        <f t="shared" si="78"/>
        <v>128.54538906054503</v>
      </c>
      <c r="AM166" s="5">
        <f t="shared" si="79"/>
        <v>207.47778109945497</v>
      </c>
      <c r="AN166" s="92">
        <f t="shared" si="80"/>
        <v>1.6140429665799423</v>
      </c>
      <c r="AO166" s="92">
        <f t="shared" si="95"/>
        <v>5.951276069834209E-2</v>
      </c>
    </row>
    <row r="167" spans="10:42" x14ac:dyDescent="0.25">
      <c r="J167" s="39">
        <v>2006</v>
      </c>
      <c r="K167" s="26"/>
      <c r="L167" s="26"/>
      <c r="M167" s="26"/>
      <c r="N167" s="35">
        <v>0</v>
      </c>
      <c r="O167" s="5">
        <v>0</v>
      </c>
      <c r="P167" s="5">
        <f t="shared" si="72"/>
        <v>0</v>
      </c>
      <c r="Q167" s="5">
        <f t="shared" si="73"/>
        <v>0</v>
      </c>
      <c r="R167" s="92" t="e">
        <f t="shared" si="74"/>
        <v>#DIV/0!</v>
      </c>
      <c r="S167" s="92">
        <f t="shared" si="93"/>
        <v>0</v>
      </c>
      <c r="T167" s="17"/>
      <c r="U167" s="39">
        <v>2006</v>
      </c>
      <c r="V167" s="26">
        <v>1</v>
      </c>
      <c r="W167" s="26">
        <v>2</v>
      </c>
      <c r="X167" s="26">
        <v>2399.3877238014384</v>
      </c>
      <c r="Y167" s="35">
        <v>2069.1649261600001</v>
      </c>
      <c r="Z167" s="5">
        <v>436.33443199999988</v>
      </c>
      <c r="AA167" s="5">
        <f t="shared" si="75"/>
        <v>2835.722155801438</v>
      </c>
      <c r="AB167" s="5">
        <f t="shared" si="76"/>
        <v>-766.55722964143797</v>
      </c>
      <c r="AC167" s="92">
        <f t="shared" si="77"/>
        <v>-0.27032169850391846</v>
      </c>
      <c r="AD167" s="92">
        <f t="shared" si="94"/>
        <v>-8.3679376351549886E-2</v>
      </c>
      <c r="AE167" s="17"/>
      <c r="AF167" s="39">
        <v>2006</v>
      </c>
      <c r="AG167" s="26">
        <v>2</v>
      </c>
      <c r="AH167" s="26">
        <v>0</v>
      </c>
      <c r="AI167" s="26">
        <v>521.69385910966707</v>
      </c>
      <c r="AJ167" s="35">
        <v>763.5134329</v>
      </c>
      <c r="AK167" s="5">
        <v>19.532755999999999</v>
      </c>
      <c r="AL167" s="5">
        <f t="shared" si="78"/>
        <v>541.22661510966702</v>
      </c>
      <c r="AM167" s="5">
        <f t="shared" si="79"/>
        <v>222.28681779033298</v>
      </c>
      <c r="AN167" s="92">
        <f t="shared" si="80"/>
        <v>0.41070932504916025</v>
      </c>
      <c r="AO167" s="92">
        <f t="shared" si="95"/>
        <v>6.3760572931955306E-2</v>
      </c>
    </row>
    <row r="168" spans="10:42" x14ac:dyDescent="0.25">
      <c r="J168" s="39">
        <v>2007</v>
      </c>
      <c r="K168" s="26"/>
      <c r="L168" s="26"/>
      <c r="M168" s="26"/>
      <c r="N168" s="35">
        <v>0</v>
      </c>
      <c r="O168" s="5">
        <v>0</v>
      </c>
      <c r="P168" s="5">
        <f t="shared" si="72"/>
        <v>0</v>
      </c>
      <c r="Q168" s="5">
        <f t="shared" si="73"/>
        <v>0</v>
      </c>
      <c r="R168" s="92" t="e">
        <f t="shared" si="74"/>
        <v>#DIV/0!</v>
      </c>
      <c r="S168" s="92">
        <f t="shared" si="93"/>
        <v>0</v>
      </c>
      <c r="T168" s="17"/>
      <c r="U168" s="39">
        <v>2007</v>
      </c>
      <c r="V168" s="26">
        <v>6</v>
      </c>
      <c r="W168" s="26">
        <v>1</v>
      </c>
      <c r="X168" s="26">
        <v>714.27209210924889</v>
      </c>
      <c r="Y168" s="35">
        <v>1528.1398969800002</v>
      </c>
      <c r="Z168" s="5">
        <v>798.55462119999959</v>
      </c>
      <c r="AA168" s="5">
        <f t="shared" si="75"/>
        <v>1512.8267133092486</v>
      </c>
      <c r="AB168" s="5">
        <f t="shared" si="76"/>
        <v>15.313183670751641</v>
      </c>
      <c r="AC168" s="92">
        <f t="shared" si="77"/>
        <v>1.0122232464585885E-2</v>
      </c>
      <c r="AD168" s="92">
        <f t="shared" si="94"/>
        <v>1.6716268661696881E-3</v>
      </c>
      <c r="AE168" s="17"/>
      <c r="AF168" s="95">
        <v>2007</v>
      </c>
      <c r="AG168" s="96">
        <v>4</v>
      </c>
      <c r="AH168" s="96">
        <v>3</v>
      </c>
      <c r="AI168" s="96">
        <v>7221.8836674999275</v>
      </c>
      <c r="AJ168" s="97">
        <v>11340.695949230001</v>
      </c>
      <c r="AK168" s="97">
        <v>45.042182599999997</v>
      </c>
      <c r="AL168" s="97">
        <f t="shared" si="78"/>
        <v>7266.9258500999276</v>
      </c>
      <c r="AM168" s="97">
        <f t="shared" si="79"/>
        <v>4073.7700991300735</v>
      </c>
      <c r="AN168" s="98">
        <f t="shared" si="80"/>
        <v>0.5605905692672033</v>
      </c>
      <c r="AO168" s="98">
        <f t="shared" si="95"/>
        <v>1.1685169552366408</v>
      </c>
    </row>
    <row r="169" spans="10:42" x14ac:dyDescent="0.25">
      <c r="J169" s="39">
        <v>2008</v>
      </c>
      <c r="K169" s="26"/>
      <c r="L169" s="26"/>
      <c r="M169" s="26"/>
      <c r="N169" s="35">
        <v>0</v>
      </c>
      <c r="O169" s="5">
        <v>0</v>
      </c>
      <c r="P169" s="5">
        <f t="shared" si="72"/>
        <v>0</v>
      </c>
      <c r="Q169" s="5">
        <f t="shared" si="73"/>
        <v>0</v>
      </c>
      <c r="R169" s="92" t="e">
        <f t="shared" si="74"/>
        <v>#DIV/0!</v>
      </c>
      <c r="S169" s="92">
        <f t="shared" si="93"/>
        <v>0</v>
      </c>
      <c r="T169" s="17"/>
      <c r="U169" s="39">
        <v>2008</v>
      </c>
      <c r="V169" s="26">
        <v>26</v>
      </c>
      <c r="W169" s="26">
        <v>5</v>
      </c>
      <c r="X169" s="26">
        <v>20617.913610626845</v>
      </c>
      <c r="Y169" s="35">
        <v>18948.819420559015</v>
      </c>
      <c r="Z169" s="5">
        <v>2606.8116332</v>
      </c>
      <c r="AA169" s="5">
        <f t="shared" si="75"/>
        <v>23224.725243826844</v>
      </c>
      <c r="AB169" s="5">
        <f t="shared" si="76"/>
        <v>-4275.905823267829</v>
      </c>
      <c r="AC169" s="92">
        <f t="shared" si="77"/>
        <v>-0.18411007141642588</v>
      </c>
      <c r="AD169" s="92">
        <f t="shared" si="94"/>
        <v>-0.46676897535279666</v>
      </c>
      <c r="AE169" s="17"/>
      <c r="AF169" s="39">
        <v>2008</v>
      </c>
      <c r="AG169" s="26">
        <v>2</v>
      </c>
      <c r="AH169" s="26">
        <v>0</v>
      </c>
      <c r="AI169" s="26">
        <v>115.17181131251891</v>
      </c>
      <c r="AJ169" s="35">
        <v>311.90565734200004</v>
      </c>
      <c r="AK169" s="5">
        <v>85.809645799999998</v>
      </c>
      <c r="AL169" s="5">
        <f t="shared" si="78"/>
        <v>200.98145711251891</v>
      </c>
      <c r="AM169" s="5">
        <f t="shared" si="79"/>
        <v>110.92420022948113</v>
      </c>
      <c r="AN169" s="92">
        <f t="shared" si="80"/>
        <v>0.5519126083725252</v>
      </c>
      <c r="AO169" s="92">
        <f t="shared" si="95"/>
        <v>3.1817408827732228E-2</v>
      </c>
    </row>
    <row r="170" spans="10:42" x14ac:dyDescent="0.25">
      <c r="J170" s="108">
        <v>2009</v>
      </c>
      <c r="K170" s="109"/>
      <c r="L170" s="109"/>
      <c r="M170" s="109"/>
      <c r="N170" s="35">
        <v>0</v>
      </c>
      <c r="O170" s="7">
        <v>0</v>
      </c>
      <c r="P170" s="7">
        <f t="shared" si="72"/>
        <v>0</v>
      </c>
      <c r="Q170" s="7">
        <f t="shared" si="73"/>
        <v>0</v>
      </c>
      <c r="R170" s="102" t="e">
        <f t="shared" si="74"/>
        <v>#DIV/0!</v>
      </c>
      <c r="S170" s="102">
        <f t="shared" si="93"/>
        <v>0</v>
      </c>
      <c r="T170" s="17"/>
      <c r="U170" s="95">
        <v>2009</v>
      </c>
      <c r="V170" s="96">
        <v>5</v>
      </c>
      <c r="W170" s="96">
        <v>39</v>
      </c>
      <c r="X170" s="96">
        <v>42497.177085595598</v>
      </c>
      <c r="Y170" s="97">
        <v>35439.860461719974</v>
      </c>
      <c r="Z170" s="97">
        <v>583.95003880000013</v>
      </c>
      <c r="AA170" s="97">
        <f t="shared" si="75"/>
        <v>43081.1271243956</v>
      </c>
      <c r="AB170" s="97">
        <f t="shared" si="76"/>
        <v>-7641.2666626756254</v>
      </c>
      <c r="AC170" s="98">
        <f t="shared" si="77"/>
        <v>-0.17736923736028709</v>
      </c>
      <c r="AD170" s="98">
        <f t="shared" si="94"/>
        <v>-0.83414049746510954</v>
      </c>
      <c r="AE170" s="17"/>
      <c r="AF170" s="108">
        <v>2009</v>
      </c>
      <c r="AG170" s="109"/>
      <c r="AH170" s="109"/>
      <c r="AI170" s="109"/>
      <c r="AJ170" s="35">
        <v>51.600867600000001</v>
      </c>
      <c r="AK170" s="7">
        <v>51.600867600000001</v>
      </c>
      <c r="AL170" s="7">
        <f t="shared" si="78"/>
        <v>51.600867600000001</v>
      </c>
      <c r="AM170" s="7">
        <f t="shared" si="79"/>
        <v>0</v>
      </c>
      <c r="AN170" s="102">
        <f t="shared" si="80"/>
        <v>0</v>
      </c>
      <c r="AO170" s="102">
        <f t="shared" si="95"/>
        <v>0</v>
      </c>
    </row>
    <row r="171" spans="10:42" x14ac:dyDescent="0.25">
      <c r="J171" s="39">
        <v>2010</v>
      </c>
      <c r="K171" s="26">
        <v>1</v>
      </c>
      <c r="L171" s="26">
        <v>0</v>
      </c>
      <c r="M171" s="26">
        <v>4.6450072216966944</v>
      </c>
      <c r="N171" s="35">
        <v>11.059758735000001</v>
      </c>
      <c r="O171" s="5">
        <v>0</v>
      </c>
      <c r="P171" s="5">
        <f t="shared" si="72"/>
        <v>4.6450072216966944</v>
      </c>
      <c r="Q171" s="5">
        <f t="shared" si="73"/>
        <v>6.4147515133033064</v>
      </c>
      <c r="R171" s="92">
        <f>Q171/P171</f>
        <v>1.3809992551443597</v>
      </c>
      <c r="S171" s="92">
        <f t="shared" si="93"/>
        <v>4.5639732827291134E-3</v>
      </c>
      <c r="T171" s="17"/>
      <c r="U171" s="39">
        <v>2010</v>
      </c>
      <c r="V171" s="26">
        <v>7</v>
      </c>
      <c r="W171" s="26">
        <v>0</v>
      </c>
      <c r="X171" s="26">
        <v>254.1778724034549</v>
      </c>
      <c r="Y171" s="35">
        <v>1543.5001520210003</v>
      </c>
      <c r="Z171" s="5">
        <v>1356.9379137999999</v>
      </c>
      <c r="AA171" s="5">
        <f t="shared" si="75"/>
        <v>1611.1157862034547</v>
      </c>
      <c r="AB171" s="5">
        <f t="shared" si="76"/>
        <v>-67.615634182454414</v>
      </c>
      <c r="AC171" s="92">
        <f t="shared" si="77"/>
        <v>-4.1968202882418898E-2</v>
      </c>
      <c r="AD171" s="92">
        <f t="shared" si="94"/>
        <v>-7.3810980853300486E-3</v>
      </c>
      <c r="AE171" s="17"/>
      <c r="AF171" s="39">
        <v>2010</v>
      </c>
      <c r="AG171" s="26">
        <v>4</v>
      </c>
      <c r="AH171" s="26">
        <v>0</v>
      </c>
      <c r="AI171" s="26">
        <v>186.74178480175695</v>
      </c>
      <c r="AJ171" s="35">
        <v>428.89158016699997</v>
      </c>
      <c r="AK171" s="5">
        <v>91.402715999999998</v>
      </c>
      <c r="AL171" s="5">
        <f t="shared" si="78"/>
        <v>278.14450080175698</v>
      </c>
      <c r="AM171" s="5">
        <f t="shared" si="79"/>
        <v>150.747079365243</v>
      </c>
      <c r="AN171" s="92">
        <f t="shared" si="80"/>
        <v>0.54197397011521564</v>
      </c>
      <c r="AO171" s="92">
        <f t="shared" si="95"/>
        <v>4.3240171611133818E-2</v>
      </c>
    </row>
    <row r="172" spans="10:42" x14ac:dyDescent="0.25">
      <c r="J172" s="39">
        <v>2011</v>
      </c>
      <c r="K172" s="26"/>
      <c r="L172" s="26"/>
      <c r="M172" s="26"/>
      <c r="N172" s="35">
        <v>0</v>
      </c>
      <c r="O172" s="5">
        <v>0</v>
      </c>
      <c r="P172" s="5">
        <f t="shared" si="72"/>
        <v>0</v>
      </c>
      <c r="Q172" s="5">
        <f t="shared" si="73"/>
        <v>0</v>
      </c>
      <c r="R172" s="92" t="e">
        <f t="shared" si="74"/>
        <v>#DIV/0!</v>
      </c>
      <c r="S172" s="92">
        <f t="shared" si="93"/>
        <v>0</v>
      </c>
      <c r="T172" s="17"/>
      <c r="U172" s="39">
        <v>2011</v>
      </c>
      <c r="V172" s="26">
        <v>7</v>
      </c>
      <c r="W172" s="26">
        <v>0</v>
      </c>
      <c r="X172" s="26">
        <v>4088.1017811358684</v>
      </c>
      <c r="Y172" s="35">
        <v>5307.719333062998</v>
      </c>
      <c r="Z172" s="5">
        <v>587.13568580000015</v>
      </c>
      <c r="AA172" s="5">
        <f t="shared" si="75"/>
        <v>4675.2374669358687</v>
      </c>
      <c r="AB172" s="5">
        <f t="shared" si="76"/>
        <v>632.48186612712925</v>
      </c>
      <c r="AC172" s="92">
        <f t="shared" si="77"/>
        <v>0.13528336701614757</v>
      </c>
      <c r="AD172" s="92">
        <f t="shared" si="94"/>
        <v>6.9043361753875793E-2</v>
      </c>
      <c r="AE172" s="17"/>
      <c r="AF172" s="95">
        <v>2011</v>
      </c>
      <c r="AG172" s="96">
        <v>1</v>
      </c>
      <c r="AH172" s="96">
        <v>11</v>
      </c>
      <c r="AI172" s="96">
        <v>44367.145959214438</v>
      </c>
      <c r="AJ172" s="97">
        <v>28257.458215400002</v>
      </c>
      <c r="AK172" s="97">
        <v>136.83731739999999</v>
      </c>
      <c r="AL172" s="97">
        <f t="shared" si="78"/>
        <v>44503.983276614439</v>
      </c>
      <c r="AM172" s="97">
        <f t="shared" si="79"/>
        <v>-16246.525061214437</v>
      </c>
      <c r="AN172" s="98">
        <f t="shared" si="80"/>
        <v>-0.36505777382294491</v>
      </c>
      <c r="AO172" s="98">
        <f t="shared" si="95"/>
        <v>-4.660140247423401</v>
      </c>
    </row>
    <row r="173" spans="10:42" x14ac:dyDescent="0.25">
      <c r="J173" s="39">
        <v>2012</v>
      </c>
      <c r="K173" s="26"/>
      <c r="L173" s="26"/>
      <c r="M173" s="26"/>
      <c r="N173" s="35">
        <v>0</v>
      </c>
      <c r="O173" s="5">
        <v>0</v>
      </c>
      <c r="P173" s="5">
        <f t="shared" si="72"/>
        <v>0</v>
      </c>
      <c r="Q173" s="5">
        <f t="shared" si="73"/>
        <v>0</v>
      </c>
      <c r="R173" s="92" t="e">
        <f t="shared" si="74"/>
        <v>#DIV/0!</v>
      </c>
      <c r="S173" s="92">
        <f t="shared" si="93"/>
        <v>0</v>
      </c>
      <c r="T173" s="17"/>
      <c r="U173" s="39">
        <v>2012</v>
      </c>
      <c r="V173" s="26">
        <v>2</v>
      </c>
      <c r="W173" s="26">
        <v>0</v>
      </c>
      <c r="X173" s="26">
        <v>4423.6204394884335</v>
      </c>
      <c r="Y173" s="35">
        <v>4140.4292211999982</v>
      </c>
      <c r="Z173" s="5">
        <v>632.0588200000002</v>
      </c>
      <c r="AA173" s="5">
        <f t="shared" si="75"/>
        <v>5055.6792594884337</v>
      </c>
      <c r="AB173" s="5">
        <f t="shared" si="76"/>
        <v>-915.25003828843546</v>
      </c>
      <c r="AC173" s="92">
        <f t="shared" si="77"/>
        <v>-0.18103403940641724</v>
      </c>
      <c r="AD173" s="92">
        <f t="shared" si="94"/>
        <v>-9.9911069191184532E-2</v>
      </c>
      <c r="AE173" s="17"/>
      <c r="AF173" s="39">
        <v>2012</v>
      </c>
      <c r="AG173" s="26">
        <v>2</v>
      </c>
      <c r="AH173" s="26">
        <v>0</v>
      </c>
      <c r="AI173" s="26">
        <v>3020.1462436600509</v>
      </c>
      <c r="AJ173" s="35">
        <v>1926.4907573599999</v>
      </c>
      <c r="AK173" s="5">
        <v>18.254087999999999</v>
      </c>
      <c r="AL173" s="5">
        <f t="shared" si="78"/>
        <v>3038.4003316600511</v>
      </c>
      <c r="AM173" s="5">
        <f t="shared" si="79"/>
        <v>-1111.9095743000512</v>
      </c>
      <c r="AN173" s="92">
        <f t="shared" si="80"/>
        <v>-0.36595229493427278</v>
      </c>
      <c r="AO173" s="92">
        <f t="shared" si="95"/>
        <v>-0.31893925249660482</v>
      </c>
    </row>
    <row r="174" spans="10:42" x14ac:dyDescent="0.25">
      <c r="J174" s="39">
        <v>2013</v>
      </c>
      <c r="K174" s="26"/>
      <c r="L174" s="26"/>
      <c r="M174" s="26"/>
      <c r="N174" s="35">
        <v>127.88223219999999</v>
      </c>
      <c r="O174" s="5">
        <v>127.88223219999999</v>
      </c>
      <c r="P174" s="5">
        <f t="shared" si="72"/>
        <v>127.88223219999999</v>
      </c>
      <c r="Q174" s="5">
        <f t="shared" si="73"/>
        <v>0</v>
      </c>
      <c r="R174" s="92">
        <f t="shared" si="74"/>
        <v>0</v>
      </c>
      <c r="S174" s="92">
        <f t="shared" si="93"/>
        <v>0</v>
      </c>
      <c r="T174" s="17"/>
      <c r="U174" s="39">
        <v>2013</v>
      </c>
      <c r="V174" s="26">
        <v>24</v>
      </c>
      <c r="W174" s="26">
        <v>0</v>
      </c>
      <c r="X174" s="26">
        <v>10353.891210465648</v>
      </c>
      <c r="Y174" s="35">
        <v>12293.687583550003</v>
      </c>
      <c r="Z174" s="5">
        <v>781.14269040000011</v>
      </c>
      <c r="AA174" s="5">
        <f t="shared" si="75"/>
        <v>11135.033900865648</v>
      </c>
      <c r="AB174" s="5">
        <f t="shared" si="76"/>
        <v>1158.6536826843549</v>
      </c>
      <c r="AC174" s="92">
        <f t="shared" si="77"/>
        <v>0.1040547961505784</v>
      </c>
      <c r="AD174" s="92">
        <f t="shared" si="94"/>
        <v>0.1264816426293506</v>
      </c>
      <c r="AE174" s="17"/>
      <c r="AF174" s="39">
        <v>2013</v>
      </c>
      <c r="AG174" s="26">
        <v>1</v>
      </c>
      <c r="AH174" s="26">
        <v>0</v>
      </c>
      <c r="AI174" s="26">
        <v>14.37657333857735</v>
      </c>
      <c r="AJ174" s="35">
        <v>586.85853611100003</v>
      </c>
      <c r="AK174" s="5">
        <v>554.96616260000008</v>
      </c>
      <c r="AL174" s="5">
        <f t="shared" si="78"/>
        <v>569.34273593857745</v>
      </c>
      <c r="AM174" s="5">
        <f t="shared" si="79"/>
        <v>17.515800172422587</v>
      </c>
      <c r="AN174" s="92">
        <f t="shared" si="80"/>
        <v>3.0764948890666534E-2</v>
      </c>
      <c r="AO174" s="92">
        <f t="shared" si="95"/>
        <v>5.0242181045963711E-3</v>
      </c>
    </row>
    <row r="175" spans="10:42" x14ac:dyDescent="0.25">
      <c r="J175" s="39">
        <v>2014</v>
      </c>
      <c r="K175" s="26"/>
      <c r="L175" s="26"/>
      <c r="M175" s="26"/>
      <c r="N175" s="35">
        <v>1068.2697944000001</v>
      </c>
      <c r="O175" s="5">
        <v>1068.2697944000001</v>
      </c>
      <c r="P175" s="5">
        <f t="shared" si="72"/>
        <v>1068.2697944000001</v>
      </c>
      <c r="Q175" s="5">
        <f t="shared" si="73"/>
        <v>0</v>
      </c>
      <c r="R175" s="92">
        <f t="shared" si="74"/>
        <v>0</v>
      </c>
      <c r="S175" s="92">
        <f t="shared" si="93"/>
        <v>0</v>
      </c>
      <c r="T175" s="17"/>
      <c r="U175" s="39">
        <v>2014</v>
      </c>
      <c r="V175" s="26">
        <v>20</v>
      </c>
      <c r="W175" s="26">
        <v>0</v>
      </c>
      <c r="X175" s="26">
        <v>12251.914120018382</v>
      </c>
      <c r="Y175" s="35">
        <v>13352.870020279397</v>
      </c>
      <c r="Z175" s="5">
        <v>1161.6742872000002</v>
      </c>
      <c r="AA175" s="5">
        <f t="shared" si="75"/>
        <v>13413.588407218382</v>
      </c>
      <c r="AB175" s="5">
        <f t="shared" si="76"/>
        <v>-60.718386938984622</v>
      </c>
      <c r="AC175" s="92">
        <f t="shared" si="77"/>
        <v>-4.5266326277247082E-3</v>
      </c>
      <c r="AD175" s="92">
        <f t="shared" si="94"/>
        <v>-6.6281766783452527E-3</v>
      </c>
      <c r="AE175" s="17"/>
      <c r="AF175" s="95">
        <v>2014</v>
      </c>
      <c r="AG175" s="96">
        <v>3</v>
      </c>
      <c r="AH175" s="96">
        <v>0</v>
      </c>
      <c r="AI175" s="96">
        <v>1001.1309842233742</v>
      </c>
      <c r="AJ175" s="97">
        <v>4627.2323217920002</v>
      </c>
      <c r="AK175" s="97">
        <v>2105.3114298</v>
      </c>
      <c r="AL175" s="97">
        <f t="shared" si="78"/>
        <v>3106.4424140233741</v>
      </c>
      <c r="AM175" s="97">
        <f t="shared" si="79"/>
        <v>1520.7899077686261</v>
      </c>
      <c r="AN175" s="98">
        <f t="shared" si="80"/>
        <v>0.48955998698168146</v>
      </c>
      <c r="AO175" s="98">
        <f t="shared" si="95"/>
        <v>0.43622216014592674</v>
      </c>
    </row>
    <row r="176" spans="10:42" x14ac:dyDescent="0.25">
      <c r="J176" s="39">
        <v>2015</v>
      </c>
      <c r="K176" s="26"/>
      <c r="L176" s="26"/>
      <c r="M176" s="26"/>
      <c r="N176" s="35">
        <v>3094.7359097999997</v>
      </c>
      <c r="O176" s="5">
        <v>3094.7359097999997</v>
      </c>
      <c r="P176" s="5">
        <f t="shared" si="72"/>
        <v>3094.7359097999997</v>
      </c>
      <c r="Q176" s="5">
        <f t="shared" si="73"/>
        <v>0</v>
      </c>
      <c r="R176" s="92">
        <f t="shared" si="74"/>
        <v>0</v>
      </c>
      <c r="S176" s="92">
        <f t="shared" si="93"/>
        <v>0</v>
      </c>
      <c r="T176" s="17"/>
      <c r="U176" s="95">
        <v>2015</v>
      </c>
      <c r="V176" s="96">
        <v>9</v>
      </c>
      <c r="W176" s="96">
        <v>1</v>
      </c>
      <c r="X176" s="96">
        <v>19520.831242616277</v>
      </c>
      <c r="Y176" s="97">
        <v>11889.988831369999</v>
      </c>
      <c r="Z176" s="97">
        <v>1784.9808452000004</v>
      </c>
      <c r="AA176" s="97">
        <f t="shared" si="75"/>
        <v>21305.812087816277</v>
      </c>
      <c r="AB176" s="97">
        <f t="shared" si="76"/>
        <v>-9415.8232564462778</v>
      </c>
      <c r="AC176" s="98">
        <f t="shared" si="77"/>
        <v>-0.44193683947070544</v>
      </c>
      <c r="AD176" s="98">
        <f t="shared" si="94"/>
        <v>-1.0278557000948176</v>
      </c>
      <c r="AE176" s="17"/>
      <c r="AF176" s="39">
        <v>2015</v>
      </c>
      <c r="AG176" s="26"/>
      <c r="AH176" s="26"/>
      <c r="AI176" s="26"/>
      <c r="AJ176" s="35">
        <v>3539.9019694000003</v>
      </c>
      <c r="AK176" s="5">
        <v>3539.9019694000003</v>
      </c>
      <c r="AL176" s="5">
        <f t="shared" si="78"/>
        <v>3539.9019694000003</v>
      </c>
      <c r="AM176" s="5">
        <f t="shared" si="79"/>
        <v>0</v>
      </c>
      <c r="AN176" s="92">
        <f t="shared" si="80"/>
        <v>0</v>
      </c>
      <c r="AO176" s="92">
        <f t="shared" si="95"/>
        <v>0</v>
      </c>
    </row>
    <row r="177" spans="10:41" x14ac:dyDescent="0.25">
      <c r="J177" s="39">
        <v>2016</v>
      </c>
      <c r="K177" s="26"/>
      <c r="L177" s="26"/>
      <c r="M177" s="26"/>
      <c r="N177" s="35">
        <v>8023.3308514</v>
      </c>
      <c r="O177" s="5">
        <v>8023.3308514</v>
      </c>
      <c r="P177" s="5">
        <f t="shared" si="72"/>
        <v>8023.3308514</v>
      </c>
      <c r="Q177" s="5">
        <f t="shared" si="73"/>
        <v>0</v>
      </c>
      <c r="R177" s="92">
        <f t="shared" si="74"/>
        <v>0</v>
      </c>
      <c r="S177" s="92">
        <f t="shared" si="93"/>
        <v>0</v>
      </c>
      <c r="T177" s="17"/>
      <c r="U177" s="39">
        <v>2016</v>
      </c>
      <c r="V177" s="26">
        <v>5</v>
      </c>
      <c r="W177" s="26">
        <v>1</v>
      </c>
      <c r="X177" s="26">
        <v>5047.9191249643673</v>
      </c>
      <c r="Y177" s="35">
        <v>4904.7116833216996</v>
      </c>
      <c r="Z177" s="5">
        <v>1290.1716027999998</v>
      </c>
      <c r="AA177" s="5">
        <f t="shared" si="75"/>
        <v>6338.0907277643673</v>
      </c>
      <c r="AB177" s="5">
        <f t="shared" si="76"/>
        <v>-1433.3790444426677</v>
      </c>
      <c r="AC177" s="92">
        <f t="shared" si="77"/>
        <v>-0.22615312812795013</v>
      </c>
      <c r="AD177" s="92">
        <f t="shared" si="94"/>
        <v>-0.15647137601252242</v>
      </c>
      <c r="AE177" s="17"/>
      <c r="AF177" s="39">
        <v>2016</v>
      </c>
      <c r="AG177" s="26">
        <v>2</v>
      </c>
      <c r="AH177" s="26">
        <v>0</v>
      </c>
      <c r="AI177" s="26">
        <v>676.94941382433615</v>
      </c>
      <c r="AJ177" s="35">
        <v>3178.6036792</v>
      </c>
      <c r="AK177" s="5">
        <v>1891.4189331999996</v>
      </c>
      <c r="AL177" s="5">
        <f t="shared" si="78"/>
        <v>2568.3683470243359</v>
      </c>
      <c r="AM177" s="5">
        <f t="shared" si="79"/>
        <v>610.2353321756641</v>
      </c>
      <c r="AN177" s="92">
        <f t="shared" si="80"/>
        <v>0.23759650086120687</v>
      </c>
      <c r="AO177" s="92">
        <f t="shared" si="95"/>
        <v>0.17503941434593931</v>
      </c>
    </row>
    <row r="178" spans="10:41" x14ac:dyDescent="0.25">
      <c r="J178" s="108">
        <v>2017</v>
      </c>
      <c r="K178" s="109">
        <v>0</v>
      </c>
      <c r="L178" s="109">
        <v>0</v>
      </c>
      <c r="M178" s="109">
        <v>0</v>
      </c>
      <c r="N178" s="35">
        <v>4205.8895833999995</v>
      </c>
      <c r="O178" s="7">
        <v>4205.8895833999995</v>
      </c>
      <c r="P178" s="7">
        <f t="shared" si="72"/>
        <v>4205.8895833999995</v>
      </c>
      <c r="Q178" s="7">
        <f t="shared" si="73"/>
        <v>0</v>
      </c>
      <c r="R178" s="102">
        <f t="shared" si="74"/>
        <v>0</v>
      </c>
      <c r="S178" s="102">
        <f t="shared" si="93"/>
        <v>0</v>
      </c>
      <c r="T178" s="17"/>
      <c r="U178" s="108">
        <v>2017</v>
      </c>
      <c r="V178" s="109">
        <v>15</v>
      </c>
      <c r="W178" s="109">
        <v>0</v>
      </c>
      <c r="X178" s="109">
        <v>6148.3617516935865</v>
      </c>
      <c r="Y178" s="35">
        <v>5271.8319395250001</v>
      </c>
      <c r="Z178" s="7">
        <v>711.88518139999996</v>
      </c>
      <c r="AA178" s="7">
        <f t="shared" si="75"/>
        <v>6860.2469330935864</v>
      </c>
      <c r="AB178" s="7">
        <f t="shared" si="76"/>
        <v>-1588.4149935685864</v>
      </c>
      <c r="AC178" s="102">
        <f t="shared" si="77"/>
        <v>-0.23153904065845343</v>
      </c>
      <c r="AD178" s="102">
        <f t="shared" si="94"/>
        <v>-0.17339550252685437</v>
      </c>
      <c r="AE178" s="17"/>
      <c r="AF178" s="108">
        <v>2017</v>
      </c>
      <c r="AG178" s="109"/>
      <c r="AH178" s="109"/>
      <c r="AI178" s="109"/>
      <c r="AJ178" s="35">
        <v>2871.9743073999998</v>
      </c>
      <c r="AK178" s="7">
        <v>2871.9743073999998</v>
      </c>
      <c r="AL178" s="7">
        <f t="shared" si="78"/>
        <v>2871.9743073999998</v>
      </c>
      <c r="AM178" s="7">
        <f t="shared" si="79"/>
        <v>0</v>
      </c>
      <c r="AN178" s="102">
        <f t="shared" si="80"/>
        <v>0</v>
      </c>
      <c r="AO178" s="102">
        <f t="shared" si="95"/>
        <v>0</v>
      </c>
    </row>
    <row r="179" spans="10:41" x14ac:dyDescent="0.25">
      <c r="J179" s="108" t="s">
        <v>104</v>
      </c>
      <c r="K179" s="109"/>
      <c r="L179" s="109"/>
      <c r="M179" s="109"/>
      <c r="N179" s="7"/>
      <c r="O179" s="7"/>
      <c r="P179" s="7">
        <f>AVERAGE(P147:P178)</f>
        <v>1405.5190764542524</v>
      </c>
      <c r="Q179" s="7"/>
      <c r="R179" s="102"/>
      <c r="S179" s="17"/>
      <c r="T179" s="17"/>
      <c r="U179" s="108" t="s">
        <v>104</v>
      </c>
      <c r="V179" s="109"/>
      <c r="W179" s="109"/>
      <c r="X179" s="109"/>
      <c r="Y179" s="7"/>
      <c r="Z179" s="7"/>
      <c r="AA179" s="7">
        <f>AVERAGE(AA147:AA178)</f>
        <v>9160.647020372302</v>
      </c>
      <c r="AB179" s="7"/>
      <c r="AC179" s="102"/>
      <c r="AD179" s="17"/>
      <c r="AE179" s="17"/>
      <c r="AF179" s="108" t="s">
        <v>104</v>
      </c>
      <c r="AG179" s="109"/>
      <c r="AH179" s="109"/>
      <c r="AI179" s="109"/>
      <c r="AJ179" s="7"/>
      <c r="AK179" s="7"/>
      <c r="AL179" s="7">
        <f>AVERAGE(AL147:AL178)</f>
        <v>3249.464678595391</v>
      </c>
      <c r="AM179" s="7"/>
      <c r="AN179" s="102"/>
      <c r="AO179" s="17"/>
    </row>
  </sheetData>
  <mergeCells count="10">
    <mergeCell ref="J145:S145"/>
    <mergeCell ref="U145:AD145"/>
    <mergeCell ref="AF145:AO145"/>
    <mergeCell ref="A118:G118"/>
    <mergeCell ref="A51:C51"/>
    <mergeCell ref="K51:M51"/>
    <mergeCell ref="J108:S108"/>
    <mergeCell ref="U108:AD108"/>
    <mergeCell ref="AF108:AO108"/>
    <mergeCell ref="A135:G13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E106"/>
  <sheetViews>
    <sheetView topLeftCell="AF1" workbookViewId="0">
      <selection activeCell="A39" sqref="A39:K39"/>
    </sheetView>
  </sheetViews>
  <sheetFormatPr defaultRowHeight="15" x14ac:dyDescent="0.25"/>
  <cols>
    <col min="1" max="1" width="13.28515625" customWidth="1"/>
    <col min="2" max="2" width="11.5703125" bestFit="1" customWidth="1"/>
    <col min="3" max="3" width="17.28515625" bestFit="1" customWidth="1"/>
    <col min="4" max="4" width="16.5703125" bestFit="1" customWidth="1"/>
    <col min="5" max="5" width="16.5703125" style="6" customWidth="1"/>
    <col min="6" max="6" width="13.28515625" bestFit="1" customWidth="1"/>
    <col min="8" max="8" width="13.5703125" customWidth="1"/>
    <col min="9" max="9" width="12.7109375" bestFit="1" customWidth="1"/>
    <col min="10" max="10" width="17.28515625" bestFit="1" customWidth="1"/>
    <col min="11" max="11" width="16.5703125" bestFit="1" customWidth="1"/>
    <col min="13" max="13" width="12.7109375" bestFit="1" customWidth="1"/>
    <col min="14" max="14" width="12.7109375" customWidth="1"/>
    <col min="15" max="15" width="11.28515625" customWidth="1"/>
    <col min="16" max="16" width="10.7109375" bestFit="1" customWidth="1"/>
    <col min="17" max="17" width="16.7109375" bestFit="1" customWidth="1"/>
    <col min="18" max="18" width="15.28515625" bestFit="1" customWidth="1"/>
    <col min="22" max="22" width="11.5703125" bestFit="1" customWidth="1"/>
    <col min="23" max="23" width="18.140625" bestFit="1" customWidth="1"/>
    <col min="24" max="24" width="16.5703125" bestFit="1" customWidth="1"/>
    <col min="28" max="28" width="16.42578125" customWidth="1"/>
    <col min="29" max="29" width="18.140625" bestFit="1" customWidth="1"/>
    <col min="30" max="30" width="16.42578125" customWidth="1"/>
    <col min="31" max="31" width="9.85546875" customWidth="1"/>
    <col min="32" max="32" width="11.7109375" customWidth="1"/>
    <col min="34" max="34" width="11.28515625" bestFit="1" customWidth="1"/>
    <col min="35" max="35" width="17.28515625" bestFit="1" customWidth="1"/>
    <col min="36" max="36" width="15.7109375" bestFit="1" customWidth="1"/>
    <col min="40" max="40" width="10.28515625" bestFit="1" customWidth="1"/>
    <col min="45" max="45" width="10.85546875" bestFit="1" customWidth="1"/>
    <col min="46" max="46" width="10" bestFit="1" customWidth="1"/>
    <col min="73" max="73" width="9.140625" style="17"/>
  </cols>
  <sheetData>
    <row r="1" spans="1:83" x14ac:dyDescent="0.25">
      <c r="A1" t="s">
        <v>33</v>
      </c>
      <c r="B1" s="25"/>
      <c r="C1" s="25"/>
      <c r="D1" s="25"/>
      <c r="O1" t="s">
        <v>46</v>
      </c>
      <c r="U1" t="s">
        <v>326</v>
      </c>
      <c r="AA1" s="17" t="s">
        <v>327</v>
      </c>
      <c r="AB1" s="17"/>
      <c r="AC1" s="17"/>
      <c r="AD1" s="17"/>
      <c r="AE1" s="17"/>
      <c r="CB1" t="s">
        <v>287</v>
      </c>
      <c r="CC1" t="s">
        <v>286</v>
      </c>
      <c r="CD1" s="17" t="s">
        <v>288</v>
      </c>
      <c r="CE1" t="s">
        <v>289</v>
      </c>
    </row>
    <row r="2" spans="1:83" s="17" customFormat="1" x14ac:dyDescent="0.25">
      <c r="B2" s="53" t="s">
        <v>0</v>
      </c>
      <c r="C2" s="53" t="s">
        <v>3</v>
      </c>
      <c r="D2" s="53" t="s">
        <v>11</v>
      </c>
      <c r="I2" s="53" t="s">
        <v>0</v>
      </c>
      <c r="J2" s="53" t="s">
        <v>3</v>
      </c>
      <c r="K2" s="53" t="s">
        <v>11</v>
      </c>
      <c r="O2"/>
      <c r="P2" s="30" t="s">
        <v>0</v>
      </c>
      <c r="Q2" s="30" t="s">
        <v>3</v>
      </c>
      <c r="R2" s="30" t="s">
        <v>11</v>
      </c>
      <c r="S2"/>
      <c r="T2"/>
      <c r="U2"/>
      <c r="V2" s="30" t="s">
        <v>0</v>
      </c>
      <c r="W2" s="30" t="s">
        <v>3</v>
      </c>
      <c r="X2" s="30" t="s">
        <v>11</v>
      </c>
      <c r="Y2"/>
      <c r="Z2"/>
      <c r="AA2"/>
      <c r="AB2" s="30" t="s">
        <v>0</v>
      </c>
      <c r="AC2" s="30" t="s">
        <v>3</v>
      </c>
      <c r="AD2" s="30" t="s">
        <v>11</v>
      </c>
      <c r="AF2"/>
      <c r="AG2"/>
      <c r="AH2"/>
      <c r="AI2"/>
      <c r="AJ2"/>
      <c r="AK2"/>
      <c r="AL2"/>
      <c r="AM2"/>
      <c r="AN2"/>
      <c r="CB2" s="17">
        <v>1990</v>
      </c>
      <c r="CC2" s="17">
        <v>2</v>
      </c>
      <c r="CD2" s="75">
        <v>313</v>
      </c>
      <c r="CE2" s="17">
        <f>CC2/CD2</f>
        <v>6.3897763578274758E-3</v>
      </c>
    </row>
    <row r="3" spans="1:83" x14ac:dyDescent="0.25">
      <c r="A3" s="13" t="s">
        <v>20</v>
      </c>
      <c r="B3" s="53" t="s">
        <v>316</v>
      </c>
      <c r="C3" s="53" t="s">
        <v>316</v>
      </c>
      <c r="D3" s="53" t="s">
        <v>316</v>
      </c>
      <c r="E3" s="13" t="s">
        <v>5</v>
      </c>
      <c r="F3" s="4" t="s">
        <v>328</v>
      </c>
      <c r="G3" s="2"/>
      <c r="H3" s="13" t="s">
        <v>20</v>
      </c>
      <c r="I3" s="53" t="s">
        <v>305</v>
      </c>
      <c r="J3" s="53" t="s">
        <v>305</v>
      </c>
      <c r="K3" s="53" t="s">
        <v>305</v>
      </c>
      <c r="L3" s="13" t="s">
        <v>5</v>
      </c>
      <c r="M3" s="30" t="s">
        <v>329</v>
      </c>
      <c r="O3" s="30" t="s">
        <v>20</v>
      </c>
      <c r="P3" s="30" t="s">
        <v>1</v>
      </c>
      <c r="Q3" s="30" t="s">
        <v>1</v>
      </c>
      <c r="R3" s="30" t="s">
        <v>1</v>
      </c>
      <c r="S3" s="17"/>
      <c r="T3" s="17"/>
      <c r="U3" s="30" t="s">
        <v>20</v>
      </c>
      <c r="V3" s="30" t="s">
        <v>322</v>
      </c>
      <c r="W3" s="333" t="s">
        <v>322</v>
      </c>
      <c r="X3" s="333" t="s">
        <v>322</v>
      </c>
      <c r="Y3" s="17"/>
      <c r="Z3" s="17"/>
      <c r="AA3" s="30" t="s">
        <v>20</v>
      </c>
      <c r="AB3" s="30" t="s">
        <v>306</v>
      </c>
      <c r="AC3" s="333" t="s">
        <v>306</v>
      </c>
      <c r="AD3" s="333" t="s">
        <v>306</v>
      </c>
      <c r="AE3" s="17"/>
      <c r="CB3">
        <v>1991</v>
      </c>
      <c r="CD3" s="75"/>
      <c r="CE3" s="17"/>
    </row>
    <row r="4" spans="1:83" x14ac:dyDescent="0.25">
      <c r="A4" s="14">
        <v>1986</v>
      </c>
      <c r="B4" s="52">
        <f>P4+V4</f>
        <v>4910.2592833999979</v>
      </c>
      <c r="C4" s="52">
        <f t="shared" ref="C4:D4" si="0">Q4+W4</f>
        <v>1010433.7497615999</v>
      </c>
      <c r="D4" s="52">
        <f t="shared" si="0"/>
        <v>0</v>
      </c>
      <c r="E4" s="11">
        <f>SUM(B4:D4)</f>
        <v>1015344.009045</v>
      </c>
      <c r="F4" s="5"/>
      <c r="H4" s="14">
        <v>1986</v>
      </c>
      <c r="I4" s="52">
        <f>P4+AB4</f>
        <v>4910.2592833999979</v>
      </c>
      <c r="J4" s="52">
        <f t="shared" ref="J4:K4" si="1">Q4+AC4</f>
        <v>1016232.2559616</v>
      </c>
      <c r="K4" s="52">
        <f t="shared" si="1"/>
        <v>0</v>
      </c>
      <c r="L4" s="24">
        <f>SUM(I4:K4)</f>
        <v>1021142.515245</v>
      </c>
      <c r="M4" s="5"/>
      <c r="O4" s="42">
        <v>1986</v>
      </c>
      <c r="P4" s="5">
        <v>0</v>
      </c>
      <c r="Q4" s="5">
        <v>0</v>
      </c>
      <c r="R4" s="5">
        <v>0</v>
      </c>
      <c r="U4" s="42">
        <v>1986</v>
      </c>
      <c r="V4" s="5">
        <v>4910.2592833999979</v>
      </c>
      <c r="W4" s="5">
        <v>1010433.7497615999</v>
      </c>
      <c r="X4" s="5">
        <v>0</v>
      </c>
      <c r="AA4" s="42">
        <v>1986</v>
      </c>
      <c r="AB4" s="5">
        <v>4910.2592833999979</v>
      </c>
      <c r="AC4" s="5">
        <v>1016232.2559616</v>
      </c>
      <c r="AD4" s="5">
        <v>0</v>
      </c>
      <c r="AE4" s="17"/>
      <c r="CB4" s="17">
        <v>1992</v>
      </c>
      <c r="CC4">
        <v>1</v>
      </c>
      <c r="CD4" s="75">
        <v>288</v>
      </c>
      <c r="CE4" s="17">
        <f t="shared" ref="CE4:CE30" si="2">CC4/CD4</f>
        <v>3.472222222222222E-3</v>
      </c>
    </row>
    <row r="5" spans="1:83" x14ac:dyDescent="0.25">
      <c r="A5" s="14">
        <v>1987</v>
      </c>
      <c r="B5" s="52">
        <f t="shared" ref="B5:B34" si="3">P5+V5</f>
        <v>11655.751020930002</v>
      </c>
      <c r="C5" s="52">
        <f t="shared" ref="C5:C34" si="4">Q5+W5</f>
        <v>3810.3751809999999</v>
      </c>
      <c r="D5" s="52">
        <f t="shared" ref="D5:D34" si="5">R5+X5</f>
        <v>185.98063436000001</v>
      </c>
      <c r="E5" s="11">
        <f t="shared" ref="E5:E27" si="6">SUM(B5:D5)</f>
        <v>15652.106836290001</v>
      </c>
      <c r="F5" s="5"/>
      <c r="H5" s="14">
        <v>1987</v>
      </c>
      <c r="I5" s="52">
        <f t="shared" ref="I5:K5" si="7">P5+AB5</f>
        <v>11661.440889730002</v>
      </c>
      <c r="J5" s="52">
        <f t="shared" si="7"/>
        <v>3832.2319356999997</v>
      </c>
      <c r="K5" s="52">
        <f t="shared" si="7"/>
        <v>186.67541173000001</v>
      </c>
      <c r="L5" s="24">
        <f t="shared" ref="L5:L27" si="8">SUM(I5:K5)</f>
        <v>15680.348237160002</v>
      </c>
      <c r="M5" s="5"/>
      <c r="O5" s="42">
        <v>1987</v>
      </c>
      <c r="P5" s="5">
        <v>0</v>
      </c>
      <c r="Q5" s="5">
        <v>0</v>
      </c>
      <c r="R5" s="5">
        <v>0</v>
      </c>
      <c r="U5" s="42">
        <v>1987</v>
      </c>
      <c r="V5" s="5">
        <v>11655.751020930002</v>
      </c>
      <c r="W5" s="5">
        <v>3810.3751809999999</v>
      </c>
      <c r="X5" s="5">
        <v>185.98063436000001</v>
      </c>
      <c r="AA5" s="42">
        <v>1987</v>
      </c>
      <c r="AB5" s="5">
        <v>11661.440889730002</v>
      </c>
      <c r="AC5" s="5">
        <v>3832.2319356999997</v>
      </c>
      <c r="AD5" s="5">
        <v>186.67541173000001</v>
      </c>
      <c r="AE5" s="17"/>
      <c r="CB5" s="17">
        <v>1993</v>
      </c>
      <c r="CD5" s="75"/>
      <c r="CE5" s="17"/>
    </row>
    <row r="6" spans="1:83" x14ac:dyDescent="0.25">
      <c r="A6" s="14">
        <v>1988</v>
      </c>
      <c r="B6" s="11">
        <f t="shared" si="3"/>
        <v>13922.531807399999</v>
      </c>
      <c r="C6" s="11">
        <f t="shared" si="4"/>
        <v>1581581.8541400002</v>
      </c>
      <c r="D6" s="11">
        <f t="shared" si="5"/>
        <v>534.67352212000003</v>
      </c>
      <c r="E6" s="11">
        <f t="shared" si="6"/>
        <v>1596039.0594695203</v>
      </c>
      <c r="F6" s="5"/>
      <c r="H6" s="14">
        <v>1988</v>
      </c>
      <c r="I6" s="24">
        <f t="shared" ref="I6:K6" si="9">P6+AB6</f>
        <v>13922.531807399999</v>
      </c>
      <c r="J6" s="24">
        <f t="shared" si="9"/>
        <v>1590658.0024400002</v>
      </c>
      <c r="K6" s="24">
        <f t="shared" si="9"/>
        <v>536.42095523</v>
      </c>
      <c r="L6" s="24">
        <f t="shared" si="8"/>
        <v>1605116.9552026303</v>
      </c>
      <c r="M6" s="5"/>
      <c r="O6" s="42">
        <v>1988</v>
      </c>
      <c r="P6" s="5">
        <v>0</v>
      </c>
      <c r="Q6" s="5">
        <v>0</v>
      </c>
      <c r="R6" s="5">
        <v>0</v>
      </c>
      <c r="U6" s="42">
        <v>1988</v>
      </c>
      <c r="V6" s="5">
        <v>13922.531807399999</v>
      </c>
      <c r="W6" s="5">
        <v>1581581.8541400002</v>
      </c>
      <c r="X6" s="5">
        <v>534.67352212000003</v>
      </c>
      <c r="AA6" s="42">
        <v>1988</v>
      </c>
      <c r="AB6" s="5">
        <v>13922.531807399999</v>
      </c>
      <c r="AC6" s="5">
        <v>1590658.0024400002</v>
      </c>
      <c r="AD6" s="5">
        <v>536.42095523</v>
      </c>
      <c r="AE6" s="17"/>
      <c r="CB6" s="17">
        <v>1994</v>
      </c>
      <c r="CC6">
        <v>6</v>
      </c>
      <c r="CD6" s="75">
        <v>387</v>
      </c>
      <c r="CE6" s="17">
        <f t="shared" si="2"/>
        <v>1.5503875968992248E-2</v>
      </c>
    </row>
    <row r="7" spans="1:83" x14ac:dyDescent="0.25">
      <c r="A7" s="14">
        <v>1989</v>
      </c>
      <c r="B7" s="11">
        <f t="shared" si="3"/>
        <v>3818.0276915999993</v>
      </c>
      <c r="C7" s="11">
        <f t="shared" si="4"/>
        <v>218.7315936</v>
      </c>
      <c r="D7" s="11">
        <f t="shared" si="5"/>
        <v>0</v>
      </c>
      <c r="E7" s="11">
        <f t="shared" si="6"/>
        <v>4036.7592851999993</v>
      </c>
      <c r="F7" s="5"/>
      <c r="G7" s="2"/>
      <c r="H7" s="14">
        <v>1989</v>
      </c>
      <c r="I7" s="24">
        <f t="shared" ref="I7:K7" si="10">P7+AB7</f>
        <v>3818.0276915999993</v>
      </c>
      <c r="J7" s="24">
        <f t="shared" si="10"/>
        <v>218.7315936</v>
      </c>
      <c r="K7" s="24">
        <f t="shared" si="10"/>
        <v>0</v>
      </c>
      <c r="L7" s="24">
        <f t="shared" si="8"/>
        <v>4036.7592851999993</v>
      </c>
      <c r="M7" s="5"/>
      <c r="O7" s="42">
        <v>1989</v>
      </c>
      <c r="P7" s="5">
        <v>0</v>
      </c>
      <c r="Q7" s="5">
        <v>0</v>
      </c>
      <c r="R7" s="5">
        <v>0</v>
      </c>
      <c r="U7" s="42">
        <v>1989</v>
      </c>
      <c r="V7" s="5">
        <v>3818.0276915999993</v>
      </c>
      <c r="W7" s="5">
        <v>218.7315936</v>
      </c>
      <c r="X7" s="5">
        <v>0</v>
      </c>
      <c r="AA7" s="42">
        <v>1989</v>
      </c>
      <c r="AB7" s="5">
        <v>3818.0276915999993</v>
      </c>
      <c r="AC7" s="5">
        <v>218.7315936</v>
      </c>
      <c r="AD7" s="5">
        <v>0</v>
      </c>
      <c r="AE7" s="17"/>
      <c r="CB7" s="17">
        <v>1995</v>
      </c>
      <c r="CC7">
        <v>4</v>
      </c>
      <c r="CD7" s="75">
        <v>361</v>
      </c>
      <c r="CE7" s="17">
        <f t="shared" si="2"/>
        <v>1.1080332409972299E-2</v>
      </c>
    </row>
    <row r="8" spans="1:83" x14ac:dyDescent="0.25">
      <c r="A8" s="14">
        <v>1990</v>
      </c>
      <c r="B8" s="11">
        <f t="shared" si="3"/>
        <v>2767.4343800000001</v>
      </c>
      <c r="C8" s="11">
        <f t="shared" si="4"/>
        <v>59.568292</v>
      </c>
      <c r="D8" s="11">
        <f t="shared" si="5"/>
        <v>0</v>
      </c>
      <c r="E8" s="11">
        <f t="shared" si="6"/>
        <v>2827.0026720000001</v>
      </c>
      <c r="F8" s="5"/>
      <c r="H8" s="14">
        <v>1990</v>
      </c>
      <c r="I8" s="24">
        <f t="shared" ref="I8:K8" si="11">P8+AB8</f>
        <v>2767.4343800000001</v>
      </c>
      <c r="J8" s="24">
        <f t="shared" si="11"/>
        <v>59.568292</v>
      </c>
      <c r="K8" s="24">
        <f t="shared" si="11"/>
        <v>0</v>
      </c>
      <c r="L8" s="24">
        <f t="shared" si="8"/>
        <v>2827.0026720000001</v>
      </c>
      <c r="M8" s="5"/>
      <c r="O8" s="42">
        <v>1990</v>
      </c>
      <c r="P8" s="5">
        <v>0</v>
      </c>
      <c r="Q8" s="5">
        <v>0</v>
      </c>
      <c r="R8" s="5">
        <v>0</v>
      </c>
      <c r="U8" s="42">
        <v>1990</v>
      </c>
      <c r="V8" s="5">
        <v>2767.4343800000001</v>
      </c>
      <c r="W8" s="5">
        <v>59.568292</v>
      </c>
      <c r="X8" s="5">
        <v>0</v>
      </c>
      <c r="AA8" s="42">
        <v>1990</v>
      </c>
      <c r="AB8" s="5">
        <v>2767.4343800000001</v>
      </c>
      <c r="AC8" s="5">
        <v>59.568292</v>
      </c>
      <c r="AD8" s="5">
        <v>0</v>
      </c>
      <c r="AE8" s="17"/>
      <c r="CB8" s="17">
        <v>1996</v>
      </c>
      <c r="CC8">
        <v>1</v>
      </c>
      <c r="CD8" s="75">
        <v>361</v>
      </c>
      <c r="CE8" s="17">
        <f t="shared" si="2"/>
        <v>2.7700831024930748E-3</v>
      </c>
    </row>
    <row r="9" spans="1:83" x14ac:dyDescent="0.25">
      <c r="A9" s="14">
        <v>1991</v>
      </c>
      <c r="B9" s="11">
        <f t="shared" si="3"/>
        <v>19987.737095999997</v>
      </c>
      <c r="C9" s="11">
        <f t="shared" si="4"/>
        <v>196.431738</v>
      </c>
      <c r="D9" s="11">
        <f t="shared" si="5"/>
        <v>7382.7143560000004</v>
      </c>
      <c r="E9" s="11">
        <f t="shared" si="6"/>
        <v>27566.883189999997</v>
      </c>
      <c r="F9" s="5"/>
      <c r="H9" s="14">
        <v>1991</v>
      </c>
      <c r="I9" s="24">
        <f t="shared" ref="I9:K9" si="12">P9+AB9</f>
        <v>19987.737095999997</v>
      </c>
      <c r="J9" s="24">
        <f t="shared" si="12"/>
        <v>196.431738</v>
      </c>
      <c r="K9" s="24">
        <f t="shared" si="12"/>
        <v>7382.7143560000004</v>
      </c>
      <c r="L9" s="24">
        <f t="shared" si="8"/>
        <v>27566.883189999997</v>
      </c>
      <c r="M9" s="5"/>
      <c r="O9" s="42">
        <v>1991</v>
      </c>
      <c r="P9" s="5">
        <v>2799</v>
      </c>
      <c r="Q9" s="5">
        <v>117</v>
      </c>
      <c r="R9" s="5">
        <v>7372</v>
      </c>
      <c r="U9" s="42">
        <v>1991</v>
      </c>
      <c r="V9" s="5">
        <v>17188.737095999997</v>
      </c>
      <c r="W9" s="5">
        <v>79.431737999999996</v>
      </c>
      <c r="X9" s="5">
        <v>10.714355999999999</v>
      </c>
      <c r="AA9" s="42">
        <v>1991</v>
      </c>
      <c r="AB9" s="5">
        <v>17188.737095999997</v>
      </c>
      <c r="AC9" s="5">
        <v>79.431737999999996</v>
      </c>
      <c r="AD9" s="5">
        <v>10.714355999999999</v>
      </c>
      <c r="AE9" s="17"/>
      <c r="CB9" s="17">
        <v>1997</v>
      </c>
      <c r="CC9">
        <v>2</v>
      </c>
      <c r="CD9" s="75">
        <v>400</v>
      </c>
      <c r="CE9" s="17">
        <f t="shared" si="2"/>
        <v>5.0000000000000001E-3</v>
      </c>
    </row>
    <row r="10" spans="1:83" x14ac:dyDescent="0.25">
      <c r="A10" s="14">
        <v>1992</v>
      </c>
      <c r="B10" s="11">
        <f t="shared" si="3"/>
        <v>67740.989946469985</v>
      </c>
      <c r="C10" s="11">
        <f t="shared" si="4"/>
        <v>9298.0478839999996</v>
      </c>
      <c r="D10" s="11">
        <f t="shared" si="5"/>
        <v>21029.809057499999</v>
      </c>
      <c r="E10" s="11">
        <f t="shared" si="6"/>
        <v>98068.846887969979</v>
      </c>
      <c r="F10" s="5"/>
      <c r="H10" s="14">
        <v>1992</v>
      </c>
      <c r="I10" s="24">
        <f t="shared" ref="I10:K10" si="13">P10+AB10</f>
        <v>68079.062040309989</v>
      </c>
      <c r="J10" s="24">
        <f t="shared" si="13"/>
        <v>9298.0478839999996</v>
      </c>
      <c r="K10" s="24">
        <f t="shared" si="13"/>
        <v>21048.426603799999</v>
      </c>
      <c r="L10" s="24">
        <f t="shared" si="8"/>
        <v>98425.53652810998</v>
      </c>
      <c r="M10" s="5"/>
      <c r="O10" s="42">
        <v>1992</v>
      </c>
      <c r="P10" s="5">
        <v>1703</v>
      </c>
      <c r="Q10" s="5">
        <v>4956</v>
      </c>
      <c r="R10" s="5">
        <v>13649</v>
      </c>
      <c r="U10" s="42">
        <v>1992</v>
      </c>
      <c r="V10" s="5">
        <v>66037.989946469985</v>
      </c>
      <c r="W10" s="5">
        <v>4342.0478839999996</v>
      </c>
      <c r="X10" s="5">
        <v>7380.8090574999997</v>
      </c>
      <c r="AA10" s="42">
        <v>1992</v>
      </c>
      <c r="AB10" s="5">
        <v>66376.062040309989</v>
      </c>
      <c r="AC10" s="5">
        <v>4342.0478839999996</v>
      </c>
      <c r="AD10" s="5">
        <v>7399.4266038000005</v>
      </c>
      <c r="AE10" s="17"/>
      <c r="CB10" s="17">
        <v>1998</v>
      </c>
      <c r="CC10">
        <v>3</v>
      </c>
      <c r="CD10" s="75">
        <v>426</v>
      </c>
      <c r="CE10" s="17">
        <f t="shared" si="2"/>
        <v>7.0422535211267607E-3</v>
      </c>
    </row>
    <row r="11" spans="1:83" x14ac:dyDescent="0.25">
      <c r="A11" s="14">
        <v>1993</v>
      </c>
      <c r="B11" s="11">
        <f t="shared" si="3"/>
        <v>54252.492221</v>
      </c>
      <c r="C11" s="11">
        <f t="shared" si="4"/>
        <v>32068.247145400001</v>
      </c>
      <c r="D11" s="11">
        <f t="shared" si="5"/>
        <v>14162.182699610001</v>
      </c>
      <c r="E11" s="11">
        <f t="shared" si="6"/>
        <v>100482.92206601</v>
      </c>
      <c r="F11" s="5"/>
      <c r="H11" s="14">
        <v>1993</v>
      </c>
      <c r="I11" s="24">
        <f t="shared" ref="I11:K11" si="14">P11+AB11</f>
        <v>54291.5199355</v>
      </c>
      <c r="J11" s="24">
        <f t="shared" si="14"/>
        <v>32087.4940613</v>
      </c>
      <c r="K11" s="24">
        <f t="shared" si="14"/>
        <v>22150.914256550004</v>
      </c>
      <c r="L11" s="24">
        <f t="shared" si="8"/>
        <v>108529.92825335001</v>
      </c>
      <c r="M11" s="5"/>
      <c r="O11" s="42">
        <v>1993</v>
      </c>
      <c r="P11" s="5">
        <v>16930</v>
      </c>
      <c r="Q11" s="5">
        <v>1215</v>
      </c>
      <c r="R11" s="5">
        <v>3850</v>
      </c>
      <c r="U11" s="42">
        <v>1993</v>
      </c>
      <c r="V11" s="5">
        <v>37322.492221</v>
      </c>
      <c r="W11" s="5">
        <v>30853.247145400001</v>
      </c>
      <c r="X11" s="5">
        <v>10312.182699610001</v>
      </c>
      <c r="AA11" s="42">
        <v>1993</v>
      </c>
      <c r="AB11" s="5">
        <v>37361.5199355</v>
      </c>
      <c r="AC11" s="5">
        <v>30872.4940613</v>
      </c>
      <c r="AD11" s="5">
        <v>18300.914256550004</v>
      </c>
      <c r="AE11" s="17"/>
      <c r="CB11" s="17">
        <v>1999</v>
      </c>
      <c r="CD11" s="75"/>
      <c r="CE11" s="17"/>
    </row>
    <row r="12" spans="1:83" x14ac:dyDescent="0.25">
      <c r="A12" s="14">
        <v>1994</v>
      </c>
      <c r="B12" s="11">
        <f t="shared" si="3"/>
        <v>72971.712214150029</v>
      </c>
      <c r="C12" s="11">
        <f t="shared" si="4"/>
        <v>26232.48285</v>
      </c>
      <c r="D12" s="11">
        <f t="shared" si="5"/>
        <v>6706.3010829699997</v>
      </c>
      <c r="E12" s="11">
        <f t="shared" si="6"/>
        <v>105910.49614712002</v>
      </c>
      <c r="F12" s="5"/>
      <c r="H12" s="14">
        <v>1994</v>
      </c>
      <c r="I12" s="24">
        <f t="shared" ref="I12:K12" si="15">P12+AB12</f>
        <v>73163.652441780025</v>
      </c>
      <c r="J12" s="24">
        <f t="shared" si="15"/>
        <v>26232.48285</v>
      </c>
      <c r="K12" s="24">
        <f t="shared" si="15"/>
        <v>6708.2971005999998</v>
      </c>
      <c r="L12" s="24">
        <f t="shared" si="8"/>
        <v>106104.43239238003</v>
      </c>
      <c r="M12" s="5"/>
      <c r="O12" s="42">
        <v>1994</v>
      </c>
      <c r="P12" s="5">
        <v>21009</v>
      </c>
      <c r="Q12" s="5">
        <v>4650</v>
      </c>
      <c r="R12" s="5">
        <v>6108</v>
      </c>
      <c r="U12" s="42">
        <v>1994</v>
      </c>
      <c r="V12" s="5">
        <v>51962.712214150022</v>
      </c>
      <c r="W12" s="5">
        <v>21582.48285</v>
      </c>
      <c r="X12" s="5">
        <v>598.30108296999992</v>
      </c>
      <c r="AA12" s="42">
        <v>1994</v>
      </c>
      <c r="AB12" s="5">
        <v>52154.652441780017</v>
      </c>
      <c r="AC12" s="5">
        <v>21582.48285</v>
      </c>
      <c r="AD12" s="5">
        <v>600.29710059999991</v>
      </c>
      <c r="AE12" s="17"/>
      <c r="CB12" s="17">
        <v>2000</v>
      </c>
      <c r="CC12">
        <v>4</v>
      </c>
      <c r="CD12" s="75">
        <v>298</v>
      </c>
      <c r="CE12" s="17">
        <f t="shared" si="2"/>
        <v>1.3422818791946308E-2</v>
      </c>
    </row>
    <row r="13" spans="1:83" x14ac:dyDescent="0.25">
      <c r="A13" s="14">
        <v>1995</v>
      </c>
      <c r="B13" s="11">
        <f t="shared" si="3"/>
        <v>91469.476540639982</v>
      </c>
      <c r="C13" s="11">
        <f t="shared" si="4"/>
        <v>39849.74274680001</v>
      </c>
      <c r="D13" s="11">
        <f t="shared" si="5"/>
        <v>5111.1200680000002</v>
      </c>
      <c r="E13" s="11">
        <f t="shared" si="6"/>
        <v>136430.33935544</v>
      </c>
      <c r="F13" s="5"/>
      <c r="H13" s="14">
        <v>1995</v>
      </c>
      <c r="I13" s="24">
        <f t="shared" ref="I13:K13" si="16">P13+AB13</f>
        <v>91729.818924449995</v>
      </c>
      <c r="J13" s="24">
        <f t="shared" si="16"/>
        <v>39898.425640500005</v>
      </c>
      <c r="K13" s="24">
        <f t="shared" si="16"/>
        <v>5111.1200680000002</v>
      </c>
      <c r="L13" s="24">
        <f t="shared" si="8"/>
        <v>136739.36463294999</v>
      </c>
      <c r="M13" s="5"/>
      <c r="O13" s="42">
        <v>1995</v>
      </c>
      <c r="P13" s="5">
        <v>20761</v>
      </c>
      <c r="Q13" s="5">
        <v>4394</v>
      </c>
      <c r="R13" s="5">
        <v>5090</v>
      </c>
      <c r="U13" s="42">
        <v>1995</v>
      </c>
      <c r="V13" s="5">
        <v>70708.476540639982</v>
      </c>
      <c r="W13" s="5">
        <v>35455.74274680001</v>
      </c>
      <c r="X13" s="5">
        <v>21.120068</v>
      </c>
      <c r="AA13" s="42">
        <v>1995</v>
      </c>
      <c r="AB13" s="5">
        <v>70968.818924449995</v>
      </c>
      <c r="AC13" s="5">
        <v>35504.425640500005</v>
      </c>
      <c r="AD13" s="5">
        <v>21.120068</v>
      </c>
      <c r="AE13" s="17"/>
      <c r="CB13" s="17">
        <v>2001</v>
      </c>
      <c r="CD13" s="75"/>
      <c r="CE13" s="17"/>
    </row>
    <row r="14" spans="1:83" x14ac:dyDescent="0.25">
      <c r="A14" s="14">
        <v>1996</v>
      </c>
      <c r="B14" s="11">
        <f t="shared" si="3"/>
        <v>52637.781049999998</v>
      </c>
      <c r="C14" s="11">
        <f t="shared" si="4"/>
        <v>34745.757200980006</v>
      </c>
      <c r="D14" s="11">
        <f t="shared" si="5"/>
        <v>9125.7387600000002</v>
      </c>
      <c r="E14" s="11">
        <f t="shared" si="6"/>
        <v>96509.277010980004</v>
      </c>
      <c r="F14" s="5"/>
      <c r="H14" s="14">
        <v>1996</v>
      </c>
      <c r="I14" s="24">
        <f t="shared" ref="I14:K14" si="17">P14+AB14</f>
        <v>52637.781049999998</v>
      </c>
      <c r="J14" s="24">
        <f t="shared" si="17"/>
        <v>34769.056916360001</v>
      </c>
      <c r="K14" s="24">
        <f t="shared" si="17"/>
        <v>9134.8427706000002</v>
      </c>
      <c r="L14" s="24">
        <f t="shared" si="8"/>
        <v>96541.680736959999</v>
      </c>
      <c r="M14" s="5"/>
      <c r="O14" s="42">
        <v>1996</v>
      </c>
      <c r="P14" s="5">
        <v>16247</v>
      </c>
      <c r="Q14" s="5">
        <v>9727</v>
      </c>
      <c r="R14" s="5">
        <v>6651</v>
      </c>
      <c r="U14" s="42">
        <v>1996</v>
      </c>
      <c r="V14" s="5">
        <v>36390.781049999998</v>
      </c>
      <c r="W14" s="5">
        <v>25018.757200980002</v>
      </c>
      <c r="X14" s="5">
        <v>2474.7387600000002</v>
      </c>
      <c r="AA14" s="42">
        <v>1996</v>
      </c>
      <c r="AB14" s="5">
        <v>36390.781049999998</v>
      </c>
      <c r="AC14" s="5">
        <v>25042.056916359998</v>
      </c>
      <c r="AD14" s="5">
        <v>2483.8427705999998</v>
      </c>
      <c r="AE14" s="17"/>
      <c r="CB14" s="17">
        <v>2002</v>
      </c>
      <c r="CD14" s="75"/>
      <c r="CE14" s="17"/>
    </row>
    <row r="15" spans="1:83" x14ac:dyDescent="0.25">
      <c r="A15" s="14">
        <v>1997</v>
      </c>
      <c r="B15" s="11">
        <f t="shared" si="3"/>
        <v>61877.662079299989</v>
      </c>
      <c r="C15" s="11">
        <f t="shared" si="4"/>
        <v>103756.14253889999</v>
      </c>
      <c r="D15" s="11">
        <f t="shared" si="5"/>
        <v>18382.780137999998</v>
      </c>
      <c r="E15" s="11">
        <f t="shared" si="6"/>
        <v>184016.5847562</v>
      </c>
      <c r="F15" s="5"/>
      <c r="H15" s="14">
        <v>1997</v>
      </c>
      <c r="I15" s="24">
        <f t="shared" ref="I15:K15" si="18">P15+AB15</f>
        <v>61953.304114899991</v>
      </c>
      <c r="J15" s="24">
        <f t="shared" si="18"/>
        <v>103978.63551085</v>
      </c>
      <c r="K15" s="24">
        <f t="shared" si="18"/>
        <v>18382.780137999998</v>
      </c>
      <c r="L15" s="24">
        <f t="shared" si="8"/>
        <v>184314.71976375001</v>
      </c>
      <c r="M15" s="5"/>
      <c r="O15" s="42">
        <v>1997</v>
      </c>
      <c r="P15" s="5">
        <v>26057</v>
      </c>
      <c r="Q15" s="5">
        <v>47610</v>
      </c>
      <c r="R15" s="5">
        <v>17082</v>
      </c>
      <c r="U15" s="42">
        <v>1997</v>
      </c>
      <c r="V15" s="5">
        <v>35820.662079299989</v>
      </c>
      <c r="W15" s="5">
        <v>56146.1425389</v>
      </c>
      <c r="X15" s="5">
        <v>1300.7801379999999</v>
      </c>
      <c r="AA15" s="42">
        <v>1997</v>
      </c>
      <c r="AB15" s="5">
        <v>35896.304114899991</v>
      </c>
      <c r="AC15" s="5">
        <v>56368.635510849992</v>
      </c>
      <c r="AD15" s="5">
        <v>1300.7801379999999</v>
      </c>
      <c r="AE15" s="17"/>
      <c r="CB15" s="17">
        <v>2003</v>
      </c>
      <c r="CD15" s="75"/>
      <c r="CE15" s="17"/>
    </row>
    <row r="16" spans="1:83" x14ac:dyDescent="0.25">
      <c r="A16" s="14">
        <v>1998</v>
      </c>
      <c r="B16" s="11">
        <f t="shared" si="3"/>
        <v>58730.393129659999</v>
      </c>
      <c r="C16" s="11">
        <f t="shared" si="4"/>
        <v>76030.74733469999</v>
      </c>
      <c r="D16" s="11">
        <f t="shared" si="5"/>
        <v>9652.1365986000001</v>
      </c>
      <c r="E16" s="11">
        <f t="shared" si="6"/>
        <v>144413.27706295997</v>
      </c>
      <c r="F16" s="5"/>
      <c r="H16" s="14">
        <v>1998</v>
      </c>
      <c r="I16" s="24">
        <f t="shared" ref="I16:K16" si="19">P16+AB16</f>
        <v>58787.146638699996</v>
      </c>
      <c r="J16" s="24">
        <f t="shared" si="19"/>
        <v>76068.202755699996</v>
      </c>
      <c r="K16" s="24">
        <f t="shared" si="19"/>
        <v>9669.0615409999991</v>
      </c>
      <c r="L16" s="24">
        <f t="shared" si="8"/>
        <v>144524.4109354</v>
      </c>
      <c r="M16" s="5"/>
      <c r="O16" s="42">
        <v>1998</v>
      </c>
      <c r="P16" s="5">
        <v>23429</v>
      </c>
      <c r="Q16" s="5">
        <v>35434</v>
      </c>
      <c r="R16" s="5">
        <v>4858</v>
      </c>
      <c r="U16" s="42">
        <v>1998</v>
      </c>
      <c r="V16" s="5">
        <v>35301.393129659999</v>
      </c>
      <c r="W16" s="5">
        <v>40596.747334699998</v>
      </c>
      <c r="X16" s="5">
        <v>4794.1365986000001</v>
      </c>
      <c r="AA16" s="42">
        <v>1998</v>
      </c>
      <c r="AB16" s="5">
        <v>35358.146638699996</v>
      </c>
      <c r="AC16" s="5">
        <v>40634.202755699996</v>
      </c>
      <c r="AD16" s="5">
        <v>4811.061541</v>
      </c>
      <c r="AE16" s="17"/>
      <c r="CB16" s="17">
        <v>2004</v>
      </c>
      <c r="CC16">
        <v>1</v>
      </c>
      <c r="CD16" s="75">
        <v>282</v>
      </c>
      <c r="CE16" s="17">
        <f t="shared" si="2"/>
        <v>3.5460992907801418E-3</v>
      </c>
    </row>
    <row r="17" spans="1:83" x14ac:dyDescent="0.25">
      <c r="A17" s="14">
        <v>1999</v>
      </c>
      <c r="B17" s="11">
        <f t="shared" si="3"/>
        <v>305984.33297713008</v>
      </c>
      <c r="C17" s="11">
        <f t="shared" si="4"/>
        <v>133402.39054950001</v>
      </c>
      <c r="D17" s="11">
        <f t="shared" si="5"/>
        <v>12395.831431909999</v>
      </c>
      <c r="E17" s="11">
        <f t="shared" si="6"/>
        <v>451782.55495854007</v>
      </c>
      <c r="F17" s="5"/>
      <c r="H17" s="14">
        <v>1999</v>
      </c>
      <c r="I17" s="24">
        <f t="shared" ref="I17:K17" si="20">P17+AB17</f>
        <v>295752.95791570004</v>
      </c>
      <c r="J17" s="24">
        <f t="shared" si="20"/>
        <v>133844.37653449998</v>
      </c>
      <c r="K17" s="24">
        <f t="shared" si="20"/>
        <v>12403.513794080001</v>
      </c>
      <c r="L17" s="24">
        <f t="shared" si="8"/>
        <v>442000.84824428003</v>
      </c>
      <c r="M17" s="5"/>
      <c r="O17" s="42">
        <v>1999</v>
      </c>
      <c r="P17" s="5">
        <v>77347</v>
      </c>
      <c r="Q17" s="5">
        <v>52160</v>
      </c>
      <c r="R17" s="5">
        <v>10121</v>
      </c>
      <c r="U17" s="42">
        <v>1999</v>
      </c>
      <c r="V17" s="5">
        <v>228637.33297713008</v>
      </c>
      <c r="W17" s="5">
        <v>81242.390549499993</v>
      </c>
      <c r="X17" s="5">
        <v>2274.83143191</v>
      </c>
      <c r="AA17" s="42">
        <v>1999</v>
      </c>
      <c r="AB17" s="5">
        <v>218405.95791570004</v>
      </c>
      <c r="AC17" s="5">
        <v>81684.376534499985</v>
      </c>
      <c r="AD17" s="5">
        <v>2282.5137940800005</v>
      </c>
      <c r="AE17" s="17"/>
      <c r="CB17" s="17">
        <v>2005</v>
      </c>
      <c r="CC17">
        <v>2</v>
      </c>
      <c r="CD17" s="75">
        <v>303</v>
      </c>
      <c r="CE17" s="17">
        <f t="shared" si="2"/>
        <v>6.6006600660066007E-3</v>
      </c>
    </row>
    <row r="18" spans="1:83" x14ac:dyDescent="0.25">
      <c r="A18" s="14">
        <v>2000</v>
      </c>
      <c r="B18" s="11">
        <f t="shared" si="3"/>
        <v>173017.21479511302</v>
      </c>
      <c r="C18" s="11">
        <f t="shared" si="4"/>
        <v>295776.59317440994</v>
      </c>
      <c r="D18" s="11">
        <f t="shared" si="5"/>
        <v>11032.27285288</v>
      </c>
      <c r="E18" s="11">
        <f t="shared" si="6"/>
        <v>479826.08082240296</v>
      </c>
      <c r="F18" s="5"/>
      <c r="H18" s="14">
        <v>2000</v>
      </c>
      <c r="I18" s="24">
        <f t="shared" ref="I18:K18" si="21">P18+AB18</f>
        <v>191217.98270306303</v>
      </c>
      <c r="J18" s="24">
        <f t="shared" si="21"/>
        <v>300177.63474037999</v>
      </c>
      <c r="K18" s="24">
        <f t="shared" si="21"/>
        <v>11043.495367670001</v>
      </c>
      <c r="L18" s="24">
        <f t="shared" si="8"/>
        <v>502439.11281111307</v>
      </c>
      <c r="M18" s="5"/>
      <c r="O18" s="42">
        <v>2000</v>
      </c>
      <c r="P18" s="5">
        <v>62100</v>
      </c>
      <c r="Q18" s="5">
        <v>58915</v>
      </c>
      <c r="R18" s="5">
        <v>5772</v>
      </c>
      <c r="U18" s="42">
        <v>2000</v>
      </c>
      <c r="V18" s="5">
        <v>110917.21479511302</v>
      </c>
      <c r="W18" s="5">
        <v>236861.59317440997</v>
      </c>
      <c r="X18" s="5">
        <v>5260.2728528800008</v>
      </c>
      <c r="AA18" s="42">
        <v>2000</v>
      </c>
      <c r="AB18" s="5">
        <v>129117.98270306303</v>
      </c>
      <c r="AC18" s="5">
        <v>241262.63474037996</v>
      </c>
      <c r="AD18" s="5">
        <v>5271.4953676700006</v>
      </c>
      <c r="AE18" s="17"/>
      <c r="CB18" s="17">
        <v>2006</v>
      </c>
      <c r="CD18" s="75"/>
      <c r="CE18" s="17"/>
    </row>
    <row r="19" spans="1:83" x14ac:dyDescent="0.25">
      <c r="A19" s="14">
        <v>2001</v>
      </c>
      <c r="B19" s="11">
        <f t="shared" si="3"/>
        <v>252699.09471690794</v>
      </c>
      <c r="C19" s="11">
        <f t="shared" si="4"/>
        <v>162263.89107779998</v>
      </c>
      <c r="D19" s="11">
        <f t="shared" si="5"/>
        <v>9173.3699815</v>
      </c>
      <c r="E19" s="11">
        <f t="shared" si="6"/>
        <v>424136.35577620787</v>
      </c>
      <c r="F19" s="5"/>
      <c r="H19" s="14">
        <v>2001</v>
      </c>
      <c r="I19" s="24">
        <f t="shared" ref="I19:K19" si="22">P19+AB19</f>
        <v>251984.62853030697</v>
      </c>
      <c r="J19" s="24">
        <f t="shared" si="22"/>
        <v>162263.89107780001</v>
      </c>
      <c r="K19" s="24">
        <f t="shared" si="22"/>
        <v>9190.9476728999998</v>
      </c>
      <c r="L19" s="24">
        <f t="shared" si="8"/>
        <v>423439.46728100698</v>
      </c>
      <c r="M19" s="5"/>
      <c r="O19" s="42">
        <v>2001</v>
      </c>
      <c r="P19" s="5">
        <v>93084</v>
      </c>
      <c r="Q19" s="5">
        <v>26412</v>
      </c>
      <c r="R19" s="5">
        <v>4412</v>
      </c>
      <c r="U19" s="42">
        <v>2001</v>
      </c>
      <c r="V19" s="5">
        <v>159615.09471690794</v>
      </c>
      <c r="W19" s="5">
        <v>135851.89107779998</v>
      </c>
      <c r="X19" s="5">
        <v>4761.3699815</v>
      </c>
      <c r="AA19" s="42">
        <v>2001</v>
      </c>
      <c r="AB19" s="5">
        <v>158900.62853030697</v>
      </c>
      <c r="AC19" s="5">
        <v>135851.89107780001</v>
      </c>
      <c r="AD19" s="5">
        <v>4778.9476728999998</v>
      </c>
      <c r="AE19" s="17"/>
      <c r="CB19" s="17">
        <v>2007</v>
      </c>
      <c r="CC19">
        <v>3</v>
      </c>
      <c r="CD19" s="75">
        <v>337</v>
      </c>
      <c r="CE19" s="17">
        <f t="shared" si="2"/>
        <v>8.9020771513353119E-3</v>
      </c>
    </row>
    <row r="20" spans="1:83" x14ac:dyDescent="0.25">
      <c r="A20" s="14">
        <v>2002</v>
      </c>
      <c r="B20" s="11">
        <f t="shared" si="3"/>
        <v>162774.09759270403</v>
      </c>
      <c r="C20" s="11">
        <f t="shared" si="4"/>
        <v>90556.606891939984</v>
      </c>
      <c r="D20" s="11">
        <f t="shared" si="5"/>
        <v>8154.8759167100006</v>
      </c>
      <c r="E20" s="11">
        <f t="shared" si="6"/>
        <v>261485.580401354</v>
      </c>
      <c r="F20" s="5"/>
      <c r="H20" s="14">
        <v>2002</v>
      </c>
      <c r="I20" s="24">
        <f t="shared" ref="I20:K20" si="23">P20+AB20</f>
        <v>158931.44351520395</v>
      </c>
      <c r="J20" s="24">
        <f t="shared" si="23"/>
        <v>91096.087410549982</v>
      </c>
      <c r="K20" s="24">
        <f t="shared" si="23"/>
        <v>8169.0350589600002</v>
      </c>
      <c r="L20" s="24">
        <f t="shared" si="8"/>
        <v>258196.56598471393</v>
      </c>
      <c r="M20" s="5"/>
      <c r="O20" s="42">
        <v>2002</v>
      </c>
      <c r="P20" s="5">
        <v>87094</v>
      </c>
      <c r="Q20" s="5">
        <v>20657</v>
      </c>
      <c r="R20" s="5">
        <v>4044</v>
      </c>
      <c r="U20" s="42">
        <v>2002</v>
      </c>
      <c r="V20" s="5">
        <v>75680.097592704027</v>
      </c>
      <c r="W20" s="5">
        <v>69899.606891939984</v>
      </c>
      <c r="X20" s="5">
        <v>4110.8759167100006</v>
      </c>
      <c r="AA20" s="42">
        <v>2002</v>
      </c>
      <c r="AB20" s="5">
        <v>71837.443515203966</v>
      </c>
      <c r="AC20" s="5">
        <v>70439.087410549982</v>
      </c>
      <c r="AD20" s="5">
        <v>4125.0350589600002</v>
      </c>
      <c r="AE20" s="17"/>
      <c r="CB20" s="17">
        <v>2008</v>
      </c>
      <c r="CC20">
        <v>2</v>
      </c>
      <c r="CD20" s="75">
        <v>303</v>
      </c>
      <c r="CE20" s="17">
        <f t="shared" si="2"/>
        <v>6.6006600660066007E-3</v>
      </c>
    </row>
    <row r="21" spans="1:83" x14ac:dyDescent="0.25">
      <c r="A21" s="14">
        <v>2003</v>
      </c>
      <c r="B21" s="11">
        <f t="shared" si="3"/>
        <v>379224.98115082015</v>
      </c>
      <c r="C21" s="11">
        <f t="shared" si="4"/>
        <v>103370.86836383997</v>
      </c>
      <c r="D21" s="11">
        <f t="shared" si="5"/>
        <v>3574.7696511250001</v>
      </c>
      <c r="E21" s="11">
        <f t="shared" si="6"/>
        <v>486170.61916578515</v>
      </c>
      <c r="F21" s="5"/>
      <c r="H21" s="14">
        <v>2003</v>
      </c>
      <c r="I21" s="24">
        <f t="shared" ref="I21:K21" si="24">P21+AB21</f>
        <v>373892.20666102006</v>
      </c>
      <c r="J21" s="24">
        <f t="shared" si="24"/>
        <v>103588.09068603996</v>
      </c>
      <c r="K21" s="24">
        <f t="shared" si="24"/>
        <v>3575.0228216780001</v>
      </c>
      <c r="L21" s="24">
        <f t="shared" si="8"/>
        <v>481055.32016873802</v>
      </c>
      <c r="M21" s="5"/>
      <c r="O21" s="42">
        <v>2003</v>
      </c>
      <c r="P21" s="5">
        <v>78598</v>
      </c>
      <c r="Q21" s="5">
        <v>17073</v>
      </c>
      <c r="R21" s="5">
        <v>3507</v>
      </c>
      <c r="U21" s="42">
        <v>2003</v>
      </c>
      <c r="V21" s="5">
        <v>300626.98115082015</v>
      </c>
      <c r="W21" s="5">
        <v>86297.868363839967</v>
      </c>
      <c r="X21" s="5">
        <v>67.769651124999996</v>
      </c>
      <c r="AA21" s="42">
        <v>2003</v>
      </c>
      <c r="AB21" s="5">
        <v>295294.20666102006</v>
      </c>
      <c r="AC21" s="5">
        <v>86515.090686039955</v>
      </c>
      <c r="AD21" s="5">
        <v>68.022821678</v>
      </c>
      <c r="AE21" s="17"/>
      <c r="CB21" s="17">
        <v>2009</v>
      </c>
      <c r="CC21">
        <v>11</v>
      </c>
      <c r="CD21" s="75">
        <v>404</v>
      </c>
      <c r="CE21" s="17">
        <f t="shared" si="2"/>
        <v>2.7227722772277228E-2</v>
      </c>
    </row>
    <row r="22" spans="1:83" x14ac:dyDescent="0.25">
      <c r="A22" s="14">
        <v>2004</v>
      </c>
      <c r="B22" s="11">
        <f t="shared" si="3"/>
        <v>325876.34495488001</v>
      </c>
      <c r="C22" s="11">
        <f t="shared" si="4"/>
        <v>212376.58476906482</v>
      </c>
      <c r="D22" s="11">
        <f t="shared" si="5"/>
        <v>3824.3443985000004</v>
      </c>
      <c r="E22" s="11">
        <f t="shared" si="6"/>
        <v>542077.27412244491</v>
      </c>
      <c r="F22" s="5"/>
      <c r="H22" s="14">
        <v>2004</v>
      </c>
      <c r="I22" s="24">
        <f t="shared" ref="I22:K22" si="25">P22+AB22</f>
        <v>325876.34495488007</v>
      </c>
      <c r="J22" s="24">
        <f t="shared" si="25"/>
        <v>213452.92219246484</v>
      </c>
      <c r="K22" s="24">
        <f t="shared" si="25"/>
        <v>3493.1907293000004</v>
      </c>
      <c r="L22" s="24">
        <f t="shared" si="8"/>
        <v>542822.45787664491</v>
      </c>
      <c r="M22" s="5"/>
      <c r="O22" s="42">
        <v>2004</v>
      </c>
      <c r="P22" s="5">
        <v>137658</v>
      </c>
      <c r="Q22" s="5">
        <v>32067</v>
      </c>
      <c r="R22" s="5">
        <v>2209</v>
      </c>
      <c r="U22" s="42">
        <v>2004</v>
      </c>
      <c r="V22" s="5">
        <v>188218.34495488001</v>
      </c>
      <c r="W22" s="5">
        <v>180309.58476906482</v>
      </c>
      <c r="X22" s="5">
        <v>1615.3443985000001</v>
      </c>
      <c r="AA22" s="42">
        <v>2004</v>
      </c>
      <c r="AB22" s="5">
        <v>188218.34495488007</v>
      </c>
      <c r="AC22" s="5">
        <v>181385.92219246484</v>
      </c>
      <c r="AD22" s="5">
        <v>1284.1907293000002</v>
      </c>
      <c r="AE22" s="17"/>
      <c r="AF22" s="17"/>
      <c r="AG22" s="17"/>
      <c r="AH22" s="17"/>
      <c r="AI22" s="17"/>
      <c r="AJ22" s="17"/>
      <c r="AK22" s="17"/>
      <c r="AL22" s="17"/>
      <c r="AM22" s="17"/>
      <c r="AN22" s="17"/>
      <c r="CB22" s="17">
        <v>2010</v>
      </c>
      <c r="CC22">
        <v>3</v>
      </c>
      <c r="CD22" s="75">
        <v>725</v>
      </c>
      <c r="CE22" s="17">
        <f t="shared" si="2"/>
        <v>4.1379310344827587E-3</v>
      </c>
    </row>
    <row r="23" spans="1:83" x14ac:dyDescent="0.25">
      <c r="A23" s="14">
        <v>2005</v>
      </c>
      <c r="B23" s="11">
        <f t="shared" si="3"/>
        <v>161364.61824419998</v>
      </c>
      <c r="C23" s="11">
        <f t="shared" si="4"/>
        <v>97062.405047552005</v>
      </c>
      <c r="D23" s="11">
        <f t="shared" si="5"/>
        <v>9454.2367319000004</v>
      </c>
      <c r="E23" s="11">
        <f t="shared" si="6"/>
        <v>267881.26002365199</v>
      </c>
      <c r="F23" s="5"/>
      <c r="H23" s="14">
        <v>2005</v>
      </c>
      <c r="I23" s="24">
        <f t="shared" ref="I23:K23" si="26">P23+AB23</f>
        <v>149074.52221239998</v>
      </c>
      <c r="J23" s="24">
        <f t="shared" si="26"/>
        <v>102011.00965518002</v>
      </c>
      <c r="K23" s="24">
        <f t="shared" si="26"/>
        <v>9458.7794868000001</v>
      </c>
      <c r="L23" s="24">
        <f t="shared" si="8"/>
        <v>260544.31135438001</v>
      </c>
      <c r="M23" s="5"/>
      <c r="O23" s="42">
        <v>2005</v>
      </c>
      <c r="P23" s="5">
        <v>90973</v>
      </c>
      <c r="Q23" s="5">
        <v>35699</v>
      </c>
      <c r="R23" s="5">
        <v>8140</v>
      </c>
      <c r="S23" s="17"/>
      <c r="T23" s="17"/>
      <c r="U23" s="42">
        <v>2005</v>
      </c>
      <c r="V23" s="5">
        <v>70391.618244199984</v>
      </c>
      <c r="W23" s="5">
        <v>61363.405047552005</v>
      </c>
      <c r="X23" s="5">
        <v>1314.2367319</v>
      </c>
      <c r="Y23" s="17"/>
      <c r="Z23" s="17"/>
      <c r="AA23" s="42">
        <v>2005</v>
      </c>
      <c r="AB23" s="5">
        <v>58101.522212399992</v>
      </c>
      <c r="AC23" s="5">
        <v>66312.009655180023</v>
      </c>
      <c r="AD23" s="5">
        <v>1318.7794868000001</v>
      </c>
      <c r="AE23" s="17"/>
      <c r="AF23" s="17"/>
      <c r="AG23" s="17"/>
      <c r="AH23" s="17"/>
      <c r="AI23" s="17"/>
      <c r="AJ23" s="17"/>
      <c r="AK23" s="17"/>
      <c r="AL23" s="17"/>
      <c r="AM23" s="17"/>
      <c r="AN23" s="17"/>
      <c r="CB23" s="17">
        <v>2011</v>
      </c>
      <c r="CD23" s="75"/>
      <c r="CE23" s="17"/>
    </row>
    <row r="24" spans="1:83" x14ac:dyDescent="0.25">
      <c r="A24" s="14">
        <v>2006</v>
      </c>
      <c r="B24" s="11">
        <f t="shared" si="3"/>
        <v>458447.62384110992</v>
      </c>
      <c r="C24" s="11">
        <f t="shared" si="4"/>
        <v>157926.15939475596</v>
      </c>
      <c r="D24" s="11">
        <f t="shared" si="5"/>
        <v>7714.4509024999998</v>
      </c>
      <c r="E24" s="11">
        <f t="shared" si="6"/>
        <v>624088.23413836583</v>
      </c>
      <c r="F24" s="5"/>
      <c r="H24" s="14">
        <v>2006</v>
      </c>
      <c r="I24" s="24">
        <f t="shared" ref="I24:K24" si="27">P24+AB24</f>
        <v>458447.62384110992</v>
      </c>
      <c r="J24" s="24">
        <f t="shared" si="27"/>
        <v>157943.40633394694</v>
      </c>
      <c r="K24" s="24">
        <f t="shared" si="27"/>
        <v>7728.3675062000002</v>
      </c>
      <c r="L24" s="24">
        <f t="shared" si="8"/>
        <v>624119.39768125687</v>
      </c>
      <c r="M24" s="5"/>
      <c r="O24" s="42">
        <v>2006</v>
      </c>
      <c r="P24" s="5">
        <v>112330</v>
      </c>
      <c r="Q24" s="5">
        <v>31894</v>
      </c>
      <c r="R24" s="5">
        <v>3603</v>
      </c>
      <c r="S24" s="17"/>
      <c r="T24" s="17"/>
      <c r="U24" s="42">
        <v>2006</v>
      </c>
      <c r="V24" s="5">
        <v>346117.62384110992</v>
      </c>
      <c r="W24" s="5">
        <v>126032.15939475594</v>
      </c>
      <c r="X24" s="5">
        <v>4111.4509024999998</v>
      </c>
      <c r="Y24" s="17"/>
      <c r="Z24" s="17"/>
      <c r="AA24" s="42">
        <v>2006</v>
      </c>
      <c r="AB24" s="5">
        <v>346117.62384110992</v>
      </c>
      <c r="AC24" s="5">
        <v>126049.40633394694</v>
      </c>
      <c r="AD24" s="5">
        <v>4125.3675062000002</v>
      </c>
      <c r="AE24" s="17"/>
      <c r="AF24" s="17"/>
      <c r="AG24" s="17"/>
      <c r="AH24" s="17"/>
      <c r="AI24" s="17"/>
      <c r="AJ24" s="17"/>
      <c r="AK24" s="17"/>
      <c r="AL24" s="17"/>
      <c r="AM24" s="17"/>
      <c r="AN24" s="17"/>
      <c r="CB24" s="17">
        <v>2012</v>
      </c>
      <c r="CC24">
        <v>16</v>
      </c>
      <c r="CD24" s="19">
        <v>1167</v>
      </c>
      <c r="CE24" s="17">
        <f t="shared" si="2"/>
        <v>1.3710368466152529E-2</v>
      </c>
    </row>
    <row r="25" spans="1:83" x14ac:dyDescent="0.25">
      <c r="A25" s="14">
        <v>2007</v>
      </c>
      <c r="B25" s="11">
        <f t="shared" si="3"/>
        <v>482803.56306899013</v>
      </c>
      <c r="C25" s="11">
        <f t="shared" si="4"/>
        <v>152869.63219524402</v>
      </c>
      <c r="D25" s="11">
        <f t="shared" si="5"/>
        <v>19495.775312000002</v>
      </c>
      <c r="E25" s="11">
        <f t="shared" si="6"/>
        <v>655168.97057623416</v>
      </c>
      <c r="F25" s="5"/>
      <c r="H25" s="14">
        <v>2007</v>
      </c>
      <c r="I25" s="24">
        <f t="shared" ref="I25:K25" si="28">P25+AB25</f>
        <v>478901.18354238011</v>
      </c>
      <c r="J25" s="24">
        <f t="shared" si="28"/>
        <v>152869.63219524402</v>
      </c>
      <c r="K25" s="24">
        <f t="shared" si="28"/>
        <v>19495.775312000002</v>
      </c>
      <c r="L25" s="24">
        <f t="shared" si="8"/>
        <v>651266.59104962414</v>
      </c>
      <c r="M25" s="5"/>
      <c r="O25" s="42">
        <v>2007</v>
      </c>
      <c r="P25" s="5">
        <v>163098</v>
      </c>
      <c r="Q25" s="5">
        <v>29905</v>
      </c>
      <c r="R25" s="5">
        <v>4547</v>
      </c>
      <c r="S25" s="17"/>
      <c r="T25" s="17"/>
      <c r="U25" s="42">
        <v>2007</v>
      </c>
      <c r="V25" s="5">
        <v>319705.56306899013</v>
      </c>
      <c r="W25" s="5">
        <v>122964.63219524403</v>
      </c>
      <c r="X25" s="5">
        <v>14948.775312000002</v>
      </c>
      <c r="Y25" s="17"/>
      <c r="Z25" s="17"/>
      <c r="AA25" s="42">
        <v>2007</v>
      </c>
      <c r="AB25" s="5">
        <v>315803.18354238011</v>
      </c>
      <c r="AC25" s="5">
        <v>122964.63219524403</v>
      </c>
      <c r="AD25" s="5">
        <v>14948.775312000002</v>
      </c>
      <c r="AE25" s="17"/>
      <c r="CB25" s="17">
        <v>2013</v>
      </c>
      <c r="CC25">
        <v>23</v>
      </c>
      <c r="CD25" s="19">
        <v>1349</v>
      </c>
      <c r="CE25" s="17">
        <f t="shared" si="2"/>
        <v>1.704966641957005E-2</v>
      </c>
    </row>
    <row r="26" spans="1:83" x14ac:dyDescent="0.25">
      <c r="A26" s="14">
        <v>2008</v>
      </c>
      <c r="B26" s="11">
        <f t="shared" si="3"/>
        <v>307606.38645881991</v>
      </c>
      <c r="C26" s="11">
        <f t="shared" si="4"/>
        <v>110773.07815302</v>
      </c>
      <c r="D26" s="11">
        <f t="shared" si="5"/>
        <v>4605.2610334000001</v>
      </c>
      <c r="E26" s="11">
        <f t="shared" si="6"/>
        <v>422984.72564523993</v>
      </c>
      <c r="F26" s="5"/>
      <c r="H26" s="14">
        <v>2008</v>
      </c>
      <c r="I26" s="24">
        <f t="shared" ref="I26:K26" si="29">P26+AB26</f>
        <v>300476.33166718995</v>
      </c>
      <c r="J26" s="24">
        <f t="shared" si="29"/>
        <v>110059.16144942</v>
      </c>
      <c r="K26" s="24">
        <f t="shared" si="29"/>
        <v>4618.6691990999998</v>
      </c>
      <c r="L26" s="24">
        <f t="shared" si="8"/>
        <v>415154.16231570998</v>
      </c>
      <c r="M26" s="5"/>
      <c r="O26" s="42">
        <v>2008</v>
      </c>
      <c r="P26" s="5">
        <v>174522</v>
      </c>
      <c r="Q26" s="5">
        <v>27310</v>
      </c>
      <c r="R26" s="5">
        <v>934</v>
      </c>
      <c r="U26" s="42">
        <v>2008</v>
      </c>
      <c r="V26" s="5">
        <v>133084.38645881991</v>
      </c>
      <c r="W26" s="5">
        <v>83463.078153020004</v>
      </c>
      <c r="X26" s="5">
        <v>3671.2610333999996</v>
      </c>
      <c r="AA26" s="42">
        <v>2008</v>
      </c>
      <c r="AB26" s="5">
        <v>125954.33166718997</v>
      </c>
      <c r="AC26" s="5">
        <v>82749.161449420004</v>
      </c>
      <c r="AD26" s="5">
        <v>3684.6691990999998</v>
      </c>
      <c r="AE26" s="17"/>
      <c r="CB26" s="17">
        <v>2014</v>
      </c>
      <c r="CC26">
        <v>12</v>
      </c>
      <c r="CD26" s="19">
        <v>1471</v>
      </c>
      <c r="CE26" s="17">
        <f t="shared" si="2"/>
        <v>8.1577158395649222E-3</v>
      </c>
    </row>
    <row r="27" spans="1:83" x14ac:dyDescent="0.25">
      <c r="A27" s="14">
        <v>2009</v>
      </c>
      <c r="B27" s="11">
        <f t="shared" si="3"/>
        <v>310699.45814230794</v>
      </c>
      <c r="C27" s="11">
        <f t="shared" si="4"/>
        <v>139826.46484351903</v>
      </c>
      <c r="D27" s="11">
        <f t="shared" si="5"/>
        <v>8481.2025238000006</v>
      </c>
      <c r="E27" s="11">
        <f t="shared" si="6"/>
        <v>459007.12550962699</v>
      </c>
      <c r="F27" s="5"/>
      <c r="H27" s="14">
        <v>2009</v>
      </c>
      <c r="I27" s="24">
        <f t="shared" ref="I27:K27" si="30">P27+AB27</f>
        <v>310699.45814230794</v>
      </c>
      <c r="J27" s="24">
        <f t="shared" si="30"/>
        <v>138996.10267860402</v>
      </c>
      <c r="K27" s="24">
        <f t="shared" si="30"/>
        <v>8481.2025238000006</v>
      </c>
      <c r="L27" s="24">
        <f t="shared" si="8"/>
        <v>458176.76334471197</v>
      </c>
      <c r="M27" s="5"/>
      <c r="O27" s="42">
        <v>2009</v>
      </c>
      <c r="P27" s="5">
        <v>171499</v>
      </c>
      <c r="Q27" s="5">
        <v>52686</v>
      </c>
      <c r="R27" s="5">
        <v>8325</v>
      </c>
      <c r="U27" s="42">
        <v>2009</v>
      </c>
      <c r="V27" s="5">
        <v>139200.45814230794</v>
      </c>
      <c r="W27" s="5">
        <v>87140.464843519017</v>
      </c>
      <c r="X27" s="5">
        <v>156.20252379999999</v>
      </c>
      <c r="AA27" s="42">
        <v>2009</v>
      </c>
      <c r="AB27" s="5">
        <v>139200.45814230794</v>
      </c>
      <c r="AC27" s="5">
        <v>86310.102678604031</v>
      </c>
      <c r="AD27" s="5">
        <v>156.20252379999999</v>
      </c>
      <c r="AE27" s="17"/>
      <c r="CB27" s="17">
        <v>2015</v>
      </c>
      <c r="CC27">
        <v>30</v>
      </c>
      <c r="CD27" s="19">
        <v>1457</v>
      </c>
      <c r="CE27" s="17">
        <f t="shared" si="2"/>
        <v>2.0590253946465339E-2</v>
      </c>
    </row>
    <row r="28" spans="1:83" x14ac:dyDescent="0.25">
      <c r="A28" s="14">
        <v>2010</v>
      </c>
      <c r="B28" s="11">
        <f t="shared" si="3"/>
        <v>261249.41253571899</v>
      </c>
      <c r="C28" s="11">
        <f t="shared" si="4"/>
        <v>191816.47018039995</v>
      </c>
      <c r="D28" s="11">
        <f t="shared" si="5"/>
        <v>13857.8293902</v>
      </c>
      <c r="E28" s="11">
        <f>SUM(B28:D28)</f>
        <v>466923.71210631891</v>
      </c>
      <c r="F28" s="5"/>
      <c r="H28" s="14">
        <v>2010</v>
      </c>
      <c r="I28" s="24">
        <f t="shared" ref="I28:K28" si="31">P28+AB28</f>
        <v>267010.04306028999</v>
      </c>
      <c r="J28" s="24">
        <f t="shared" si="31"/>
        <v>191786.07414502997</v>
      </c>
      <c r="K28" s="24">
        <f t="shared" si="31"/>
        <v>13857.8293902</v>
      </c>
      <c r="L28" s="24">
        <f>SUM(I28:K28)</f>
        <v>472653.9465955199</v>
      </c>
      <c r="M28" s="5"/>
      <c r="O28" s="42">
        <v>2010</v>
      </c>
      <c r="P28" s="5">
        <v>217053</v>
      </c>
      <c r="Q28" s="5">
        <v>43911</v>
      </c>
      <c r="R28" s="5">
        <v>13854</v>
      </c>
      <c r="U28" s="42">
        <v>2010</v>
      </c>
      <c r="V28" s="5">
        <v>44196.412535718991</v>
      </c>
      <c r="W28" s="5">
        <v>147905.47018039995</v>
      </c>
      <c r="X28" s="5">
        <v>3.8293902000000002</v>
      </c>
      <c r="AA28" s="42">
        <v>2010</v>
      </c>
      <c r="AB28" s="5">
        <v>49957.04306028998</v>
      </c>
      <c r="AC28" s="5">
        <v>147875.07414502997</v>
      </c>
      <c r="AD28" s="5">
        <v>3.8293902000000002</v>
      </c>
      <c r="AE28" s="17"/>
      <c r="CB28" s="17">
        <v>2016</v>
      </c>
      <c r="CC28">
        <v>43</v>
      </c>
      <c r="CD28" s="19">
        <v>1489</v>
      </c>
      <c r="CE28" s="17">
        <f t="shared" si="2"/>
        <v>2.8878441907320349E-2</v>
      </c>
    </row>
    <row r="29" spans="1:83" x14ac:dyDescent="0.25">
      <c r="A29" s="14">
        <v>2011</v>
      </c>
      <c r="B29" s="11">
        <f t="shared" si="3"/>
        <v>320657.76791126002</v>
      </c>
      <c r="C29" s="11">
        <f t="shared" si="4"/>
        <v>252472.14793553294</v>
      </c>
      <c r="D29" s="11">
        <f t="shared" si="5"/>
        <v>48753.768953699</v>
      </c>
      <c r="E29" s="11">
        <f>SUM(B29:D29)</f>
        <v>621883.68480049202</v>
      </c>
      <c r="F29" s="5"/>
      <c r="H29" s="14">
        <v>2011</v>
      </c>
      <c r="I29" s="24">
        <f t="shared" ref="I29:K29" si="32">P29+AB29</f>
        <v>367408.02728530008</v>
      </c>
      <c r="J29" s="24">
        <f t="shared" si="32"/>
        <v>250495.18119283294</v>
      </c>
      <c r="K29" s="24">
        <f t="shared" si="32"/>
        <v>48754.447856910003</v>
      </c>
      <c r="L29" s="24">
        <f>SUM(I29:K29)</f>
        <v>666657.65633504302</v>
      </c>
      <c r="M29" s="5"/>
      <c r="O29" s="42">
        <v>2011</v>
      </c>
      <c r="P29" s="5">
        <v>228420</v>
      </c>
      <c r="Q29" s="5">
        <v>99648</v>
      </c>
      <c r="R29" s="5">
        <v>48356</v>
      </c>
      <c r="U29" s="42">
        <v>2011</v>
      </c>
      <c r="V29" s="5">
        <v>92237.767911260031</v>
      </c>
      <c r="W29" s="5">
        <v>152824.14793553294</v>
      </c>
      <c r="X29" s="5">
        <v>397.76895369899995</v>
      </c>
      <c r="AA29" s="42">
        <v>2011</v>
      </c>
      <c r="AB29" s="5">
        <v>138988.02728530008</v>
      </c>
      <c r="AC29" s="5">
        <v>150847.18119283294</v>
      </c>
      <c r="AD29" s="5">
        <v>398.44785690999998</v>
      </c>
      <c r="AE29" s="17"/>
      <c r="CB29" s="17">
        <v>2017</v>
      </c>
      <c r="CC29">
        <v>43</v>
      </c>
      <c r="CD29" s="19">
        <v>1411</v>
      </c>
      <c r="CE29" s="17">
        <f t="shared" si="2"/>
        <v>3.0474840538625089E-2</v>
      </c>
    </row>
    <row r="30" spans="1:83" x14ac:dyDescent="0.25">
      <c r="A30" s="14">
        <v>2012</v>
      </c>
      <c r="B30" s="24">
        <f t="shared" si="3"/>
        <v>407679.67012939195</v>
      </c>
      <c r="C30" s="24">
        <f t="shared" si="4"/>
        <v>258461.19805012204</v>
      </c>
      <c r="D30" s="24">
        <f t="shared" si="5"/>
        <v>14217.074363199999</v>
      </c>
      <c r="E30" s="24">
        <f t="shared" ref="E30" si="33">SUM(B30:D30)</f>
        <v>680357.94254271395</v>
      </c>
      <c r="F30" s="5">
        <f t="shared" ref="F30:F35" si="34">SUM(B43:D43)</f>
        <v>752660.43961346813</v>
      </c>
      <c r="H30" s="14">
        <v>2012</v>
      </c>
      <c r="I30" s="24">
        <f t="shared" ref="I30:K30" si="35">P30+AB30</f>
        <v>382425.04516476195</v>
      </c>
      <c r="J30" s="24">
        <f t="shared" si="35"/>
        <v>280207.22905732202</v>
      </c>
      <c r="K30" s="24">
        <f t="shared" si="35"/>
        <v>14217.074363199999</v>
      </c>
      <c r="L30" s="24">
        <f t="shared" ref="L30:L35" si="36">SUM(I30:K30)</f>
        <v>676849.34858528397</v>
      </c>
      <c r="M30" s="5">
        <f t="shared" ref="M30:M35" si="37">SUM(I43:K43)</f>
        <v>747988.80669632624</v>
      </c>
      <c r="O30" s="42">
        <v>2012</v>
      </c>
      <c r="P30" s="5">
        <v>240211</v>
      </c>
      <c r="Q30" s="5">
        <v>80825</v>
      </c>
      <c r="R30" s="5">
        <v>14173</v>
      </c>
      <c r="U30" s="42">
        <v>2012</v>
      </c>
      <c r="V30" s="5">
        <v>167468.67012939192</v>
      </c>
      <c r="W30" s="5">
        <v>177636.19805012204</v>
      </c>
      <c r="X30" s="5">
        <v>44.074363200000001</v>
      </c>
      <c r="AA30" s="42">
        <v>2012</v>
      </c>
      <c r="AB30" s="5">
        <v>142214.04516476192</v>
      </c>
      <c r="AC30" s="5">
        <v>199382.22905732205</v>
      </c>
      <c r="AD30" s="5">
        <v>44.074363200000001</v>
      </c>
      <c r="AE30" s="17"/>
      <c r="CB30" s="17">
        <v>2018</v>
      </c>
      <c r="CC30">
        <v>60</v>
      </c>
      <c r="CD30" s="19">
        <v>1664</v>
      </c>
      <c r="CE30" s="17">
        <f t="shared" si="2"/>
        <v>3.6057692307692304E-2</v>
      </c>
    </row>
    <row r="31" spans="1:83" x14ac:dyDescent="0.25">
      <c r="A31" s="14">
        <v>2013</v>
      </c>
      <c r="B31" s="24">
        <f t="shared" si="3"/>
        <v>275897.01360892103</v>
      </c>
      <c r="C31" s="24">
        <f t="shared" si="4"/>
        <v>151314.41489412897</v>
      </c>
      <c r="D31" s="24">
        <f t="shared" si="5"/>
        <v>7888.5992544999999</v>
      </c>
      <c r="E31" s="24">
        <f t="shared" ref="E31:E32" si="38">SUM(B31:D31)</f>
        <v>435100.02775755001</v>
      </c>
      <c r="F31" s="5">
        <f t="shared" si="34"/>
        <v>752660.43961346813</v>
      </c>
      <c r="H31" s="14">
        <v>2013</v>
      </c>
      <c r="I31" s="24">
        <f t="shared" ref="I31:K31" si="39">P31+AB31</f>
        <v>277184.74821268802</v>
      </c>
      <c r="J31" s="24">
        <f t="shared" si="39"/>
        <v>163370.47118159896</v>
      </c>
      <c r="K31" s="24">
        <f t="shared" si="39"/>
        <v>7892.4621535000006</v>
      </c>
      <c r="L31" s="24">
        <f t="shared" si="36"/>
        <v>448447.68154778698</v>
      </c>
      <c r="M31" s="5">
        <f t="shared" si="37"/>
        <v>747988.80669632624</v>
      </c>
      <c r="O31" s="42">
        <v>2013</v>
      </c>
      <c r="P31" s="5">
        <v>139662</v>
      </c>
      <c r="Q31" s="5">
        <v>64925</v>
      </c>
      <c r="R31" s="5">
        <v>2162</v>
      </c>
      <c r="U31" s="42">
        <v>2013</v>
      </c>
      <c r="V31" s="5">
        <v>136235.01360892103</v>
      </c>
      <c r="W31" s="5">
        <v>86389.414894128975</v>
      </c>
      <c r="X31" s="5">
        <v>5726.5992544999999</v>
      </c>
      <c r="AA31" s="42">
        <v>2013</v>
      </c>
      <c r="AB31" s="5">
        <v>137522.74821268802</v>
      </c>
      <c r="AC31" s="5">
        <v>98445.471181598972</v>
      </c>
      <c r="AD31" s="5">
        <v>5730.4621535000006</v>
      </c>
      <c r="AE31" s="17"/>
    </row>
    <row r="32" spans="1:83" x14ac:dyDescent="0.25">
      <c r="A32" s="14">
        <v>2014</v>
      </c>
      <c r="B32" s="24">
        <f t="shared" si="3"/>
        <v>388310.36440179998</v>
      </c>
      <c r="C32" s="24">
        <f t="shared" si="4"/>
        <v>188326.36796587694</v>
      </c>
      <c r="D32" s="24">
        <f t="shared" si="5"/>
        <v>9469.5758325850002</v>
      </c>
      <c r="E32" s="24">
        <f t="shared" si="38"/>
        <v>586106.3082002619</v>
      </c>
      <c r="F32" s="5">
        <f t="shared" si="34"/>
        <v>752660.43961346813</v>
      </c>
      <c r="H32" s="14">
        <v>2014</v>
      </c>
      <c r="I32" s="24">
        <f t="shared" ref="I32:K32" si="40">P32+AB32</f>
        <v>375544.32137103</v>
      </c>
      <c r="J32" s="24">
        <f t="shared" si="40"/>
        <v>184541.34094371699</v>
      </c>
      <c r="K32" s="24">
        <f t="shared" si="40"/>
        <v>9477.2622533479989</v>
      </c>
      <c r="L32" s="24">
        <f t="shared" si="36"/>
        <v>569562.92456809501</v>
      </c>
      <c r="M32" s="5">
        <f t="shared" si="37"/>
        <v>747988.80669632624</v>
      </c>
      <c r="O32" s="42">
        <v>2014</v>
      </c>
      <c r="P32" s="5">
        <v>180117</v>
      </c>
      <c r="Q32" s="5">
        <v>53198</v>
      </c>
      <c r="R32" s="5">
        <v>3142</v>
      </c>
      <c r="U32" s="42">
        <v>2014</v>
      </c>
      <c r="V32" s="5">
        <v>208193.36440179998</v>
      </c>
      <c r="W32" s="5">
        <v>135128.36796587694</v>
      </c>
      <c r="X32" s="5">
        <v>6327.5758325850002</v>
      </c>
      <c r="AA32" s="42">
        <v>2014</v>
      </c>
      <c r="AB32" s="5">
        <v>195427.32137103</v>
      </c>
      <c r="AC32" s="5">
        <v>131343.34094371699</v>
      </c>
      <c r="AD32" s="5">
        <v>6335.2622533479998</v>
      </c>
      <c r="AE32" s="17"/>
    </row>
    <row r="33" spans="1:41" s="17" customFormat="1" x14ac:dyDescent="0.25">
      <c r="A33" s="14">
        <v>2015</v>
      </c>
      <c r="B33" s="24">
        <f t="shared" si="3"/>
        <v>416581.94583269209</v>
      </c>
      <c r="C33" s="24">
        <f t="shared" si="4"/>
        <v>122721.31588139596</v>
      </c>
      <c r="D33" s="24">
        <f t="shared" si="5"/>
        <v>4561.55985719</v>
      </c>
      <c r="E33" s="24">
        <f t="shared" ref="E33" si="41">SUM(B33:D33)</f>
        <v>543864.82157127804</v>
      </c>
      <c r="F33" s="5">
        <f t="shared" si="34"/>
        <v>752660.43961346813</v>
      </c>
      <c r="H33" s="14">
        <v>2015</v>
      </c>
      <c r="I33" s="24">
        <f t="shared" ref="I33:K33" si="42">P33+AB33</f>
        <v>401002.20663621195</v>
      </c>
      <c r="J33" s="24">
        <f t="shared" si="42"/>
        <v>119677.06819977597</v>
      </c>
      <c r="K33" s="24">
        <f t="shared" si="42"/>
        <v>4564.9779211499999</v>
      </c>
      <c r="L33" s="24">
        <f t="shared" si="36"/>
        <v>525244.25275713799</v>
      </c>
      <c r="M33" s="5">
        <f t="shared" si="37"/>
        <v>747988.80669632624</v>
      </c>
      <c r="O33" s="42">
        <v>2015</v>
      </c>
      <c r="P33" s="5">
        <v>122089</v>
      </c>
      <c r="Q33" s="5">
        <v>62182</v>
      </c>
      <c r="R33" s="5">
        <v>2919</v>
      </c>
      <c r="S33"/>
      <c r="T33"/>
      <c r="U33" s="42">
        <v>2015</v>
      </c>
      <c r="V33" s="5">
        <v>294492.94583269209</v>
      </c>
      <c r="W33" s="5">
        <v>60539.31588139596</v>
      </c>
      <c r="X33" s="5">
        <v>1642.55985719</v>
      </c>
      <c r="Y33"/>
      <c r="Z33"/>
      <c r="AA33" s="42">
        <v>2015</v>
      </c>
      <c r="AB33" s="5">
        <v>278913.20663621195</v>
      </c>
      <c r="AC33" s="5">
        <v>57495.06819977596</v>
      </c>
      <c r="AD33" s="5">
        <v>1645.9779211500002</v>
      </c>
      <c r="AF33"/>
      <c r="AG33"/>
      <c r="AH33"/>
      <c r="AI33"/>
      <c r="AJ33"/>
      <c r="AK33"/>
      <c r="AL33"/>
      <c r="AM33"/>
      <c r="AN33"/>
    </row>
    <row r="34" spans="1:41" s="17" customFormat="1" x14ac:dyDescent="0.25">
      <c r="A34" s="14">
        <v>2016</v>
      </c>
      <c r="B34" s="24">
        <f t="shared" si="3"/>
        <v>602195.73248229793</v>
      </c>
      <c r="C34" s="24">
        <f t="shared" si="4"/>
        <v>109055.50340376998</v>
      </c>
      <c r="D34" s="24">
        <f t="shared" si="5"/>
        <v>12915.493920630001</v>
      </c>
      <c r="E34" s="24">
        <f t="shared" ref="E34:E35" si="43">SUM(B34:D34)</f>
        <v>724166.72980669781</v>
      </c>
      <c r="F34" s="5">
        <f t="shared" si="34"/>
        <v>752660.43961346813</v>
      </c>
      <c r="H34" s="14">
        <v>2016</v>
      </c>
      <c r="I34" s="24">
        <f t="shared" ref="I34:K34" si="44">P34+AB34</f>
        <v>606561.95302410796</v>
      </c>
      <c r="J34" s="24">
        <f t="shared" si="44"/>
        <v>109055.50340377001</v>
      </c>
      <c r="K34" s="24">
        <f t="shared" si="44"/>
        <v>12915.96181972</v>
      </c>
      <c r="L34" s="24">
        <f t="shared" si="36"/>
        <v>728533.41824759799</v>
      </c>
      <c r="M34" s="5">
        <f t="shared" si="37"/>
        <v>747988.80669632624</v>
      </c>
      <c r="O34" s="42">
        <v>2016</v>
      </c>
      <c r="P34" s="5">
        <v>139907</v>
      </c>
      <c r="Q34" s="5">
        <v>51127</v>
      </c>
      <c r="R34" s="5">
        <v>12018</v>
      </c>
      <c r="S34"/>
      <c r="T34"/>
      <c r="U34" s="42">
        <v>2016</v>
      </c>
      <c r="V34" s="5">
        <v>462288.73248229793</v>
      </c>
      <c r="W34" s="5">
        <v>57928.503403769988</v>
      </c>
      <c r="X34" s="5">
        <v>897.49392063000016</v>
      </c>
      <c r="Y34"/>
      <c r="Z34"/>
      <c r="AA34" s="42">
        <v>2016</v>
      </c>
      <c r="AB34" s="5">
        <v>466654.95302410802</v>
      </c>
      <c r="AC34" s="5">
        <v>57928.503403770002</v>
      </c>
      <c r="AD34" s="5">
        <v>897.96181972000022</v>
      </c>
    </row>
    <row r="35" spans="1:41" s="17" customFormat="1" x14ac:dyDescent="0.25">
      <c r="A35" s="14">
        <v>2017</v>
      </c>
      <c r="B35" s="24">
        <f>P35+V35</f>
        <v>462371.26199735003</v>
      </c>
      <c r="C35" s="24">
        <f>Q35+W35</f>
        <v>131354.535936745</v>
      </c>
      <c r="D35" s="24">
        <f>R35+X35</f>
        <v>16108.016151</v>
      </c>
      <c r="E35" s="24">
        <f t="shared" si="43"/>
        <v>609833.81408509507</v>
      </c>
      <c r="F35" s="5">
        <f t="shared" si="34"/>
        <v>752660.43961346813</v>
      </c>
      <c r="H35" s="14">
        <v>2017</v>
      </c>
      <c r="I35" s="24">
        <f t="shared" ref="I35:K35" si="45">P35+AB35</f>
        <v>456286.76308268995</v>
      </c>
      <c r="J35" s="24">
        <f t="shared" si="45"/>
        <v>131894.11071132199</v>
      </c>
      <c r="K35" s="24">
        <f t="shared" si="45"/>
        <v>16108.016151</v>
      </c>
      <c r="L35" s="24">
        <f t="shared" si="36"/>
        <v>604288.88994501205</v>
      </c>
      <c r="M35" s="5">
        <f t="shared" si="37"/>
        <v>747988.80669632624</v>
      </c>
      <c r="O35" s="42">
        <v>2017</v>
      </c>
      <c r="P35" s="5">
        <v>102345</v>
      </c>
      <c r="Q35" s="5">
        <v>19955</v>
      </c>
      <c r="R35" s="5">
        <v>15864</v>
      </c>
      <c r="S35"/>
      <c r="T35"/>
      <c r="U35" s="42">
        <v>2017</v>
      </c>
      <c r="V35" s="5">
        <v>360026.26199735003</v>
      </c>
      <c r="W35" s="5">
        <v>111399.53593674501</v>
      </c>
      <c r="X35" s="5">
        <v>244.01615099999998</v>
      </c>
      <c r="Y35"/>
      <c r="AA35" s="42">
        <v>2017</v>
      </c>
      <c r="AB35" s="5">
        <v>353941.76308268995</v>
      </c>
      <c r="AC35" s="5">
        <v>111939.11071132201</v>
      </c>
      <c r="AD35" s="5">
        <v>244.01615099999998</v>
      </c>
      <c r="AE35"/>
      <c r="AF35"/>
      <c r="AG35"/>
      <c r="AH35"/>
      <c r="AJ35"/>
      <c r="AK35"/>
      <c r="AL35"/>
      <c r="AM35"/>
      <c r="AN35"/>
      <c r="AO35"/>
    </row>
    <row r="36" spans="1:41" x14ac:dyDescent="0.25">
      <c r="A36" s="18" t="s">
        <v>71</v>
      </c>
      <c r="B36" s="5">
        <f>AVERAGE(B17:B25)</f>
        <v>300243.54126020614</v>
      </c>
      <c r="C36" s="5">
        <f t="shared" ref="C36:D36" si="46">AVERAGE(C17:C25)</f>
        <v>156178.3479404563</v>
      </c>
      <c r="D36" s="5">
        <f t="shared" si="46"/>
        <v>9424.4363532250009</v>
      </c>
      <c r="E36" s="37"/>
      <c r="F36" s="5"/>
      <c r="G36" s="17"/>
      <c r="H36" s="18" t="s">
        <v>71</v>
      </c>
      <c r="I36" s="5">
        <f>AVERAGE(I17:I25)</f>
        <v>298230.9882084516</v>
      </c>
      <c r="J36" s="5">
        <f t="shared" ref="J36:K36" si="47">AVERAGE(J17:J25)</f>
        <v>157471.89453623397</v>
      </c>
      <c r="K36" s="5">
        <f t="shared" si="47"/>
        <v>9395.3475277320013</v>
      </c>
      <c r="L36" s="37"/>
      <c r="M36" s="5"/>
      <c r="N36" s="17"/>
      <c r="O36" s="18"/>
      <c r="P36" s="5"/>
      <c r="Q36" s="5"/>
      <c r="R36" s="5"/>
      <c r="AA36" s="18"/>
      <c r="AB36" s="5"/>
      <c r="AC36" s="5"/>
      <c r="AD36" s="5"/>
      <c r="AI36" s="17"/>
    </row>
    <row r="37" spans="1:41" x14ac:dyDescent="0.25">
      <c r="A37" s="18" t="s">
        <v>70</v>
      </c>
      <c r="B37" s="5">
        <f>AVERAGE(B30:B35)</f>
        <v>425505.9980754088</v>
      </c>
      <c r="C37" s="5">
        <f t="shared" ref="C37:D37" si="48">AVERAGE(C30:C35)</f>
        <v>160205.55602200649</v>
      </c>
      <c r="D37" s="5">
        <f t="shared" si="48"/>
        <v>10860.053229850833</v>
      </c>
      <c r="E37" s="37"/>
      <c r="F37" s="5"/>
      <c r="G37" s="17"/>
      <c r="H37" s="18" t="s">
        <v>70</v>
      </c>
      <c r="I37" s="5">
        <f>AVERAGE(I30:I35)</f>
        <v>416500.839581915</v>
      </c>
      <c r="J37" s="5">
        <f t="shared" ref="J37:K37" si="49">AVERAGE(J30:J35)</f>
        <v>164790.95391625099</v>
      </c>
      <c r="K37" s="5">
        <f t="shared" si="49"/>
        <v>10862.625776986335</v>
      </c>
      <c r="L37" s="37"/>
      <c r="M37" s="5"/>
      <c r="N37" s="17"/>
      <c r="O37" s="18"/>
      <c r="P37" s="5"/>
      <c r="Q37" s="5"/>
      <c r="R37" s="5"/>
      <c r="X37" s="17"/>
      <c r="AB37" s="18"/>
      <c r="AC37" s="5"/>
      <c r="AD37" s="5"/>
      <c r="AE37" s="5"/>
      <c r="AI37" s="17"/>
    </row>
    <row r="38" spans="1:41" x14ac:dyDescent="0.25">
      <c r="A38" s="18" t="s">
        <v>85</v>
      </c>
      <c r="B38" s="73">
        <f>B37/B36</f>
        <v>1.4172028357027802</v>
      </c>
      <c r="C38" s="73">
        <f t="shared" ref="C38:D38" si="50">C37/C36</f>
        <v>1.0257859564700069</v>
      </c>
      <c r="D38" s="73">
        <f t="shared" si="50"/>
        <v>1.152329202810582</v>
      </c>
      <c r="E38" s="37"/>
      <c r="F38" s="5"/>
      <c r="G38" s="17"/>
      <c r="H38" s="18" t="s">
        <v>85</v>
      </c>
      <c r="I38" s="73">
        <f>I37/I36</f>
        <v>1.3965713022779427</v>
      </c>
      <c r="J38" s="73">
        <f t="shared" ref="J38:K38" si="51">J37/J36</f>
        <v>1.0464785122549785</v>
      </c>
      <c r="K38" s="73">
        <f t="shared" si="51"/>
        <v>1.1561707265136714</v>
      </c>
      <c r="L38" s="37"/>
      <c r="M38" s="5"/>
      <c r="N38" s="17"/>
      <c r="O38" s="18"/>
      <c r="P38" s="5"/>
      <c r="X38" s="17"/>
      <c r="AI38" s="17"/>
    </row>
    <row r="39" spans="1:41" x14ac:dyDescent="0.25">
      <c r="A39" s="18" t="s">
        <v>335</v>
      </c>
      <c r="B39" s="73">
        <f>B43/B36</f>
        <v>1.9296477561216947</v>
      </c>
      <c r="C39" s="73">
        <f t="shared" ref="C39:D39" si="52">C43/C36</f>
        <v>1.0389653445409976</v>
      </c>
      <c r="D39" s="73">
        <f t="shared" si="52"/>
        <v>1.170602934689543</v>
      </c>
      <c r="E39" s="37"/>
      <c r="F39" s="5"/>
      <c r="G39" s="17"/>
      <c r="H39" s="18" t="s">
        <v>335</v>
      </c>
      <c r="I39" s="73">
        <f>I43/I36</f>
        <v>1.926967494904241</v>
      </c>
      <c r="J39" s="73">
        <f t="shared" ref="J39:K39" si="53">J43/J36</f>
        <v>1.0304308051648126</v>
      </c>
      <c r="K39" s="73">
        <f t="shared" si="53"/>
        <v>1.1754217004824148</v>
      </c>
      <c r="L39" s="37"/>
      <c r="M39" s="5"/>
      <c r="N39" s="17"/>
      <c r="O39" s="18"/>
      <c r="P39" s="5"/>
      <c r="X39" s="17"/>
      <c r="AI39" s="17"/>
    </row>
    <row r="40" spans="1:41" x14ac:dyDescent="0.25">
      <c r="X40" s="17"/>
      <c r="AI40" s="17"/>
    </row>
    <row r="41" spans="1:41" x14ac:dyDescent="0.25">
      <c r="B41" s="50" t="s">
        <v>0</v>
      </c>
      <c r="C41" s="50" t="s">
        <v>3</v>
      </c>
      <c r="D41" s="50" t="s">
        <v>11</v>
      </c>
      <c r="E41" s="365" t="s">
        <v>332</v>
      </c>
      <c r="F41" s="365"/>
      <c r="H41" s="50" t="s">
        <v>0</v>
      </c>
      <c r="J41" s="50" t="s">
        <v>3</v>
      </c>
      <c r="K41" s="50" t="s">
        <v>11</v>
      </c>
      <c r="M41" s="365" t="s">
        <v>333</v>
      </c>
      <c r="N41" s="365"/>
      <c r="X41" s="17"/>
      <c r="AI41" s="17"/>
    </row>
    <row r="42" spans="1:41" x14ac:dyDescent="0.25">
      <c r="A42" s="30" t="s">
        <v>20</v>
      </c>
      <c r="B42" s="30" t="s">
        <v>328</v>
      </c>
      <c r="C42" s="333" t="s">
        <v>328</v>
      </c>
      <c r="D42" s="333" t="s">
        <v>328</v>
      </c>
      <c r="E42" s="74" t="s">
        <v>56</v>
      </c>
      <c r="F42" s="53" t="s">
        <v>0</v>
      </c>
      <c r="G42" s="30" t="s">
        <v>20</v>
      </c>
      <c r="H42" s="50" t="s">
        <v>329</v>
      </c>
      <c r="I42" s="50" t="s">
        <v>329</v>
      </c>
      <c r="J42" s="50" t="s">
        <v>329</v>
      </c>
      <c r="K42" s="50" t="s">
        <v>329</v>
      </c>
      <c r="M42" s="74" t="s">
        <v>56</v>
      </c>
      <c r="N42" s="53" t="s">
        <v>0</v>
      </c>
      <c r="X42" s="17"/>
      <c r="AI42" s="17"/>
    </row>
    <row r="43" spans="1:41" x14ac:dyDescent="0.25">
      <c r="A43" s="31">
        <v>2012</v>
      </c>
      <c r="B43" s="5">
        <f t="shared" ref="B43:B48" si="54">$F$49</f>
        <v>579364.27568278823</v>
      </c>
      <c r="C43" s="5">
        <f t="shared" ref="C43:C48" si="55">VLOOKUP(VLOOKUP(3,$C$88:$E$96,3,FALSE),$A$17:$D$25,3,FALSE)</f>
        <v>162263.89107779998</v>
      </c>
      <c r="D43" s="5">
        <f t="shared" ref="D43:D48" si="56">VLOOKUP(VLOOKUP(3,$D$88:$E$96,2,FALSE),$A$17:$D$25,4,FALSE)</f>
        <v>11032.27285288</v>
      </c>
      <c r="E43" s="49" t="s">
        <v>79</v>
      </c>
      <c r="F43" s="49" t="s">
        <v>78</v>
      </c>
      <c r="G43" s="31">
        <v>2012</v>
      </c>
      <c r="H43" s="7">
        <f t="shared" ref="H43:H48" si="57">VLOOKUP(VLOOKUP(3,$I$88:$L$96,4,FALSE),$H$17:$K$25,2,FALSE)</f>
        <v>373892.20666102006</v>
      </c>
      <c r="I43" s="19">
        <f t="shared" ref="I43:I48" si="58">$N$49</f>
        <v>574681.4202508562</v>
      </c>
      <c r="J43" s="7">
        <f t="shared" ref="J43:J48" si="59">VLOOKUP(VLOOKUP(3,$J$88:$L$96,3,FALSE),$H$17:$K$25,3,FALSE)</f>
        <v>162263.89107780001</v>
      </c>
      <c r="K43" s="7">
        <f t="shared" ref="K43:K48" si="60">VLOOKUP(VLOOKUP(3,$K$88:$L$96,2,FALSE),$H$17:$K$25,4,FALSE)</f>
        <v>11043.495367670001</v>
      </c>
      <c r="M43" s="49" t="s">
        <v>79</v>
      </c>
      <c r="N43" s="49" t="s">
        <v>78</v>
      </c>
      <c r="X43" s="17"/>
      <c r="AI43" s="17"/>
    </row>
    <row r="44" spans="1:41" x14ac:dyDescent="0.25">
      <c r="A44" s="31">
        <v>2013</v>
      </c>
      <c r="B44" s="5">
        <f t="shared" si="54"/>
        <v>579364.27568278823</v>
      </c>
      <c r="C44" s="5">
        <f t="shared" si="55"/>
        <v>162263.89107779998</v>
      </c>
      <c r="D44" s="5">
        <f t="shared" si="56"/>
        <v>11032.27285288</v>
      </c>
      <c r="E44" s="49" t="s">
        <v>80</v>
      </c>
      <c r="F44" s="49">
        <f>VLOOKUP(F43,'ORCS Categories'!$A$5:$C$9,2,FALSE)</f>
        <v>1.5</v>
      </c>
      <c r="G44" s="31">
        <v>2013</v>
      </c>
      <c r="H44" s="7">
        <f t="shared" si="57"/>
        <v>373892.20666102006</v>
      </c>
      <c r="I44" s="19">
        <f t="shared" si="58"/>
        <v>574681.4202508562</v>
      </c>
      <c r="J44" s="7">
        <f t="shared" si="59"/>
        <v>162263.89107780001</v>
      </c>
      <c r="K44" s="7">
        <f t="shared" si="60"/>
        <v>11043.495367670001</v>
      </c>
      <c r="M44" s="49" t="s">
        <v>80</v>
      </c>
      <c r="N44" s="49">
        <f>VLOOKUP(N43,'ORCS Categories'!$A$5:$C$9,2,FALSE)</f>
        <v>1.5</v>
      </c>
      <c r="X44" s="17"/>
      <c r="AI44" s="17"/>
    </row>
    <row r="45" spans="1:41" s="17" customFormat="1" x14ac:dyDescent="0.25">
      <c r="A45" s="31">
        <v>2014</v>
      </c>
      <c r="B45" s="5">
        <f t="shared" si="54"/>
        <v>579364.27568278823</v>
      </c>
      <c r="C45" s="5">
        <f t="shared" si="55"/>
        <v>162263.89107779998</v>
      </c>
      <c r="D45" s="5">
        <f t="shared" si="56"/>
        <v>11032.27285288</v>
      </c>
      <c r="E45" s="49" t="s">
        <v>81</v>
      </c>
      <c r="F45" s="49" t="s">
        <v>54</v>
      </c>
      <c r="G45" s="31">
        <v>2014</v>
      </c>
      <c r="H45" s="7">
        <f t="shared" si="57"/>
        <v>373892.20666102006</v>
      </c>
      <c r="I45" s="19">
        <f t="shared" si="58"/>
        <v>574681.4202508562</v>
      </c>
      <c r="J45" s="7">
        <f t="shared" si="59"/>
        <v>162263.89107780001</v>
      </c>
      <c r="K45" s="7">
        <f t="shared" si="60"/>
        <v>11043.495367670001</v>
      </c>
      <c r="L45"/>
      <c r="M45" s="49" t="s">
        <v>81</v>
      </c>
      <c r="N45" s="49" t="s">
        <v>54</v>
      </c>
      <c r="O45"/>
      <c r="P45"/>
      <c r="Q45"/>
      <c r="R45"/>
      <c r="S45"/>
      <c r="T45"/>
      <c r="U45"/>
      <c r="V45"/>
      <c r="W45"/>
      <c r="Y45"/>
      <c r="Z45"/>
      <c r="AA45"/>
      <c r="AB45"/>
      <c r="AC45"/>
      <c r="AD45"/>
      <c r="AE45"/>
      <c r="AF45"/>
      <c r="AG45"/>
      <c r="AH45"/>
      <c r="AJ45"/>
      <c r="AK45"/>
      <c r="AL45"/>
    </row>
    <row r="46" spans="1:41" x14ac:dyDescent="0.25">
      <c r="A46" s="31">
        <v>2015</v>
      </c>
      <c r="B46" s="5">
        <f t="shared" si="54"/>
        <v>579364.27568278823</v>
      </c>
      <c r="C46" s="5">
        <f t="shared" si="55"/>
        <v>162263.89107779998</v>
      </c>
      <c r="D46" s="5">
        <f t="shared" si="56"/>
        <v>11032.27285288</v>
      </c>
      <c r="E46" s="49" t="s">
        <v>82</v>
      </c>
      <c r="F46" s="49">
        <f>VLOOKUP(F47,B17:$H$25,7,FALSE)</f>
        <v>2007</v>
      </c>
      <c r="G46" s="31">
        <v>2015</v>
      </c>
      <c r="H46" s="7">
        <f t="shared" si="57"/>
        <v>373892.20666102006</v>
      </c>
      <c r="I46" s="19">
        <f t="shared" si="58"/>
        <v>574681.4202508562</v>
      </c>
      <c r="J46" s="7">
        <f t="shared" si="59"/>
        <v>162263.89107780001</v>
      </c>
      <c r="K46" s="7">
        <f t="shared" si="60"/>
        <v>11043.495367670001</v>
      </c>
      <c r="M46" s="49" t="s">
        <v>82</v>
      </c>
      <c r="N46" s="49">
        <f>VLOOKUP(N47,I17:$O$25,7,FALSE)</f>
        <v>2007</v>
      </c>
      <c r="X46" s="17"/>
      <c r="AI46" s="17"/>
    </row>
    <row r="47" spans="1:41" x14ac:dyDescent="0.25">
      <c r="A47" s="31">
        <v>2016</v>
      </c>
      <c r="B47" s="5">
        <f t="shared" si="54"/>
        <v>579364.27568278823</v>
      </c>
      <c r="C47" s="5">
        <f t="shared" si="55"/>
        <v>162263.89107779998</v>
      </c>
      <c r="D47" s="5">
        <f t="shared" si="56"/>
        <v>11032.27285288</v>
      </c>
      <c r="E47" s="49" t="s">
        <v>83</v>
      </c>
      <c r="F47" s="24">
        <f>MAX(B17:B25)</f>
        <v>482803.56306899013</v>
      </c>
      <c r="G47" s="31">
        <v>2016</v>
      </c>
      <c r="H47" s="7">
        <f t="shared" si="57"/>
        <v>373892.20666102006</v>
      </c>
      <c r="I47" s="19">
        <f t="shared" si="58"/>
        <v>574681.4202508562</v>
      </c>
      <c r="J47" s="7">
        <f t="shared" si="59"/>
        <v>162263.89107780001</v>
      </c>
      <c r="K47" s="7">
        <f t="shared" si="60"/>
        <v>11043.495367670001</v>
      </c>
      <c r="M47" s="49" t="s">
        <v>83</v>
      </c>
      <c r="N47" s="24">
        <f>MAX(I17:I25)</f>
        <v>478901.18354238011</v>
      </c>
      <c r="X47" s="17"/>
      <c r="AI47" s="17"/>
    </row>
    <row r="48" spans="1:41" x14ac:dyDescent="0.25">
      <c r="A48" s="31">
        <v>2017</v>
      </c>
      <c r="B48" s="5">
        <f t="shared" si="54"/>
        <v>579364.27568278823</v>
      </c>
      <c r="C48" s="5">
        <f t="shared" si="55"/>
        <v>162263.89107779998</v>
      </c>
      <c r="D48" s="5">
        <f t="shared" si="56"/>
        <v>11032.27285288</v>
      </c>
      <c r="E48" s="49" t="s">
        <v>59</v>
      </c>
      <c r="F48" s="49">
        <f>VLOOKUP(F43,'ORCS Categories'!$A$5:$C$9,3,FALSE)</f>
        <v>0.8</v>
      </c>
      <c r="G48" s="31">
        <v>2017</v>
      </c>
      <c r="H48" s="7">
        <f t="shared" si="57"/>
        <v>373892.20666102006</v>
      </c>
      <c r="I48" s="19">
        <f t="shared" si="58"/>
        <v>574681.4202508562</v>
      </c>
      <c r="J48" s="7">
        <f t="shared" si="59"/>
        <v>162263.89107780001</v>
      </c>
      <c r="K48" s="7">
        <f t="shared" si="60"/>
        <v>11043.495367670001</v>
      </c>
      <c r="M48" s="49" t="s">
        <v>59</v>
      </c>
      <c r="N48" s="49">
        <f>VLOOKUP(N43,'ORCS Categories'!$A$5:$C$9,3,FALSE)</f>
        <v>0.8</v>
      </c>
      <c r="X48" s="17"/>
      <c r="AI48" s="17"/>
    </row>
    <row r="49" spans="1:35" x14ac:dyDescent="0.25">
      <c r="A49" s="17"/>
      <c r="B49" s="17"/>
      <c r="C49" s="17"/>
      <c r="D49" s="17"/>
      <c r="E49" s="49" t="s">
        <v>41</v>
      </c>
      <c r="F49" s="24">
        <f>F47*F44*F48</f>
        <v>579364.27568278823</v>
      </c>
      <c r="G49" s="17"/>
      <c r="H49" s="17"/>
      <c r="I49" s="45"/>
      <c r="J49" s="45"/>
      <c r="K49" s="45"/>
      <c r="L49" s="17"/>
      <c r="M49" s="49" t="s">
        <v>41</v>
      </c>
      <c r="N49" s="24">
        <f>N47*N44*N48</f>
        <v>574681.4202508562</v>
      </c>
      <c r="X49" s="17"/>
      <c r="AI49" s="17"/>
    </row>
    <row r="50" spans="1:35" x14ac:dyDescent="0.25">
      <c r="X50" s="17"/>
      <c r="AI50" s="17"/>
    </row>
    <row r="51" spans="1:35" x14ac:dyDescent="0.25">
      <c r="X51" s="17"/>
      <c r="AI51" s="17"/>
    </row>
    <row r="52" spans="1:35" x14ac:dyDescent="0.25">
      <c r="X52" s="17"/>
      <c r="AI52" s="17"/>
    </row>
    <row r="53" spans="1:35" x14ac:dyDescent="0.25">
      <c r="X53" s="17"/>
      <c r="AI53" s="17"/>
    </row>
    <row r="54" spans="1:35" x14ac:dyDescent="0.25">
      <c r="X54" s="17"/>
      <c r="AI54" s="17"/>
    </row>
    <row r="55" spans="1:35" x14ac:dyDescent="0.25">
      <c r="X55" s="17"/>
      <c r="AI55" s="17"/>
    </row>
    <row r="56" spans="1:35" x14ac:dyDescent="0.25">
      <c r="X56" s="17"/>
      <c r="AI56" s="17"/>
    </row>
    <row r="57" spans="1:35" x14ac:dyDescent="0.25">
      <c r="X57" s="17"/>
      <c r="AI57" s="17"/>
    </row>
    <row r="58" spans="1:35" x14ac:dyDescent="0.25">
      <c r="X58" s="17"/>
      <c r="AI58" s="17"/>
    </row>
    <row r="59" spans="1:35" x14ac:dyDescent="0.25">
      <c r="X59" s="17"/>
      <c r="AI59" s="17"/>
    </row>
    <row r="60" spans="1:35" x14ac:dyDescent="0.25">
      <c r="X60" s="17"/>
      <c r="AI60" s="17"/>
    </row>
    <row r="61" spans="1:35" x14ac:dyDescent="0.25">
      <c r="X61" s="17"/>
      <c r="AI61" s="17"/>
    </row>
    <row r="62" spans="1:35" x14ac:dyDescent="0.25">
      <c r="X62" s="17"/>
      <c r="AI62" s="17"/>
    </row>
    <row r="63" spans="1:35" x14ac:dyDescent="0.25">
      <c r="X63" s="17"/>
      <c r="AI63" s="17"/>
    </row>
    <row r="64" spans="1:35" x14ac:dyDescent="0.25">
      <c r="R64" s="17"/>
      <c r="S64" s="17"/>
      <c r="X64" s="17"/>
      <c r="AI64" s="17"/>
    </row>
    <row r="65" spans="12:48" x14ac:dyDescent="0.25">
      <c r="Q65" s="19"/>
      <c r="X65" s="17"/>
      <c r="AI65" s="17"/>
    </row>
    <row r="66" spans="12:48" x14ac:dyDescent="0.25">
      <c r="Q66" s="366" t="s">
        <v>0</v>
      </c>
      <c r="R66" s="366"/>
      <c r="S66" s="366"/>
      <c r="T66" s="366"/>
      <c r="U66" s="366"/>
      <c r="V66" s="366"/>
      <c r="W66" s="366"/>
      <c r="X66" s="366"/>
      <c r="Y66" s="366"/>
      <c r="Z66" s="366"/>
      <c r="AB66" s="366" t="s">
        <v>3</v>
      </c>
      <c r="AC66" s="366"/>
      <c r="AD66" s="366"/>
      <c r="AE66" s="366"/>
      <c r="AF66" s="366"/>
      <c r="AG66" s="366"/>
      <c r="AH66" s="366"/>
      <c r="AI66" s="366"/>
      <c r="AJ66" s="366"/>
      <c r="AK66" s="366"/>
      <c r="AM66" s="366" t="s">
        <v>11</v>
      </c>
      <c r="AN66" s="366"/>
      <c r="AO66" s="366"/>
      <c r="AP66" s="366"/>
      <c r="AQ66" s="366"/>
      <c r="AR66" s="366"/>
      <c r="AS66" s="366"/>
      <c r="AT66" s="366"/>
      <c r="AU66" s="366"/>
      <c r="AV66" s="366"/>
    </row>
    <row r="67" spans="12:48" x14ac:dyDescent="0.25">
      <c r="P67" s="19"/>
      <c r="Q67" s="88" t="s">
        <v>20</v>
      </c>
      <c r="R67" s="88" t="s">
        <v>94</v>
      </c>
      <c r="S67" s="88" t="s">
        <v>95</v>
      </c>
      <c r="T67" s="88" t="s">
        <v>101</v>
      </c>
      <c r="U67" s="93" t="s">
        <v>50</v>
      </c>
      <c r="V67" s="88" t="s">
        <v>45</v>
      </c>
      <c r="W67" s="88" t="s">
        <v>98</v>
      </c>
      <c r="X67" s="88" t="s">
        <v>97</v>
      </c>
      <c r="Y67" s="88" t="s">
        <v>99</v>
      </c>
      <c r="Z67" s="88" t="s">
        <v>103</v>
      </c>
      <c r="AB67" s="88" t="s">
        <v>20</v>
      </c>
      <c r="AC67" s="88" t="s">
        <v>94</v>
      </c>
      <c r="AD67" s="88" t="s">
        <v>95</v>
      </c>
      <c r="AE67" s="88" t="s">
        <v>101</v>
      </c>
      <c r="AF67" s="93" t="s">
        <v>50</v>
      </c>
      <c r="AG67" s="88" t="s">
        <v>45</v>
      </c>
      <c r="AH67" s="88" t="s">
        <v>98</v>
      </c>
      <c r="AI67" s="88" t="s">
        <v>97</v>
      </c>
      <c r="AJ67" s="88" t="s">
        <v>99</v>
      </c>
      <c r="AK67" s="88" t="s">
        <v>103</v>
      </c>
      <c r="AM67" s="110" t="s">
        <v>20</v>
      </c>
      <c r="AN67" s="110" t="s">
        <v>94</v>
      </c>
      <c r="AO67" s="110" t="s">
        <v>95</v>
      </c>
      <c r="AP67" s="110" t="s">
        <v>101</v>
      </c>
      <c r="AQ67" s="93" t="s">
        <v>50</v>
      </c>
      <c r="AR67" s="110" t="s">
        <v>45</v>
      </c>
      <c r="AS67" s="110" t="s">
        <v>98</v>
      </c>
      <c r="AT67" s="110" t="s">
        <v>97</v>
      </c>
      <c r="AU67" s="110" t="s">
        <v>99</v>
      </c>
      <c r="AV67" s="110" t="s">
        <v>103</v>
      </c>
    </row>
    <row r="68" spans="12:48" x14ac:dyDescent="0.25">
      <c r="L68" s="17"/>
      <c r="M68" s="17"/>
      <c r="N68" s="17"/>
      <c r="P68" s="19"/>
      <c r="Q68" s="39">
        <v>1991</v>
      </c>
      <c r="R68" s="26"/>
      <c r="S68" s="26"/>
      <c r="T68" s="26"/>
      <c r="U68" s="35">
        <v>17188.737095999997</v>
      </c>
      <c r="V68" s="5">
        <v>17188.737095999997</v>
      </c>
      <c r="W68" s="5">
        <f t="shared" ref="W68:W94" si="61">T68+V68</f>
        <v>17188.737095999997</v>
      </c>
      <c r="X68" s="5">
        <f t="shared" ref="X68:X94" si="62">U68-W68</f>
        <v>0</v>
      </c>
      <c r="Y68" s="92">
        <f t="shared" ref="Y68:Y94" si="63">X68/W68</f>
        <v>0</v>
      </c>
      <c r="Z68" s="92">
        <f t="shared" ref="Z68:Z94" si="64">X68/$W$95</f>
        <v>0</v>
      </c>
      <c r="AB68" s="39">
        <v>1991</v>
      </c>
      <c r="AC68" s="26"/>
      <c r="AD68" s="26"/>
      <c r="AE68" s="26"/>
      <c r="AF68" s="35">
        <v>79.431737999999996</v>
      </c>
      <c r="AG68" s="5">
        <v>79.431737999999996</v>
      </c>
      <c r="AH68" s="5">
        <f t="shared" ref="AH68:AH94" si="65">AE68+AG68</f>
        <v>79.431737999999996</v>
      </c>
      <c r="AI68" s="5">
        <f t="shared" ref="AI68:AI94" si="66">AF68-AH68</f>
        <v>0</v>
      </c>
      <c r="AJ68" s="92">
        <f t="shared" ref="AJ68:AJ94" si="67">AI68/AH68</f>
        <v>0</v>
      </c>
      <c r="AK68" s="92">
        <f t="shared" ref="AK68:AK94" si="68">AI68/$AH$95</f>
        <v>0</v>
      </c>
      <c r="AM68" s="39">
        <v>1991</v>
      </c>
      <c r="AN68" s="26">
        <v>0</v>
      </c>
      <c r="AO68" s="26">
        <v>0</v>
      </c>
      <c r="AP68" s="26">
        <v>0</v>
      </c>
      <c r="AQ68" s="35">
        <v>10.714355999999999</v>
      </c>
      <c r="AR68" s="5">
        <v>10.714355999999999</v>
      </c>
      <c r="AS68" s="5">
        <f t="shared" ref="AS68:AS94" si="69">AP68+AR68</f>
        <v>10.714355999999999</v>
      </c>
      <c r="AT68" s="5">
        <f t="shared" ref="AT68:AT94" si="70">AQ68-AS68</f>
        <v>0</v>
      </c>
      <c r="AU68" s="92">
        <f t="shared" ref="AU68:AU94" si="71">AT68/AS68</f>
        <v>0</v>
      </c>
      <c r="AV68" s="92">
        <f>AT68/$AS$95</f>
        <v>0</v>
      </c>
    </row>
    <row r="69" spans="12:48" x14ac:dyDescent="0.25">
      <c r="L69" s="17"/>
      <c r="M69" s="17"/>
      <c r="N69" s="17"/>
      <c r="P69" s="19"/>
      <c r="Q69" s="39">
        <v>1992</v>
      </c>
      <c r="R69" s="26">
        <v>12</v>
      </c>
      <c r="S69" s="26">
        <v>1</v>
      </c>
      <c r="T69" s="26">
        <v>6167.0259440615364</v>
      </c>
      <c r="U69" s="35">
        <v>66376.062040309989</v>
      </c>
      <c r="V69" s="5">
        <v>20178.527432000003</v>
      </c>
      <c r="W69" s="5">
        <f t="shared" si="61"/>
        <v>26345.55337606154</v>
      </c>
      <c r="X69" s="5">
        <f t="shared" si="62"/>
        <v>40030.508664248453</v>
      </c>
      <c r="Y69" s="92">
        <f t="shared" si="63"/>
        <v>1.5194407987126026</v>
      </c>
      <c r="Z69" s="92">
        <f t="shared" si="64"/>
        <v>0.29126696189109358</v>
      </c>
      <c r="AB69" s="39">
        <v>1992</v>
      </c>
      <c r="AC69" s="26">
        <v>0</v>
      </c>
      <c r="AD69" s="26">
        <v>0</v>
      </c>
      <c r="AE69" s="26">
        <v>0</v>
      </c>
      <c r="AF69" s="35">
        <v>4342.0478839999996</v>
      </c>
      <c r="AG69" s="5">
        <v>4342.0478839999996</v>
      </c>
      <c r="AH69" s="5">
        <f t="shared" si="65"/>
        <v>4342.0478839999996</v>
      </c>
      <c r="AI69" s="5">
        <f t="shared" si="66"/>
        <v>0</v>
      </c>
      <c r="AJ69" s="92">
        <f t="shared" si="67"/>
        <v>0</v>
      </c>
      <c r="AK69" s="92">
        <f t="shared" si="68"/>
        <v>0</v>
      </c>
      <c r="AM69" s="39">
        <v>1992</v>
      </c>
      <c r="AN69" s="26">
        <v>2</v>
      </c>
      <c r="AO69" s="26">
        <v>0</v>
      </c>
      <c r="AP69" s="26">
        <v>1229.2258342925829</v>
      </c>
      <c r="AQ69" s="35">
        <v>7399.4266038000005</v>
      </c>
      <c r="AR69" s="5">
        <v>2397.1938559999999</v>
      </c>
      <c r="AS69" s="5">
        <f t="shared" si="69"/>
        <v>3626.4196902925828</v>
      </c>
      <c r="AT69" s="5">
        <f t="shared" si="70"/>
        <v>3773.0069135074177</v>
      </c>
      <c r="AU69" s="92">
        <f t="shared" si="71"/>
        <v>1.0404220238510253</v>
      </c>
      <c r="AV69" s="92">
        <f t="shared" ref="AV69:AV94" si="72">AT69/$AS$95</f>
        <v>0.81830926175461693</v>
      </c>
    </row>
    <row r="70" spans="12:48" x14ac:dyDescent="0.25">
      <c r="L70" s="17"/>
      <c r="M70" s="17"/>
      <c r="N70" s="17"/>
      <c r="P70" s="19"/>
      <c r="Q70" s="39">
        <v>1993</v>
      </c>
      <c r="R70" s="26">
        <v>1</v>
      </c>
      <c r="S70" s="26">
        <v>1</v>
      </c>
      <c r="T70" s="26">
        <v>1741.8599612004055</v>
      </c>
      <c r="U70" s="35">
        <v>37361.5199355</v>
      </c>
      <c r="V70" s="5">
        <v>32028.384707999998</v>
      </c>
      <c r="W70" s="5">
        <f t="shared" si="61"/>
        <v>33770.244669200401</v>
      </c>
      <c r="X70" s="5">
        <f t="shared" si="62"/>
        <v>3591.275266299599</v>
      </c>
      <c r="Y70" s="92">
        <f t="shared" si="63"/>
        <v>0.10634436621582913</v>
      </c>
      <c r="Z70" s="92">
        <f t="shared" si="64"/>
        <v>2.6130565686863737E-2</v>
      </c>
      <c r="AB70" s="39">
        <v>1993</v>
      </c>
      <c r="AC70" s="26">
        <v>3</v>
      </c>
      <c r="AD70" s="26">
        <v>0</v>
      </c>
      <c r="AE70" s="26">
        <v>469.77833992004759</v>
      </c>
      <c r="AF70" s="35">
        <v>30872.4940613</v>
      </c>
      <c r="AG70" s="5">
        <v>27499.342652000003</v>
      </c>
      <c r="AH70" s="5">
        <f t="shared" si="65"/>
        <v>27969.120991920052</v>
      </c>
      <c r="AI70" s="5">
        <f t="shared" si="66"/>
        <v>2903.373069379948</v>
      </c>
      <c r="AJ70" s="92">
        <f t="shared" si="67"/>
        <v>0.10380637526001257</v>
      </c>
      <c r="AK70" s="92">
        <f t="shared" si="68"/>
        <v>3.4232563515691074E-2</v>
      </c>
      <c r="AM70" s="39">
        <v>1993</v>
      </c>
      <c r="AN70" s="26">
        <v>17</v>
      </c>
      <c r="AO70" s="26">
        <v>0</v>
      </c>
      <c r="AP70" s="26">
        <v>3274.3539755871911</v>
      </c>
      <c r="AQ70" s="35">
        <v>18300.914256550004</v>
      </c>
      <c r="AR70" s="5">
        <v>9.5238720000000008</v>
      </c>
      <c r="AS70" s="5">
        <f t="shared" si="69"/>
        <v>3283.8778475871914</v>
      </c>
      <c r="AT70" s="5">
        <f t="shared" si="70"/>
        <v>15017.036408962813</v>
      </c>
      <c r="AU70" s="92">
        <f t="shared" si="71"/>
        <v>4.5729582846683794</v>
      </c>
      <c r="AV70" s="92">
        <f t="shared" si="72"/>
        <v>3.25697255776746</v>
      </c>
    </row>
    <row r="71" spans="12:48" x14ac:dyDescent="0.25">
      <c r="L71" s="17"/>
      <c r="M71" s="17"/>
      <c r="N71" s="17"/>
      <c r="P71" s="19"/>
      <c r="Q71" s="39">
        <v>1994</v>
      </c>
      <c r="R71" s="26">
        <v>15</v>
      </c>
      <c r="S71" s="26">
        <v>0</v>
      </c>
      <c r="T71" s="26">
        <v>18675.828249082097</v>
      </c>
      <c r="U71" s="35">
        <v>52154.652441780017</v>
      </c>
      <c r="V71" s="5">
        <v>25926.029861999996</v>
      </c>
      <c r="W71" s="5">
        <f t="shared" si="61"/>
        <v>44601.858111082096</v>
      </c>
      <c r="X71" s="5">
        <f t="shared" si="62"/>
        <v>7552.7943306979214</v>
      </c>
      <c r="Y71" s="92">
        <f t="shared" si="63"/>
        <v>0.16933810945471126</v>
      </c>
      <c r="Z71" s="92">
        <f t="shared" si="64"/>
        <v>5.495507131677764E-2</v>
      </c>
      <c r="AB71" s="39">
        <v>1994</v>
      </c>
      <c r="AC71" s="26"/>
      <c r="AD71" s="26"/>
      <c r="AE71" s="26"/>
      <c r="AF71" s="35">
        <v>21582.48285</v>
      </c>
      <c r="AG71" s="5">
        <v>21582.48285</v>
      </c>
      <c r="AH71" s="5">
        <f t="shared" si="65"/>
        <v>21582.48285</v>
      </c>
      <c r="AI71" s="5">
        <f t="shared" si="66"/>
        <v>0</v>
      </c>
      <c r="AJ71" s="92">
        <f t="shared" si="67"/>
        <v>0</v>
      </c>
      <c r="AK71" s="92">
        <f t="shared" si="68"/>
        <v>0</v>
      </c>
      <c r="AM71" s="39">
        <v>1994</v>
      </c>
      <c r="AN71" s="26">
        <v>1</v>
      </c>
      <c r="AO71" s="26">
        <v>3</v>
      </c>
      <c r="AP71" s="26">
        <v>319.98502763174787</v>
      </c>
      <c r="AQ71" s="35">
        <v>600.29710059999991</v>
      </c>
      <c r="AR71" s="5">
        <v>63.999537999999994</v>
      </c>
      <c r="AS71" s="5">
        <f t="shared" si="69"/>
        <v>383.98456563174784</v>
      </c>
      <c r="AT71" s="5">
        <f t="shared" si="70"/>
        <v>216.31253496825207</v>
      </c>
      <c r="AU71" s="92">
        <f t="shared" si="71"/>
        <v>0.56333653570779707</v>
      </c>
      <c r="AV71" s="92">
        <f t="shared" si="72"/>
        <v>4.6914981831716197E-2</v>
      </c>
    </row>
    <row r="72" spans="12:48" x14ac:dyDescent="0.25">
      <c r="L72" s="17"/>
      <c r="M72" s="17"/>
      <c r="N72" s="17"/>
      <c r="P72" s="19"/>
      <c r="Q72" s="39">
        <v>1995</v>
      </c>
      <c r="R72" s="26">
        <v>2</v>
      </c>
      <c r="S72" s="26">
        <v>3</v>
      </c>
      <c r="T72" s="26">
        <v>6621.0878519438265</v>
      </c>
      <c r="U72" s="35">
        <v>70968.818924449995</v>
      </c>
      <c r="V72" s="5">
        <v>35393.045228000003</v>
      </c>
      <c r="W72" s="5">
        <f t="shared" si="61"/>
        <v>42014.133079943829</v>
      </c>
      <c r="X72" s="5">
        <f t="shared" si="62"/>
        <v>28954.685844506166</v>
      </c>
      <c r="Y72" s="92">
        <f t="shared" si="63"/>
        <v>0.68916537655106791</v>
      </c>
      <c r="Z72" s="92">
        <f t="shared" si="64"/>
        <v>0.21067789693045855</v>
      </c>
      <c r="AB72" s="39">
        <v>1995</v>
      </c>
      <c r="AC72" s="26">
        <v>4</v>
      </c>
      <c r="AD72" s="26">
        <v>0</v>
      </c>
      <c r="AE72" s="26">
        <v>1270.7432382229003</v>
      </c>
      <c r="AF72" s="35">
        <v>35504.425640500005</v>
      </c>
      <c r="AG72" s="5">
        <v>26972.421205999995</v>
      </c>
      <c r="AH72" s="5">
        <f t="shared" si="65"/>
        <v>28243.164444222897</v>
      </c>
      <c r="AI72" s="5">
        <f t="shared" si="66"/>
        <v>7261.261196277108</v>
      </c>
      <c r="AJ72" s="92">
        <f t="shared" si="67"/>
        <v>0.25709800368217556</v>
      </c>
      <c r="AK72" s="92">
        <f t="shared" si="68"/>
        <v>8.5614758822111905E-2</v>
      </c>
      <c r="AM72" s="39">
        <v>1995</v>
      </c>
      <c r="AN72" s="26"/>
      <c r="AO72" s="26"/>
      <c r="AP72" s="26"/>
      <c r="AQ72" s="35">
        <v>21.120068</v>
      </c>
      <c r="AR72" s="5">
        <v>21.120068</v>
      </c>
      <c r="AS72" s="5">
        <f t="shared" si="69"/>
        <v>21.120068</v>
      </c>
      <c r="AT72" s="5">
        <f t="shared" si="70"/>
        <v>0</v>
      </c>
      <c r="AU72" s="92">
        <f t="shared" si="71"/>
        <v>0</v>
      </c>
      <c r="AV72" s="92">
        <f t="shared" si="72"/>
        <v>0</v>
      </c>
    </row>
    <row r="73" spans="12:48" x14ac:dyDescent="0.25">
      <c r="L73" s="17"/>
      <c r="M73" s="17"/>
      <c r="N73" s="17"/>
      <c r="P73" s="19"/>
      <c r="Q73" s="39">
        <v>1996</v>
      </c>
      <c r="R73" s="26"/>
      <c r="S73" s="26"/>
      <c r="T73" s="26"/>
      <c r="U73" s="35">
        <v>36390.781049999998</v>
      </c>
      <c r="V73" s="5">
        <v>36390.781049999998</v>
      </c>
      <c r="W73" s="5">
        <f t="shared" si="61"/>
        <v>36390.781049999998</v>
      </c>
      <c r="X73" s="5">
        <f t="shared" si="62"/>
        <v>0</v>
      </c>
      <c r="Y73" s="92">
        <f t="shared" si="63"/>
        <v>0</v>
      </c>
      <c r="Z73" s="92">
        <f t="shared" si="64"/>
        <v>0</v>
      </c>
      <c r="AB73" s="39">
        <v>1996</v>
      </c>
      <c r="AC73" s="26">
        <v>9</v>
      </c>
      <c r="AD73" s="26">
        <v>0</v>
      </c>
      <c r="AE73" s="26">
        <v>533.84508696568241</v>
      </c>
      <c r="AF73" s="35">
        <v>25042.056916359998</v>
      </c>
      <c r="AG73" s="5">
        <v>20958.625142000001</v>
      </c>
      <c r="AH73" s="5">
        <f t="shared" si="65"/>
        <v>21492.470228965682</v>
      </c>
      <c r="AI73" s="5">
        <f t="shared" si="66"/>
        <v>3549.586687394316</v>
      </c>
      <c r="AJ73" s="92">
        <f t="shared" si="67"/>
        <v>0.16515489609056161</v>
      </c>
      <c r="AK73" s="92">
        <f t="shared" si="68"/>
        <v>4.1851821597500623E-2</v>
      </c>
      <c r="AM73" s="39">
        <v>1996</v>
      </c>
      <c r="AN73" s="26">
        <v>1</v>
      </c>
      <c r="AO73" s="26">
        <v>0</v>
      </c>
      <c r="AP73" s="26">
        <v>726.08298817835043</v>
      </c>
      <c r="AQ73" s="35">
        <v>2483.8427705999998</v>
      </c>
      <c r="AR73" s="5">
        <v>37.742752000000003</v>
      </c>
      <c r="AS73" s="5">
        <f t="shared" si="69"/>
        <v>763.82574017835043</v>
      </c>
      <c r="AT73" s="5">
        <f t="shared" si="70"/>
        <v>1720.0170304216495</v>
      </c>
      <c r="AU73" s="92">
        <f t="shared" si="71"/>
        <v>2.2518448121688488</v>
      </c>
      <c r="AV73" s="92">
        <f t="shared" si="72"/>
        <v>0.37304619329766342</v>
      </c>
    </row>
    <row r="74" spans="12:48" x14ac:dyDescent="0.25">
      <c r="L74" s="17"/>
      <c r="M74" s="17"/>
      <c r="N74" s="17"/>
      <c r="P74" s="19"/>
      <c r="Q74" s="39">
        <v>1997</v>
      </c>
      <c r="R74" s="26">
        <v>1</v>
      </c>
      <c r="S74" s="26">
        <v>1</v>
      </c>
      <c r="T74" s="26">
        <v>655.53631208457045</v>
      </c>
      <c r="U74" s="35">
        <v>35896.304114899991</v>
      </c>
      <c r="V74" s="5">
        <v>25559.823755999998</v>
      </c>
      <c r="W74" s="5">
        <f t="shared" si="61"/>
        <v>26215.36006808457</v>
      </c>
      <c r="X74" s="5">
        <f t="shared" si="62"/>
        <v>9680.9440468154207</v>
      </c>
      <c r="Y74" s="92">
        <f t="shared" si="63"/>
        <v>0.36928518325412268</v>
      </c>
      <c r="Z74" s="92">
        <f t="shared" si="64"/>
        <v>7.0439753449146811E-2</v>
      </c>
      <c r="AB74" s="39">
        <v>1997</v>
      </c>
      <c r="AC74" s="26">
        <v>10</v>
      </c>
      <c r="AD74" s="26">
        <v>0</v>
      </c>
      <c r="AE74" s="26">
        <v>16870.147785212746</v>
      </c>
      <c r="AF74" s="35">
        <v>56368.635510849992</v>
      </c>
      <c r="AG74" s="5">
        <v>17375.246256000002</v>
      </c>
      <c r="AH74" s="5">
        <f t="shared" si="65"/>
        <v>34245.394041212749</v>
      </c>
      <c r="AI74" s="5">
        <f t="shared" si="66"/>
        <v>22123.241469637243</v>
      </c>
      <c r="AJ74" s="92">
        <f t="shared" si="67"/>
        <v>0.64602093475732669</v>
      </c>
      <c r="AK74" s="92">
        <f t="shared" si="68"/>
        <v>0.26084669475289518</v>
      </c>
      <c r="AM74" s="39">
        <v>1997</v>
      </c>
      <c r="AN74" s="26">
        <v>0</v>
      </c>
      <c r="AO74" s="26">
        <v>0</v>
      </c>
      <c r="AP74" s="26">
        <v>0</v>
      </c>
      <c r="AQ74" s="35">
        <v>1300.7801379999999</v>
      </c>
      <c r="AR74" s="5">
        <v>1300.7801379999999</v>
      </c>
      <c r="AS74" s="5">
        <f t="shared" si="69"/>
        <v>1300.7801379999999</v>
      </c>
      <c r="AT74" s="5">
        <f t="shared" si="70"/>
        <v>0</v>
      </c>
      <c r="AU74" s="92">
        <f t="shared" si="71"/>
        <v>0</v>
      </c>
      <c r="AV74" s="92">
        <f t="shared" si="72"/>
        <v>0</v>
      </c>
    </row>
    <row r="75" spans="12:48" x14ac:dyDescent="0.25">
      <c r="L75" s="17"/>
      <c r="M75" s="17"/>
      <c r="N75" s="17"/>
      <c r="P75" s="19"/>
      <c r="Q75" s="39">
        <v>1998</v>
      </c>
      <c r="R75" s="26">
        <v>10</v>
      </c>
      <c r="S75" s="26">
        <v>0</v>
      </c>
      <c r="T75" s="26">
        <v>44098.508679261948</v>
      </c>
      <c r="U75" s="35">
        <v>35358.146638699996</v>
      </c>
      <c r="V75" s="5">
        <v>27602.782483999999</v>
      </c>
      <c r="W75" s="5">
        <f t="shared" si="61"/>
        <v>71701.291163261951</v>
      </c>
      <c r="X75" s="5">
        <f t="shared" si="62"/>
        <v>-36343.144524561954</v>
      </c>
      <c r="Y75" s="92">
        <f t="shared" si="63"/>
        <v>-0.50686875975231149</v>
      </c>
      <c r="Z75" s="92">
        <f t="shared" si="64"/>
        <v>-0.2644372416054791</v>
      </c>
      <c r="AB75" s="39">
        <v>1998</v>
      </c>
      <c r="AC75" s="26">
        <v>2</v>
      </c>
      <c r="AD75" s="26">
        <v>0</v>
      </c>
      <c r="AE75" s="26">
        <v>9599.5112470696968</v>
      </c>
      <c r="AF75" s="35">
        <v>40634.202755699996</v>
      </c>
      <c r="AG75" s="5">
        <v>34069.888399999996</v>
      </c>
      <c r="AH75" s="5">
        <f t="shared" si="65"/>
        <v>43669.399647069695</v>
      </c>
      <c r="AI75" s="5">
        <f t="shared" si="66"/>
        <v>-3035.1968913696983</v>
      </c>
      <c r="AJ75" s="92">
        <f t="shared" si="67"/>
        <v>-6.9503975687775832E-2</v>
      </c>
      <c r="AK75" s="92">
        <f t="shared" si="68"/>
        <v>-3.5786847877813714E-2</v>
      </c>
      <c r="AM75" s="39">
        <v>1998</v>
      </c>
      <c r="AN75" s="26">
        <v>2</v>
      </c>
      <c r="AO75" s="26">
        <v>0</v>
      </c>
      <c r="AP75" s="26">
        <v>12069.232260657294</v>
      </c>
      <c r="AQ75" s="35">
        <v>4811.061541</v>
      </c>
      <c r="AR75" s="5">
        <v>263.60402199999999</v>
      </c>
      <c r="AS75" s="5">
        <f t="shared" si="69"/>
        <v>12332.836282657294</v>
      </c>
      <c r="AT75" s="5">
        <f t="shared" si="70"/>
        <v>-7521.7747416572938</v>
      </c>
      <c r="AU75" s="92">
        <f t="shared" si="71"/>
        <v>-0.60989820745732104</v>
      </c>
      <c r="AV75" s="92">
        <f t="shared" si="72"/>
        <v>-1.6313614252586246</v>
      </c>
    </row>
    <row r="76" spans="12:48" x14ac:dyDescent="0.25">
      <c r="P76" s="19"/>
      <c r="Q76" s="39">
        <v>1999</v>
      </c>
      <c r="R76" s="26">
        <v>104</v>
      </c>
      <c r="S76" s="26">
        <v>0</v>
      </c>
      <c r="T76" s="26">
        <v>225480.07071143269</v>
      </c>
      <c r="U76" s="35">
        <v>218405.95791570004</v>
      </c>
      <c r="V76" s="5">
        <v>33829.101987999995</v>
      </c>
      <c r="W76" s="5">
        <f t="shared" si="61"/>
        <v>259309.1726994327</v>
      </c>
      <c r="X76" s="5">
        <f t="shared" si="62"/>
        <v>-40903.214783732663</v>
      </c>
      <c r="Y76" s="92">
        <f t="shared" si="63"/>
        <v>-0.15773917427573569</v>
      </c>
      <c r="Z76" s="92">
        <f t="shared" si="64"/>
        <v>-0.29761688020409643</v>
      </c>
      <c r="AB76" s="39">
        <v>1999</v>
      </c>
      <c r="AC76" s="26">
        <v>54</v>
      </c>
      <c r="AD76" s="26">
        <v>0</v>
      </c>
      <c r="AE76" s="26">
        <v>63209.595188435997</v>
      </c>
      <c r="AF76" s="35">
        <v>81684.376534499985</v>
      </c>
      <c r="AG76" s="5">
        <v>44187.437134000022</v>
      </c>
      <c r="AH76" s="5">
        <f t="shared" si="65"/>
        <v>107397.03232243602</v>
      </c>
      <c r="AI76" s="5">
        <f t="shared" si="66"/>
        <v>-25712.655787936033</v>
      </c>
      <c r="AJ76" s="92">
        <f t="shared" si="67"/>
        <v>-0.23941681843441845</v>
      </c>
      <c r="AK76" s="92">
        <f t="shared" si="68"/>
        <v>-0.30316810874242967</v>
      </c>
      <c r="AM76" s="39">
        <v>1999</v>
      </c>
      <c r="AN76" s="26">
        <v>4</v>
      </c>
      <c r="AO76" s="26">
        <v>0</v>
      </c>
      <c r="AP76" s="26">
        <v>5356.6697684652399</v>
      </c>
      <c r="AQ76" s="35">
        <v>2282.5137940800005</v>
      </c>
      <c r="AR76" s="5">
        <v>218.387676</v>
      </c>
      <c r="AS76" s="5">
        <f t="shared" si="69"/>
        <v>5575.0574444652402</v>
      </c>
      <c r="AT76" s="5">
        <f t="shared" si="70"/>
        <v>-3292.5436503852397</v>
      </c>
      <c r="AU76" s="92">
        <f t="shared" si="71"/>
        <v>-0.59058470395744245</v>
      </c>
      <c r="AV76" s="92">
        <f t="shared" si="72"/>
        <v>-0.71410390322792605</v>
      </c>
    </row>
    <row r="77" spans="12:48" x14ac:dyDescent="0.25">
      <c r="P77" s="19"/>
      <c r="Q77" s="39">
        <v>2000</v>
      </c>
      <c r="R77" s="26">
        <v>60</v>
      </c>
      <c r="S77" s="26">
        <v>0</v>
      </c>
      <c r="T77" s="26">
        <v>100094.79147747585</v>
      </c>
      <c r="U77" s="35">
        <v>129117.98270306303</v>
      </c>
      <c r="V77" s="5">
        <v>32464.939600000002</v>
      </c>
      <c r="W77" s="5">
        <f t="shared" si="61"/>
        <v>132559.73107747585</v>
      </c>
      <c r="X77" s="5">
        <f t="shared" si="62"/>
        <v>-3441.7483744128258</v>
      </c>
      <c r="Y77" s="92">
        <f t="shared" si="63"/>
        <v>-2.5963754953616056E-2</v>
      </c>
      <c r="Z77" s="92">
        <f t="shared" si="64"/>
        <v>-2.5042589416410417E-2</v>
      </c>
      <c r="AB77" s="39">
        <v>2000</v>
      </c>
      <c r="AC77" s="26">
        <v>43</v>
      </c>
      <c r="AD77" s="26">
        <v>5</v>
      </c>
      <c r="AE77" s="26">
        <v>182532.08896815544</v>
      </c>
      <c r="AF77" s="35">
        <v>241262.63474037996</v>
      </c>
      <c r="AG77" s="5">
        <v>25930.835890000006</v>
      </c>
      <c r="AH77" s="5">
        <f t="shared" si="65"/>
        <v>208462.92485815546</v>
      </c>
      <c r="AI77" s="5">
        <f t="shared" si="66"/>
        <v>32799.709882224503</v>
      </c>
      <c r="AJ77" s="92">
        <f t="shared" si="67"/>
        <v>0.15734073531081091</v>
      </c>
      <c r="AK77" s="92">
        <f t="shared" si="68"/>
        <v>0.38672885812751662</v>
      </c>
      <c r="AM77" s="39">
        <v>2000</v>
      </c>
      <c r="AN77" s="26">
        <v>4</v>
      </c>
      <c r="AO77" s="26">
        <v>0</v>
      </c>
      <c r="AP77" s="26">
        <v>2460.5066196270191</v>
      </c>
      <c r="AQ77" s="35">
        <v>5271.4953676700006</v>
      </c>
      <c r="AR77" s="5">
        <v>2256.1876399999996</v>
      </c>
      <c r="AS77" s="5">
        <f t="shared" si="69"/>
        <v>4716.6942596270183</v>
      </c>
      <c r="AT77" s="5">
        <f t="shared" si="70"/>
        <v>554.80110804298238</v>
      </c>
      <c r="AU77" s="92">
        <f t="shared" si="71"/>
        <v>0.11762498849922368</v>
      </c>
      <c r="AV77" s="92">
        <f t="shared" si="72"/>
        <v>0.12032813497318916</v>
      </c>
    </row>
    <row r="78" spans="12:48" x14ac:dyDescent="0.25">
      <c r="P78" s="19"/>
      <c r="Q78" s="39">
        <v>2001</v>
      </c>
      <c r="R78" s="26">
        <v>28</v>
      </c>
      <c r="S78" s="26">
        <v>4</v>
      </c>
      <c r="T78" s="26">
        <v>101052.59022374204</v>
      </c>
      <c r="U78" s="35">
        <v>158900.62853030697</v>
      </c>
      <c r="V78" s="5">
        <v>41470.245587999991</v>
      </c>
      <c r="W78" s="5">
        <f t="shared" si="61"/>
        <v>142522.83581174203</v>
      </c>
      <c r="X78" s="5">
        <f t="shared" si="62"/>
        <v>16377.792718564946</v>
      </c>
      <c r="Y78" s="92">
        <f t="shared" si="63"/>
        <v>0.11491346369362396</v>
      </c>
      <c r="Z78" s="92">
        <f t="shared" si="64"/>
        <v>0.11916685764922307</v>
      </c>
      <c r="AB78" s="39">
        <v>2001</v>
      </c>
      <c r="AC78" s="26">
        <v>79</v>
      </c>
      <c r="AD78" s="26">
        <v>8</v>
      </c>
      <c r="AE78" s="26">
        <v>81241.684536243745</v>
      </c>
      <c r="AF78" s="35">
        <v>135851.89107780001</v>
      </c>
      <c r="AG78" s="5">
        <v>33541.644194</v>
      </c>
      <c r="AH78" s="5">
        <f t="shared" si="65"/>
        <v>114783.32873024375</v>
      </c>
      <c r="AI78" s="5">
        <f t="shared" si="66"/>
        <v>21068.562347556261</v>
      </c>
      <c r="AJ78" s="92">
        <f t="shared" si="67"/>
        <v>0.18355071751813554</v>
      </c>
      <c r="AK78" s="92">
        <f t="shared" si="68"/>
        <v>0.24841137584190826</v>
      </c>
      <c r="AM78" s="39">
        <v>2001</v>
      </c>
      <c r="AN78" s="26">
        <v>2</v>
      </c>
      <c r="AO78" s="26">
        <v>0</v>
      </c>
      <c r="AP78" s="26">
        <v>11999.266551058829</v>
      </c>
      <c r="AQ78" s="35">
        <v>4778.9476728999998</v>
      </c>
      <c r="AR78" s="5">
        <v>56.10707</v>
      </c>
      <c r="AS78" s="5">
        <f t="shared" si="69"/>
        <v>12055.373621058829</v>
      </c>
      <c r="AT78" s="5">
        <f t="shared" si="70"/>
        <v>-7276.4259481588288</v>
      </c>
      <c r="AU78" s="92">
        <f t="shared" si="71"/>
        <v>-0.60358361149820072</v>
      </c>
      <c r="AV78" s="92">
        <f t="shared" si="72"/>
        <v>-1.5781489094369994</v>
      </c>
    </row>
    <row r="79" spans="12:48" x14ac:dyDescent="0.25">
      <c r="P79" s="19"/>
      <c r="Q79" s="39">
        <v>2002</v>
      </c>
      <c r="R79" s="26">
        <v>37</v>
      </c>
      <c r="S79" s="26">
        <v>3</v>
      </c>
      <c r="T79" s="26">
        <v>43968.582108306349</v>
      </c>
      <c r="U79" s="35">
        <v>71837.443515203966</v>
      </c>
      <c r="V79" s="5">
        <v>14191.274752000005</v>
      </c>
      <c r="W79" s="5">
        <f t="shared" si="61"/>
        <v>58159.856860306354</v>
      </c>
      <c r="X79" s="5">
        <f t="shared" si="62"/>
        <v>13677.586654897612</v>
      </c>
      <c r="Y79" s="92">
        <f t="shared" si="63"/>
        <v>0.23517228881339386</v>
      </c>
      <c r="Z79" s="92">
        <f t="shared" si="64"/>
        <v>9.9519822353198825E-2</v>
      </c>
      <c r="AB79" s="39">
        <v>2002</v>
      </c>
      <c r="AC79" s="26">
        <v>45</v>
      </c>
      <c r="AD79" s="26">
        <v>0</v>
      </c>
      <c r="AE79" s="26">
        <v>55726.733329706105</v>
      </c>
      <c r="AF79" s="35">
        <v>70439.087410549982</v>
      </c>
      <c r="AG79" s="5">
        <v>20408.401073999994</v>
      </c>
      <c r="AH79" s="5">
        <f t="shared" si="65"/>
        <v>76135.134403706092</v>
      </c>
      <c r="AI79" s="5">
        <f t="shared" si="66"/>
        <v>-5696.0469931561092</v>
      </c>
      <c r="AJ79" s="92">
        <f t="shared" si="67"/>
        <v>-7.4814959450296023E-2</v>
      </c>
      <c r="AK79" s="92">
        <f t="shared" si="68"/>
        <v>-6.7159915664307068E-2</v>
      </c>
      <c r="AM79" s="39">
        <v>2002</v>
      </c>
      <c r="AN79" s="26">
        <v>1</v>
      </c>
      <c r="AO79" s="26">
        <v>1</v>
      </c>
      <c r="AP79" s="26">
        <v>26847.096499821633</v>
      </c>
      <c r="AQ79" s="35">
        <v>4125.0350589600002</v>
      </c>
      <c r="AR79" s="5">
        <v>320.70316200000002</v>
      </c>
      <c r="AS79" s="5">
        <f t="shared" si="69"/>
        <v>27167.799661821635</v>
      </c>
      <c r="AT79" s="5">
        <f t="shared" si="70"/>
        <v>-23042.764602861636</v>
      </c>
      <c r="AU79" s="92">
        <f t="shared" si="71"/>
        <v>-0.84816455103808697</v>
      </c>
      <c r="AV79" s="92">
        <f t="shared" si="72"/>
        <v>-4.9976340153122951</v>
      </c>
    </row>
    <row r="80" spans="12:48" x14ac:dyDescent="0.25">
      <c r="P80" s="19"/>
      <c r="Q80" s="39">
        <v>2003</v>
      </c>
      <c r="R80" s="26">
        <v>84</v>
      </c>
      <c r="S80" s="26">
        <v>3</v>
      </c>
      <c r="T80" s="26">
        <v>154589.94184840354</v>
      </c>
      <c r="U80" s="35">
        <v>295294.20666102006</v>
      </c>
      <c r="V80" s="5">
        <v>35529.509967999984</v>
      </c>
      <c r="W80" s="5">
        <f t="shared" si="61"/>
        <v>190119.45181640354</v>
      </c>
      <c r="X80" s="5">
        <f t="shared" si="62"/>
        <v>105174.75484461652</v>
      </c>
      <c r="Y80" s="92">
        <f t="shared" si="63"/>
        <v>0.55320354566445273</v>
      </c>
      <c r="Z80" s="92">
        <f t="shared" si="64"/>
        <v>0.76526460276012986</v>
      </c>
      <c r="AB80" s="39">
        <v>2003</v>
      </c>
      <c r="AC80" s="26">
        <v>69</v>
      </c>
      <c r="AD80" s="26">
        <v>2</v>
      </c>
      <c r="AE80" s="26">
        <v>49388.682939706552</v>
      </c>
      <c r="AF80" s="35">
        <v>86515.090686039955</v>
      </c>
      <c r="AG80" s="5">
        <v>40110.029434000004</v>
      </c>
      <c r="AH80" s="5">
        <f t="shared" si="65"/>
        <v>89498.712373706556</v>
      </c>
      <c r="AI80" s="5">
        <f t="shared" si="66"/>
        <v>-2983.6216876666003</v>
      </c>
      <c r="AJ80" s="92">
        <f t="shared" si="67"/>
        <v>-3.3337034785576938E-2</v>
      </c>
      <c r="AK80" s="92">
        <f t="shared" si="68"/>
        <v>-3.5178744339477167E-2</v>
      </c>
      <c r="AM80" s="39">
        <v>2003</v>
      </c>
      <c r="AN80" s="26">
        <v>1</v>
      </c>
      <c r="AO80" s="26">
        <v>0</v>
      </c>
      <c r="AP80" s="26">
        <v>85.551029594611563</v>
      </c>
      <c r="AQ80" s="35">
        <v>68.022821678</v>
      </c>
      <c r="AR80" s="5">
        <v>0</v>
      </c>
      <c r="AS80" s="5">
        <f t="shared" si="69"/>
        <v>85.551029594611563</v>
      </c>
      <c r="AT80" s="5">
        <f t="shared" si="70"/>
        <v>-17.528207916611564</v>
      </c>
      <c r="AU80" s="92">
        <f t="shared" si="71"/>
        <v>-0.20488599610863806</v>
      </c>
      <c r="AV80" s="92">
        <f t="shared" si="72"/>
        <v>-3.8016084276903729E-3</v>
      </c>
    </row>
    <row r="81" spans="2:48" x14ac:dyDescent="0.25">
      <c r="P81" s="19"/>
      <c r="Q81" s="39">
        <v>2004</v>
      </c>
      <c r="R81" s="26">
        <v>126</v>
      </c>
      <c r="S81" s="26">
        <v>1</v>
      </c>
      <c r="T81" s="26">
        <v>153446.82461860031</v>
      </c>
      <c r="U81" s="35">
        <v>188218.34495488007</v>
      </c>
      <c r="V81" s="5">
        <v>31282.281929999997</v>
      </c>
      <c r="W81" s="5">
        <f t="shared" si="61"/>
        <v>184729.10654860031</v>
      </c>
      <c r="X81" s="5">
        <f t="shared" si="62"/>
        <v>3489.2384062797646</v>
      </c>
      <c r="Y81" s="92">
        <f t="shared" si="63"/>
        <v>1.888840622612865E-2</v>
      </c>
      <c r="Z81" s="92">
        <f t="shared" si="64"/>
        <v>2.538813279728552E-2</v>
      </c>
      <c r="AB81" s="39">
        <v>2004</v>
      </c>
      <c r="AC81" s="26">
        <v>187</v>
      </c>
      <c r="AD81" s="26">
        <v>19</v>
      </c>
      <c r="AE81" s="26">
        <v>132818.1713029524</v>
      </c>
      <c r="AF81" s="35">
        <v>181385.92219246484</v>
      </c>
      <c r="AG81" s="5">
        <v>46549.114883999995</v>
      </c>
      <c r="AH81" s="5">
        <f t="shared" si="65"/>
        <v>179367.28618695238</v>
      </c>
      <c r="AI81" s="5">
        <f t="shared" si="66"/>
        <v>2018.6360055124678</v>
      </c>
      <c r="AJ81" s="92">
        <f t="shared" si="67"/>
        <v>1.1254203865293851E-2</v>
      </c>
      <c r="AK81" s="92">
        <f t="shared" si="68"/>
        <v>2.3800966538731552E-2</v>
      </c>
      <c r="AM81" s="39">
        <v>2004</v>
      </c>
      <c r="AN81" s="26">
        <v>17</v>
      </c>
      <c r="AO81" s="26">
        <v>0</v>
      </c>
      <c r="AP81" s="26">
        <v>1548.2743075660944</v>
      </c>
      <c r="AQ81" s="35">
        <v>1284.1907293000002</v>
      </c>
      <c r="AR81" s="5">
        <v>67.085977999999997</v>
      </c>
      <c r="AS81" s="5">
        <f t="shared" si="69"/>
        <v>1615.3602855660945</v>
      </c>
      <c r="AT81" s="5">
        <f t="shared" si="70"/>
        <v>-331.16955626609433</v>
      </c>
      <c r="AU81" s="92">
        <f t="shared" si="71"/>
        <v>-0.20501281307039049</v>
      </c>
      <c r="AV81" s="92">
        <f t="shared" si="72"/>
        <v>-7.1825766905841359E-2</v>
      </c>
    </row>
    <row r="82" spans="2:48" x14ac:dyDescent="0.25">
      <c r="P82" s="19"/>
      <c r="Q82" s="39">
        <v>2005</v>
      </c>
      <c r="R82" s="26">
        <v>28</v>
      </c>
      <c r="S82" s="26">
        <v>2</v>
      </c>
      <c r="T82" s="26">
        <v>43675.460806506038</v>
      </c>
      <c r="U82" s="35">
        <v>58101.522212399992</v>
      </c>
      <c r="V82" s="5">
        <v>23796.694906000004</v>
      </c>
      <c r="W82" s="5">
        <f t="shared" si="61"/>
        <v>67472.155712506035</v>
      </c>
      <c r="X82" s="5">
        <f t="shared" si="62"/>
        <v>-9370.6335001060434</v>
      </c>
      <c r="Y82" s="92">
        <f t="shared" si="63"/>
        <v>-0.13888148972197706</v>
      </c>
      <c r="Z82" s="92">
        <f t="shared" si="64"/>
        <v>-6.8181895300481146E-2</v>
      </c>
      <c r="AB82" s="39">
        <v>2005</v>
      </c>
      <c r="AC82" s="26">
        <v>24</v>
      </c>
      <c r="AD82" s="26">
        <v>0</v>
      </c>
      <c r="AE82" s="26">
        <v>22553.547207671945</v>
      </c>
      <c r="AF82" s="35">
        <v>66312.009655180023</v>
      </c>
      <c r="AG82" s="5">
        <v>44220.087259999993</v>
      </c>
      <c r="AH82" s="5">
        <f t="shared" si="65"/>
        <v>66773.634467671945</v>
      </c>
      <c r="AI82" s="5">
        <f t="shared" si="66"/>
        <v>-461.62481249192206</v>
      </c>
      <c r="AJ82" s="92">
        <f t="shared" si="67"/>
        <v>-6.9132797124502026E-3</v>
      </c>
      <c r="AK82" s="92">
        <f t="shared" si="68"/>
        <v>-5.4428419415709283E-3</v>
      </c>
      <c r="AM82" s="39">
        <v>2005</v>
      </c>
      <c r="AN82" s="26">
        <v>4</v>
      </c>
      <c r="AO82" s="26">
        <v>0</v>
      </c>
      <c r="AP82" s="26">
        <v>2552.3934728112818</v>
      </c>
      <c r="AQ82" s="35">
        <v>1318.7794868000001</v>
      </c>
      <c r="AR82" s="5">
        <v>98.21493000000001</v>
      </c>
      <c r="AS82" s="5">
        <f t="shared" si="69"/>
        <v>2650.6084028112818</v>
      </c>
      <c r="AT82" s="5">
        <f t="shared" si="70"/>
        <v>-1331.8289160112818</v>
      </c>
      <c r="AU82" s="92">
        <f t="shared" si="71"/>
        <v>-0.50246159130813917</v>
      </c>
      <c r="AV82" s="92">
        <f t="shared" si="72"/>
        <v>-0.28885394647515034</v>
      </c>
    </row>
    <row r="83" spans="2:48" x14ac:dyDescent="0.25">
      <c r="P83" s="19"/>
      <c r="Q83" s="39">
        <v>2006</v>
      </c>
      <c r="R83" s="26">
        <v>54</v>
      </c>
      <c r="S83" s="26">
        <v>1</v>
      </c>
      <c r="T83" s="26">
        <v>253002.77402781113</v>
      </c>
      <c r="U83" s="35">
        <v>346117.62384110992</v>
      </c>
      <c r="V83" s="5">
        <v>31445.400283999996</v>
      </c>
      <c r="W83" s="5">
        <f t="shared" si="61"/>
        <v>284448.1743118111</v>
      </c>
      <c r="X83" s="5">
        <f t="shared" si="62"/>
        <v>61669.449529298814</v>
      </c>
      <c r="Y83" s="92">
        <f t="shared" si="63"/>
        <v>0.21680381559312445</v>
      </c>
      <c r="Z83" s="92">
        <f t="shared" si="64"/>
        <v>0.4487145880795973</v>
      </c>
      <c r="AB83" s="39">
        <v>2006</v>
      </c>
      <c r="AC83" s="26">
        <v>37</v>
      </c>
      <c r="AD83" s="26">
        <v>8</v>
      </c>
      <c r="AE83" s="26">
        <v>25888.831494182894</v>
      </c>
      <c r="AF83" s="35">
        <v>126049.40633394694</v>
      </c>
      <c r="AG83" s="5">
        <v>99624.50714799999</v>
      </c>
      <c r="AH83" s="5">
        <f t="shared" si="65"/>
        <v>125513.33864218288</v>
      </c>
      <c r="AI83" s="5">
        <f t="shared" si="66"/>
        <v>536.06769176406669</v>
      </c>
      <c r="AJ83" s="92">
        <f t="shared" si="67"/>
        <v>4.2710017721088933E-3</v>
      </c>
      <c r="AK83" s="92">
        <f t="shared" si="68"/>
        <v>6.3205695129432329E-3</v>
      </c>
      <c r="AM83" s="39">
        <v>2006</v>
      </c>
      <c r="AN83" s="26">
        <v>2</v>
      </c>
      <c r="AO83" s="26">
        <v>0</v>
      </c>
      <c r="AP83" s="26">
        <v>5353.6541411311655</v>
      </c>
      <c r="AQ83" s="35">
        <v>4125.3675062000002</v>
      </c>
      <c r="AR83" s="5">
        <v>386.20182799999998</v>
      </c>
      <c r="AS83" s="5">
        <f t="shared" si="69"/>
        <v>5739.8559691311657</v>
      </c>
      <c r="AT83" s="5">
        <f t="shared" si="70"/>
        <v>-1614.4884629311655</v>
      </c>
      <c r="AU83" s="92">
        <f t="shared" si="71"/>
        <v>-0.28127682499593248</v>
      </c>
      <c r="AV83" s="92">
        <f t="shared" si="72"/>
        <v>-0.35015861155271399</v>
      </c>
    </row>
    <row r="84" spans="2:48" x14ac:dyDescent="0.25">
      <c r="P84" s="19"/>
      <c r="Q84" s="39">
        <v>2007</v>
      </c>
      <c r="R84" s="26">
        <v>46</v>
      </c>
      <c r="S84" s="26">
        <v>2</v>
      </c>
      <c r="T84" s="26">
        <v>298828.26263554266</v>
      </c>
      <c r="U84" s="35">
        <v>315803.18354238011</v>
      </c>
      <c r="V84" s="5">
        <v>45331.948610200001</v>
      </c>
      <c r="W84" s="5">
        <f t="shared" si="61"/>
        <v>344160.21124574268</v>
      </c>
      <c r="X84" s="5">
        <f t="shared" si="62"/>
        <v>-28357.027703362575</v>
      </c>
      <c r="Y84" s="92">
        <f t="shared" si="63"/>
        <v>-8.2394846286035786E-2</v>
      </c>
      <c r="Z84" s="92">
        <f t="shared" si="64"/>
        <v>-0.20632926193107765</v>
      </c>
      <c r="AB84" s="39">
        <v>2007</v>
      </c>
      <c r="AC84" s="26">
        <v>36</v>
      </c>
      <c r="AD84" s="26">
        <v>1</v>
      </c>
      <c r="AE84" s="26">
        <v>81589.222506033868</v>
      </c>
      <c r="AF84" s="35">
        <v>122964.63219524403</v>
      </c>
      <c r="AG84" s="5">
        <v>48228.305793399995</v>
      </c>
      <c r="AH84" s="5">
        <f t="shared" si="65"/>
        <v>129817.52829943386</v>
      </c>
      <c r="AI84" s="5">
        <f t="shared" si="66"/>
        <v>-6852.8961041898292</v>
      </c>
      <c r="AJ84" s="92">
        <f t="shared" si="67"/>
        <v>-5.2788681112331072E-2</v>
      </c>
      <c r="AK84" s="92">
        <f t="shared" si="68"/>
        <v>-8.0799881912251237E-2</v>
      </c>
      <c r="AM84" s="39">
        <v>2007</v>
      </c>
      <c r="AN84" s="26"/>
      <c r="AO84" s="26"/>
      <c r="AP84" s="26"/>
      <c r="AQ84" s="35">
        <v>14948.775312000002</v>
      </c>
      <c r="AR84" s="5">
        <v>14948.775312000002</v>
      </c>
      <c r="AS84" s="5">
        <f t="shared" si="69"/>
        <v>14948.775312000002</v>
      </c>
      <c r="AT84" s="5">
        <f t="shared" si="70"/>
        <v>0</v>
      </c>
      <c r="AU84" s="92">
        <f t="shared" si="71"/>
        <v>0</v>
      </c>
      <c r="AV84" s="92">
        <f t="shared" si="72"/>
        <v>0</v>
      </c>
    </row>
    <row r="85" spans="2:48" x14ac:dyDescent="0.25">
      <c r="P85" s="19"/>
      <c r="Q85" s="39">
        <v>2008</v>
      </c>
      <c r="R85" s="26">
        <v>34</v>
      </c>
      <c r="S85" s="26">
        <v>0</v>
      </c>
      <c r="T85" s="26">
        <v>68978.870902746945</v>
      </c>
      <c r="U85" s="35">
        <v>125954.33166718997</v>
      </c>
      <c r="V85" s="5">
        <v>26692.328980600003</v>
      </c>
      <c r="W85" s="5">
        <f t="shared" si="61"/>
        <v>95671.199883346941</v>
      </c>
      <c r="X85" s="5">
        <f t="shared" si="62"/>
        <v>30283.131783843026</v>
      </c>
      <c r="Y85" s="92">
        <f t="shared" si="63"/>
        <v>0.31653341675203839</v>
      </c>
      <c r="Z85" s="92">
        <f t="shared" si="64"/>
        <v>0.22034383487875098</v>
      </c>
      <c r="AB85" s="39">
        <v>2008</v>
      </c>
      <c r="AC85" s="26">
        <v>43</v>
      </c>
      <c r="AD85" s="26">
        <v>1</v>
      </c>
      <c r="AE85" s="26">
        <v>28908.038745911439</v>
      </c>
      <c r="AF85" s="35">
        <v>82749.161449420004</v>
      </c>
      <c r="AG85" s="5">
        <v>52109.279224400008</v>
      </c>
      <c r="AH85" s="5">
        <f t="shared" si="65"/>
        <v>81017.317970311444</v>
      </c>
      <c r="AI85" s="5">
        <f t="shared" si="66"/>
        <v>1731.8434791085601</v>
      </c>
      <c r="AJ85" s="92">
        <f t="shared" si="67"/>
        <v>2.1376213413324654E-2</v>
      </c>
      <c r="AK85" s="92">
        <f t="shared" si="68"/>
        <v>2.0419505341241023E-2</v>
      </c>
      <c r="AM85" s="39">
        <v>2008</v>
      </c>
      <c r="AN85" s="26">
        <v>2</v>
      </c>
      <c r="AO85" s="26">
        <v>0</v>
      </c>
      <c r="AP85" s="26">
        <v>3513.1906874330803</v>
      </c>
      <c r="AQ85" s="35">
        <v>3684.6691990999998</v>
      </c>
      <c r="AR85" s="5">
        <v>82.112531599999997</v>
      </c>
      <c r="AS85" s="5">
        <f t="shared" si="69"/>
        <v>3595.30321903308</v>
      </c>
      <c r="AT85" s="5">
        <f t="shared" si="70"/>
        <v>89.365980066919747</v>
      </c>
      <c r="AU85" s="92">
        <f t="shared" si="71"/>
        <v>2.4856312422781912E-2</v>
      </c>
      <c r="AV85" s="92">
        <f t="shared" si="72"/>
        <v>1.9382156155806667E-2</v>
      </c>
    </row>
    <row r="86" spans="2:48" x14ac:dyDescent="0.25">
      <c r="B86" s="366" t="s">
        <v>65</v>
      </c>
      <c r="C86" s="366"/>
      <c r="D86" s="366"/>
      <c r="E86" s="366"/>
      <c r="I86" s="366" t="s">
        <v>65</v>
      </c>
      <c r="J86" s="366"/>
      <c r="K86" s="366"/>
      <c r="L86" s="366"/>
      <c r="P86" s="19"/>
      <c r="Q86" s="95">
        <v>2009</v>
      </c>
      <c r="R86" s="96">
        <v>30</v>
      </c>
      <c r="S86" s="96">
        <v>0</v>
      </c>
      <c r="T86" s="96">
        <v>43872.537458775652</v>
      </c>
      <c r="U86" s="97">
        <v>139200.45814230794</v>
      </c>
      <c r="V86" s="97">
        <v>15497.473796799995</v>
      </c>
      <c r="W86" s="97">
        <f t="shared" si="61"/>
        <v>59370.01125557565</v>
      </c>
      <c r="X86" s="97">
        <f t="shared" si="62"/>
        <v>79830.446886732287</v>
      </c>
      <c r="Y86" s="98">
        <f t="shared" si="63"/>
        <v>1.3446257664173025</v>
      </c>
      <c r="Z86" s="98">
        <f t="shared" si="64"/>
        <v>0.58085626455886963</v>
      </c>
      <c r="AB86" s="39">
        <v>2009</v>
      </c>
      <c r="AC86" s="26">
        <v>27</v>
      </c>
      <c r="AD86" s="26">
        <v>2</v>
      </c>
      <c r="AE86" s="26">
        <v>43350.024327436564</v>
      </c>
      <c r="AF86" s="35">
        <v>86310.102678604031</v>
      </c>
      <c r="AG86" s="5">
        <v>42726.444304800003</v>
      </c>
      <c r="AH86" s="5">
        <f t="shared" si="65"/>
        <v>86076.46863223656</v>
      </c>
      <c r="AI86" s="5">
        <f t="shared" si="66"/>
        <v>233.63404636747146</v>
      </c>
      <c r="AJ86" s="92">
        <f t="shared" si="67"/>
        <v>2.7142615174616143E-3</v>
      </c>
      <c r="AK86" s="92">
        <f t="shared" si="68"/>
        <v>2.7546898523138916E-3</v>
      </c>
      <c r="AM86" s="39">
        <v>2009</v>
      </c>
      <c r="AN86" s="26"/>
      <c r="AO86" s="26"/>
      <c r="AP86" s="26"/>
      <c r="AQ86" s="35">
        <v>156.20252379999999</v>
      </c>
      <c r="AR86" s="5">
        <v>156.20252379999999</v>
      </c>
      <c r="AS86" s="5">
        <f t="shared" si="69"/>
        <v>156.20252379999999</v>
      </c>
      <c r="AT86" s="5">
        <f t="shared" si="70"/>
        <v>0</v>
      </c>
      <c r="AU86" s="92">
        <f t="shared" si="71"/>
        <v>0</v>
      </c>
      <c r="AV86" s="92">
        <f t="shared" si="72"/>
        <v>0</v>
      </c>
    </row>
    <row r="87" spans="2:48" x14ac:dyDescent="0.25">
      <c r="B87" s="333" t="s">
        <v>0</v>
      </c>
      <c r="C87" s="333" t="s">
        <v>3</v>
      </c>
      <c r="D87" s="333" t="s">
        <v>11</v>
      </c>
      <c r="E87" s="333" t="s">
        <v>20</v>
      </c>
      <c r="I87" s="30" t="s">
        <v>0</v>
      </c>
      <c r="J87" s="30" t="s">
        <v>3</v>
      </c>
      <c r="K87" s="30" t="s">
        <v>11</v>
      </c>
      <c r="L87" s="30" t="s">
        <v>20</v>
      </c>
      <c r="P87" s="19"/>
      <c r="Q87" s="39">
        <v>2010</v>
      </c>
      <c r="R87" s="26">
        <v>42</v>
      </c>
      <c r="S87" s="26">
        <v>3</v>
      </c>
      <c r="T87" s="26">
        <v>30246.62151564642</v>
      </c>
      <c r="U87" s="35">
        <v>49957.04306028998</v>
      </c>
      <c r="V87" s="5">
        <v>14072.142577199995</v>
      </c>
      <c r="W87" s="5">
        <f t="shared" si="61"/>
        <v>44318.764092846417</v>
      </c>
      <c r="X87" s="5">
        <f t="shared" si="62"/>
        <v>5638.2789674435626</v>
      </c>
      <c r="Y87" s="92">
        <f t="shared" si="63"/>
        <v>0.12722103341220314</v>
      </c>
      <c r="Z87" s="92">
        <f t="shared" si="64"/>
        <v>4.1024819317583124E-2</v>
      </c>
      <c r="AB87" s="39">
        <v>2010</v>
      </c>
      <c r="AC87" s="26">
        <v>70</v>
      </c>
      <c r="AD87" s="26">
        <v>15</v>
      </c>
      <c r="AE87" s="26">
        <v>103706.73210489948</v>
      </c>
      <c r="AF87" s="35">
        <v>147875.07414502997</v>
      </c>
      <c r="AG87" s="5">
        <v>41496.731652400005</v>
      </c>
      <c r="AH87" s="5">
        <f t="shared" si="65"/>
        <v>145203.46375729947</v>
      </c>
      <c r="AI87" s="5">
        <f t="shared" si="66"/>
        <v>2671.6103877304995</v>
      </c>
      <c r="AJ87" s="92">
        <f t="shared" si="67"/>
        <v>1.8399081665131392E-2</v>
      </c>
      <c r="AK87" s="92">
        <f t="shared" si="68"/>
        <v>3.1499938210385062E-2</v>
      </c>
      <c r="AM87" s="39">
        <v>2010</v>
      </c>
      <c r="AN87" s="26"/>
      <c r="AO87" s="26"/>
      <c r="AP87" s="26"/>
      <c r="AQ87" s="35">
        <v>3.8293902000000002</v>
      </c>
      <c r="AR87" s="5">
        <v>3.8293902000000002</v>
      </c>
      <c r="AS87" s="5">
        <f t="shared" si="69"/>
        <v>3.8293902000000002</v>
      </c>
      <c r="AT87" s="5">
        <f t="shared" si="70"/>
        <v>0</v>
      </c>
      <c r="AU87" s="92">
        <f t="shared" si="71"/>
        <v>0</v>
      </c>
      <c r="AV87" s="92">
        <f t="shared" si="72"/>
        <v>0</v>
      </c>
    </row>
    <row r="88" spans="2:48" x14ac:dyDescent="0.25">
      <c r="B88" s="5">
        <f>_xlfn.RANK.AVG(B17,B$17:B$25,0)</f>
        <v>5</v>
      </c>
      <c r="C88" s="5">
        <f>_xlfn.RANK.AVG(C17,C$17:C$25,0)</f>
        <v>6</v>
      </c>
      <c r="D88" s="5">
        <f>_xlfn.RANK.AVG(D17,D$17:D$25,0)</f>
        <v>2</v>
      </c>
      <c r="E88" s="141">
        <v>1999</v>
      </c>
      <c r="I88" s="5">
        <f>_xlfn.RANK.AVG(I17,I$17:I$25,0)</f>
        <v>5</v>
      </c>
      <c r="J88" s="5">
        <f>_xlfn.RANK.AVG(J17,J$17:J$25,0)</f>
        <v>6</v>
      </c>
      <c r="K88" s="5">
        <f>_xlfn.RANK.AVG(K17,K$17:K$25,0)</f>
        <v>2</v>
      </c>
      <c r="L88" s="55">
        <v>1999</v>
      </c>
      <c r="P88" s="19"/>
      <c r="Q88" s="39">
        <v>2011</v>
      </c>
      <c r="R88" s="26">
        <v>50</v>
      </c>
      <c r="S88" s="26">
        <v>0</v>
      </c>
      <c r="T88" s="26">
        <v>75371.888248619478</v>
      </c>
      <c r="U88" s="35">
        <v>138988.02728530008</v>
      </c>
      <c r="V88" s="5">
        <v>13460.639447599999</v>
      </c>
      <c r="W88" s="5">
        <f t="shared" si="61"/>
        <v>88832.527696219477</v>
      </c>
      <c r="X88" s="5">
        <f t="shared" si="62"/>
        <v>50155.499589080602</v>
      </c>
      <c r="Y88" s="92">
        <f t="shared" si="63"/>
        <v>0.56460736725400096</v>
      </c>
      <c r="Z88" s="92">
        <f t="shared" si="64"/>
        <v>0.3649376556758217</v>
      </c>
      <c r="AB88" s="39">
        <v>2011</v>
      </c>
      <c r="AC88" s="26">
        <v>71</v>
      </c>
      <c r="AD88" s="26">
        <v>13</v>
      </c>
      <c r="AE88" s="26">
        <v>103738.20914979439</v>
      </c>
      <c r="AF88" s="35">
        <v>150847.18119283294</v>
      </c>
      <c r="AG88" s="5">
        <v>51024.428633800009</v>
      </c>
      <c r="AH88" s="5">
        <f t="shared" si="65"/>
        <v>154762.6377835944</v>
      </c>
      <c r="AI88" s="5">
        <f t="shared" si="66"/>
        <v>-3915.4565907614597</v>
      </c>
      <c r="AJ88" s="92">
        <f t="shared" si="67"/>
        <v>-2.5299753524726479E-2</v>
      </c>
      <c r="AK88" s="92">
        <f t="shared" si="68"/>
        <v>-4.6165653959447245E-2</v>
      </c>
      <c r="AM88" s="39">
        <v>2011</v>
      </c>
      <c r="AN88" s="26">
        <v>2</v>
      </c>
      <c r="AO88" s="26">
        <v>0</v>
      </c>
      <c r="AP88" s="26">
        <v>154.92258908453539</v>
      </c>
      <c r="AQ88" s="35">
        <v>398.44785690999998</v>
      </c>
      <c r="AR88" s="5">
        <v>216.03757239999999</v>
      </c>
      <c r="AS88" s="5">
        <f t="shared" si="69"/>
        <v>370.96016148453538</v>
      </c>
      <c r="AT88" s="5">
        <f t="shared" si="70"/>
        <v>27.487695425464608</v>
      </c>
      <c r="AU88" s="92">
        <f t="shared" si="71"/>
        <v>7.4098780083182922E-2</v>
      </c>
      <c r="AV88" s="92">
        <f t="shared" si="72"/>
        <v>5.9616736111510662E-3</v>
      </c>
    </row>
    <row r="89" spans="2:48" x14ac:dyDescent="0.25">
      <c r="B89" s="5">
        <f t="shared" ref="B89:D89" si="73">_xlfn.RANK.AVG(B18,B$17:B$25,0)</f>
        <v>7</v>
      </c>
      <c r="C89" s="5">
        <f t="shared" si="73"/>
        <v>1</v>
      </c>
      <c r="D89" s="5">
        <f t="shared" si="73"/>
        <v>3</v>
      </c>
      <c r="E89" s="141">
        <v>2000</v>
      </c>
      <c r="I89" s="5">
        <f t="shared" ref="I89:K89" si="74">_xlfn.RANK.AVG(I18,I$17:I$25,0)</f>
        <v>7</v>
      </c>
      <c r="J89" s="5">
        <f t="shared" si="74"/>
        <v>1</v>
      </c>
      <c r="K89" s="5">
        <f t="shared" si="74"/>
        <v>3</v>
      </c>
      <c r="L89" s="55">
        <v>2000</v>
      </c>
      <c r="P89" s="19"/>
      <c r="Q89" s="39">
        <v>2012</v>
      </c>
      <c r="R89" s="26">
        <v>88</v>
      </c>
      <c r="S89" s="26">
        <v>0</v>
      </c>
      <c r="T89" s="26">
        <v>109289.76563859184</v>
      </c>
      <c r="U89" s="35">
        <v>142214.04516476192</v>
      </c>
      <c r="V89" s="5">
        <v>19690.622996800012</v>
      </c>
      <c r="W89" s="5">
        <f t="shared" si="61"/>
        <v>128980.38863539185</v>
      </c>
      <c r="X89" s="5">
        <f t="shared" si="62"/>
        <v>13233.65652937007</v>
      </c>
      <c r="Y89" s="92">
        <f t="shared" si="63"/>
        <v>0.10260208291649381</v>
      </c>
      <c r="Z89" s="92">
        <f t="shared" si="64"/>
        <v>9.6289731523255928E-2</v>
      </c>
      <c r="AB89" s="39">
        <v>2012</v>
      </c>
      <c r="AC89" s="26">
        <v>99</v>
      </c>
      <c r="AD89" s="26">
        <v>0</v>
      </c>
      <c r="AE89" s="26">
        <v>124074.28830855967</v>
      </c>
      <c r="AF89" s="35">
        <v>199382.22905732205</v>
      </c>
      <c r="AG89" s="5">
        <v>48673.901750200006</v>
      </c>
      <c r="AH89" s="5">
        <f t="shared" si="65"/>
        <v>172748.19005875968</v>
      </c>
      <c r="AI89" s="5">
        <f t="shared" si="66"/>
        <v>26634.038998562377</v>
      </c>
      <c r="AJ89" s="92">
        <f t="shared" si="67"/>
        <v>0.15417839683010806</v>
      </c>
      <c r="AK89" s="92">
        <f t="shared" si="68"/>
        <v>0.31403178644637481</v>
      </c>
      <c r="AM89" s="39">
        <v>2012</v>
      </c>
      <c r="AN89" s="26"/>
      <c r="AO89" s="26"/>
      <c r="AP89" s="26"/>
      <c r="AQ89" s="35">
        <v>44.074363200000001</v>
      </c>
      <c r="AR89" s="5">
        <v>44.074363200000001</v>
      </c>
      <c r="AS89" s="5">
        <f t="shared" si="69"/>
        <v>44.074363200000001</v>
      </c>
      <c r="AT89" s="5">
        <f t="shared" si="70"/>
        <v>0</v>
      </c>
      <c r="AU89" s="92">
        <f t="shared" si="71"/>
        <v>0</v>
      </c>
      <c r="AV89" s="92">
        <f t="shared" si="72"/>
        <v>0</v>
      </c>
    </row>
    <row r="90" spans="2:48" x14ac:dyDescent="0.25">
      <c r="B90" s="5">
        <f t="shared" ref="B90:D90" si="75">_xlfn.RANK.AVG(B19,B$17:B$25,0)</f>
        <v>6</v>
      </c>
      <c r="C90" s="5">
        <f t="shared" si="75"/>
        <v>3</v>
      </c>
      <c r="D90" s="5">
        <f t="shared" si="75"/>
        <v>5</v>
      </c>
      <c r="E90" s="141">
        <v>2001</v>
      </c>
      <c r="I90" s="5">
        <f t="shared" ref="I90:K90" si="76">_xlfn.RANK.AVG(I19,I$17:I$25,0)</f>
        <v>6</v>
      </c>
      <c r="J90" s="5">
        <f t="shared" si="76"/>
        <v>3</v>
      </c>
      <c r="K90" s="5">
        <f t="shared" si="76"/>
        <v>5</v>
      </c>
      <c r="L90" s="55">
        <v>2001</v>
      </c>
      <c r="P90" s="19"/>
      <c r="Q90" s="39">
        <v>2013</v>
      </c>
      <c r="R90" s="26">
        <v>47</v>
      </c>
      <c r="S90" s="26">
        <v>3</v>
      </c>
      <c r="T90" s="26">
        <v>137787.13535580208</v>
      </c>
      <c r="U90" s="35">
        <v>137522.74821268802</v>
      </c>
      <c r="V90" s="5">
        <v>23270.315791600002</v>
      </c>
      <c r="W90" s="5">
        <f t="shared" si="61"/>
        <v>161057.45114740208</v>
      </c>
      <c r="X90" s="5">
        <f t="shared" si="62"/>
        <v>-23534.702934714063</v>
      </c>
      <c r="Y90" s="92">
        <f t="shared" si="63"/>
        <v>-0.14612613553144316</v>
      </c>
      <c r="Z90" s="92">
        <f t="shared" si="64"/>
        <v>-0.17124142689012881</v>
      </c>
      <c r="AB90" s="39">
        <v>2013</v>
      </c>
      <c r="AC90" s="26">
        <v>41</v>
      </c>
      <c r="AD90" s="26">
        <v>0</v>
      </c>
      <c r="AE90" s="26">
        <v>41430.692816917493</v>
      </c>
      <c r="AF90" s="35">
        <v>98445.471181598972</v>
      </c>
      <c r="AG90" s="5">
        <v>52460.064153400002</v>
      </c>
      <c r="AH90" s="5">
        <f t="shared" si="65"/>
        <v>93890.756970317496</v>
      </c>
      <c r="AI90" s="5">
        <f t="shared" si="66"/>
        <v>4554.7142112814763</v>
      </c>
      <c r="AJ90" s="92">
        <f t="shared" si="67"/>
        <v>4.8510783790159426E-2</v>
      </c>
      <c r="AK90" s="92">
        <f t="shared" si="68"/>
        <v>5.3702896530211493E-2</v>
      </c>
      <c r="AM90" s="39">
        <v>2013</v>
      </c>
      <c r="AN90" s="26">
        <v>1</v>
      </c>
      <c r="AO90" s="26">
        <v>0</v>
      </c>
      <c r="AP90" s="26">
        <v>10239.410210925142</v>
      </c>
      <c r="AQ90" s="35">
        <v>5730.4621535000006</v>
      </c>
      <c r="AR90" s="5">
        <v>4692.5638517999996</v>
      </c>
      <c r="AS90" s="5">
        <f t="shared" si="69"/>
        <v>14931.974062725141</v>
      </c>
      <c r="AT90" s="5">
        <f t="shared" si="70"/>
        <v>-9201.5119092251407</v>
      </c>
      <c r="AU90" s="92">
        <f t="shared" si="71"/>
        <v>-0.61622876322796327</v>
      </c>
      <c r="AV90" s="92">
        <f t="shared" si="72"/>
        <v>-1.9956715134838401</v>
      </c>
    </row>
    <row r="91" spans="2:48" x14ac:dyDescent="0.25">
      <c r="B91" s="5">
        <f t="shared" ref="B91:D91" si="77">_xlfn.RANK.AVG(B20,B$17:B$25,0)</f>
        <v>8</v>
      </c>
      <c r="C91" s="5">
        <f t="shared" si="77"/>
        <v>9</v>
      </c>
      <c r="D91" s="5">
        <f t="shared" si="77"/>
        <v>6</v>
      </c>
      <c r="E91" s="141">
        <v>2002</v>
      </c>
      <c r="I91" s="5">
        <f t="shared" ref="I91:K91" si="78">_xlfn.RANK.AVG(I20,I$17:I$25,0)</f>
        <v>8</v>
      </c>
      <c r="J91" s="5">
        <f t="shared" si="78"/>
        <v>9</v>
      </c>
      <c r="K91" s="5">
        <f t="shared" si="78"/>
        <v>6</v>
      </c>
      <c r="L91" s="55">
        <v>2002</v>
      </c>
      <c r="P91" s="19"/>
      <c r="Q91" s="39">
        <v>2014</v>
      </c>
      <c r="R91" s="26">
        <v>84</v>
      </c>
      <c r="S91" s="26">
        <v>6</v>
      </c>
      <c r="T91" s="26">
        <v>143840.68036582274</v>
      </c>
      <c r="U91" s="35">
        <v>195427.32137103</v>
      </c>
      <c r="V91" s="5">
        <v>32066.866001000002</v>
      </c>
      <c r="W91" s="5">
        <f t="shared" si="61"/>
        <v>175907.54636682273</v>
      </c>
      <c r="X91" s="5">
        <f t="shared" si="62"/>
        <v>19519.775004207273</v>
      </c>
      <c r="Y91" s="92">
        <f t="shared" si="63"/>
        <v>0.11096610354340559</v>
      </c>
      <c r="Z91" s="92">
        <f t="shared" si="64"/>
        <v>0.14202831170493949</v>
      </c>
      <c r="AB91" s="39">
        <v>2014</v>
      </c>
      <c r="AC91" s="26">
        <v>66</v>
      </c>
      <c r="AD91" s="26">
        <v>0</v>
      </c>
      <c r="AE91" s="26">
        <v>70377.890914781819</v>
      </c>
      <c r="AF91" s="35">
        <v>131343.34094371699</v>
      </c>
      <c r="AG91" s="5">
        <v>42192.646711399997</v>
      </c>
      <c r="AH91" s="5">
        <f t="shared" si="65"/>
        <v>112570.53762618182</v>
      </c>
      <c r="AI91" s="5">
        <f t="shared" si="66"/>
        <v>18772.803317535174</v>
      </c>
      <c r="AJ91" s="92">
        <f t="shared" si="67"/>
        <v>0.16676480110519581</v>
      </c>
      <c r="AK91" s="92">
        <f t="shared" si="68"/>
        <v>0.22134295751125879</v>
      </c>
      <c r="AM91" s="39">
        <v>2014</v>
      </c>
      <c r="AN91" s="26">
        <v>4</v>
      </c>
      <c r="AO91" s="26">
        <v>0</v>
      </c>
      <c r="AP91" s="26">
        <v>1656.6441250979569</v>
      </c>
      <c r="AQ91" s="35">
        <v>6335.2622533479998</v>
      </c>
      <c r="AR91" s="5">
        <v>4270.0456480000003</v>
      </c>
      <c r="AS91" s="5">
        <f t="shared" si="69"/>
        <v>5926.6897730979572</v>
      </c>
      <c r="AT91" s="5">
        <f t="shared" si="70"/>
        <v>408.57248025004264</v>
      </c>
      <c r="AU91" s="92">
        <f t="shared" si="71"/>
        <v>6.8937720024525015E-2</v>
      </c>
      <c r="AV91" s="92">
        <f t="shared" si="72"/>
        <v>8.8613313558935758E-2</v>
      </c>
    </row>
    <row r="92" spans="2:48" x14ac:dyDescent="0.25">
      <c r="B92" s="5">
        <f t="shared" ref="B92:D92" si="79">_xlfn.RANK.AVG(B21,B$17:B$25,0)</f>
        <v>3</v>
      </c>
      <c r="C92" s="5">
        <f t="shared" si="79"/>
        <v>7</v>
      </c>
      <c r="D92" s="5">
        <f t="shared" si="79"/>
        <v>9</v>
      </c>
      <c r="E92" s="141">
        <v>2003</v>
      </c>
      <c r="I92" s="5">
        <f t="shared" ref="I92:K92" si="80">_xlfn.RANK.AVG(I21,I$17:I$25,0)</f>
        <v>3</v>
      </c>
      <c r="J92" s="5">
        <f t="shared" si="80"/>
        <v>7</v>
      </c>
      <c r="K92" s="5">
        <f t="shared" si="80"/>
        <v>8</v>
      </c>
      <c r="L92" s="55">
        <v>2003</v>
      </c>
      <c r="P92" s="19"/>
      <c r="Q92" s="39">
        <v>2015</v>
      </c>
      <c r="R92" s="26">
        <v>120</v>
      </c>
      <c r="S92" s="26">
        <v>19</v>
      </c>
      <c r="T92" s="26">
        <v>254075.57596872593</v>
      </c>
      <c r="U92" s="35">
        <v>278913.20663621195</v>
      </c>
      <c r="V92" s="5">
        <v>27405.741949799998</v>
      </c>
      <c r="W92" s="5">
        <f t="shared" si="61"/>
        <v>281481.31791852595</v>
      </c>
      <c r="X92" s="5">
        <f t="shared" si="62"/>
        <v>-2568.1112823139993</v>
      </c>
      <c r="Y92" s="92">
        <f t="shared" si="63"/>
        <v>-9.1235585413072876E-3</v>
      </c>
      <c r="Z92" s="92">
        <f t="shared" si="64"/>
        <v>-1.8685897230826067E-2</v>
      </c>
      <c r="AB92" s="39">
        <v>2015</v>
      </c>
      <c r="AC92" s="26">
        <v>31</v>
      </c>
      <c r="AD92" s="26">
        <v>1</v>
      </c>
      <c r="AE92" s="26">
        <v>45452.641558652991</v>
      </c>
      <c r="AF92" s="35">
        <v>57495.06819977596</v>
      </c>
      <c r="AG92" s="5">
        <v>18692.704193000001</v>
      </c>
      <c r="AH92" s="5">
        <f t="shared" si="65"/>
        <v>64145.345751652989</v>
      </c>
      <c r="AI92" s="5">
        <f t="shared" si="66"/>
        <v>-6650.2775518770286</v>
      </c>
      <c r="AJ92" s="92">
        <f t="shared" si="67"/>
        <v>-0.1036751376728787</v>
      </c>
      <c r="AK92" s="92">
        <f t="shared" si="68"/>
        <v>-7.8410883910355944E-2</v>
      </c>
      <c r="AM92" s="39">
        <v>2015</v>
      </c>
      <c r="AN92" s="26">
        <v>1</v>
      </c>
      <c r="AO92" s="26">
        <v>0</v>
      </c>
      <c r="AP92" s="26">
        <v>1049.2347599982777</v>
      </c>
      <c r="AQ92" s="35">
        <v>1645.9779211500002</v>
      </c>
      <c r="AR92" s="5">
        <v>727.59957020000002</v>
      </c>
      <c r="AS92" s="5">
        <f t="shared" si="69"/>
        <v>1776.8343301982777</v>
      </c>
      <c r="AT92" s="5">
        <f t="shared" si="70"/>
        <v>-130.85640904827756</v>
      </c>
      <c r="AU92" s="92">
        <f t="shared" si="71"/>
        <v>-7.3645813131984691E-2</v>
      </c>
      <c r="AV92" s="92">
        <f t="shared" si="72"/>
        <v>-2.8380815073729301E-2</v>
      </c>
    </row>
    <row r="93" spans="2:48" x14ac:dyDescent="0.25">
      <c r="B93" s="5">
        <f t="shared" ref="B93:D93" si="81">_xlfn.RANK.AVG(B22,B$17:B$25,0)</f>
        <v>4</v>
      </c>
      <c r="C93" s="5">
        <f t="shared" si="81"/>
        <v>2</v>
      </c>
      <c r="D93" s="5">
        <f t="shared" si="81"/>
        <v>8</v>
      </c>
      <c r="E93" s="141">
        <v>2004</v>
      </c>
      <c r="I93" s="5">
        <f t="shared" ref="I93:K93" si="82">_xlfn.RANK.AVG(I22,I$17:I$25,0)</f>
        <v>4</v>
      </c>
      <c r="J93" s="5">
        <f t="shared" si="82"/>
        <v>2</v>
      </c>
      <c r="K93" s="5">
        <f t="shared" si="82"/>
        <v>9</v>
      </c>
      <c r="L93" s="55">
        <v>2004</v>
      </c>
      <c r="P93" s="19"/>
      <c r="Q93" s="39">
        <v>2016</v>
      </c>
      <c r="R93" s="26">
        <v>123</v>
      </c>
      <c r="S93" s="26">
        <v>1</v>
      </c>
      <c r="T93" s="26">
        <v>419961.86784110387</v>
      </c>
      <c r="U93" s="35">
        <v>466654.95302410802</v>
      </c>
      <c r="V93" s="5">
        <v>32928.015829999997</v>
      </c>
      <c r="W93" s="5">
        <f t="shared" si="61"/>
        <v>452889.88367110386</v>
      </c>
      <c r="X93" s="5">
        <f t="shared" si="62"/>
        <v>13765.069353004161</v>
      </c>
      <c r="Y93" s="92">
        <f t="shared" si="63"/>
        <v>3.039385477420066E-2</v>
      </c>
      <c r="Z93" s="92">
        <f t="shared" si="64"/>
        <v>0.10015635734977477</v>
      </c>
      <c r="AB93" s="39">
        <v>2016</v>
      </c>
      <c r="AC93" s="26">
        <v>80</v>
      </c>
      <c r="AD93" s="26">
        <v>0</v>
      </c>
      <c r="AE93" s="26">
        <v>27768.776804726676</v>
      </c>
      <c r="AF93" s="35">
        <v>57928.503403770002</v>
      </c>
      <c r="AG93" s="5">
        <v>26615.600082199999</v>
      </c>
      <c r="AH93" s="5">
        <f t="shared" si="65"/>
        <v>54384.376886926679</v>
      </c>
      <c r="AI93" s="5">
        <f t="shared" si="66"/>
        <v>3544.1265168433238</v>
      </c>
      <c r="AJ93" s="92">
        <f t="shared" si="67"/>
        <v>6.5168100099999252E-2</v>
      </c>
      <c r="AK93" s="92">
        <f t="shared" si="68"/>
        <v>4.1787442810921449E-2</v>
      </c>
      <c r="AM93" s="39">
        <v>2016</v>
      </c>
      <c r="AN93" s="26">
        <v>3</v>
      </c>
      <c r="AO93" s="26">
        <v>0</v>
      </c>
      <c r="AP93" s="26">
        <v>389.07349114498675</v>
      </c>
      <c r="AQ93" s="35">
        <v>897.96181972000022</v>
      </c>
      <c r="AR93" s="5">
        <v>772.24492480000015</v>
      </c>
      <c r="AS93" s="5">
        <f t="shared" si="69"/>
        <v>1161.318415944987</v>
      </c>
      <c r="AT93" s="5">
        <f t="shared" si="70"/>
        <v>-263.35659622498679</v>
      </c>
      <c r="AU93" s="92">
        <f t="shared" si="71"/>
        <v>-0.22677380519337453</v>
      </c>
      <c r="AV93" s="92">
        <f t="shared" si="72"/>
        <v>-5.7118141253216126E-2</v>
      </c>
    </row>
    <row r="94" spans="2:48" x14ac:dyDescent="0.25">
      <c r="B94" s="5">
        <f t="shared" ref="B94:D94" si="83">_xlfn.RANK.AVG(B23,B$17:B$25,0)</f>
        <v>9</v>
      </c>
      <c r="C94" s="5">
        <f t="shared" si="83"/>
        <v>8</v>
      </c>
      <c r="D94" s="5">
        <f t="shared" si="83"/>
        <v>4</v>
      </c>
      <c r="E94" s="141">
        <v>2005</v>
      </c>
      <c r="I94" s="5">
        <f t="shared" ref="I94:K94" si="84">_xlfn.RANK.AVG(I23,I$17:I$25,0)</f>
        <v>9</v>
      </c>
      <c r="J94" s="5">
        <f t="shared" si="84"/>
        <v>8</v>
      </c>
      <c r="K94" s="5">
        <f t="shared" si="84"/>
        <v>4</v>
      </c>
      <c r="L94" s="55">
        <v>2005</v>
      </c>
      <c r="Q94" s="95">
        <v>2017</v>
      </c>
      <c r="R94" s="96">
        <v>107</v>
      </c>
      <c r="S94" s="96">
        <v>1</v>
      </c>
      <c r="T94" s="96">
        <v>222250.84380942944</v>
      </c>
      <c r="U94" s="97">
        <v>353941.76308268995</v>
      </c>
      <c r="V94" s="97">
        <v>38298.079716999993</v>
      </c>
      <c r="W94" s="97">
        <f t="shared" si="61"/>
        <v>260548.92352642943</v>
      </c>
      <c r="X94" s="97">
        <f t="shared" si="62"/>
        <v>93392.839556260529</v>
      </c>
      <c r="Y94" s="98">
        <f t="shared" si="63"/>
        <v>0.35844646100327104</v>
      </c>
      <c r="Z94" s="98">
        <f t="shared" si="64"/>
        <v>0.67953792114135392</v>
      </c>
      <c r="AB94" s="95">
        <v>2017</v>
      </c>
      <c r="AC94" s="96">
        <v>12</v>
      </c>
      <c r="AD94" s="96">
        <v>0</v>
      </c>
      <c r="AE94" s="96">
        <v>28409.721535810273</v>
      </c>
      <c r="AF94" s="97">
        <v>111939.11071132201</v>
      </c>
      <c r="AG94" s="97">
        <v>17375.003749999993</v>
      </c>
      <c r="AH94" s="97">
        <f t="shared" si="65"/>
        <v>45784.725285810266</v>
      </c>
      <c r="AI94" s="97">
        <f t="shared" si="66"/>
        <v>66154.385425511748</v>
      </c>
      <c r="AJ94" s="98">
        <f t="shared" si="67"/>
        <v>1.4449007832316187</v>
      </c>
      <c r="AK94" s="98">
        <f t="shared" si="68"/>
        <v>0.78000110450978999</v>
      </c>
      <c r="AM94" s="108">
        <v>2017</v>
      </c>
      <c r="AN94" s="109"/>
      <c r="AO94" s="109"/>
      <c r="AP94" s="109"/>
      <c r="AQ94" s="35">
        <v>244.01615099999998</v>
      </c>
      <c r="AR94" s="7">
        <v>244.01615099999998</v>
      </c>
      <c r="AS94" s="7">
        <f t="shared" si="69"/>
        <v>244.01615099999998</v>
      </c>
      <c r="AT94" s="7">
        <f t="shared" si="70"/>
        <v>0</v>
      </c>
      <c r="AU94" s="102">
        <f t="shared" si="71"/>
        <v>0</v>
      </c>
      <c r="AV94" s="102">
        <f t="shared" si="72"/>
        <v>0</v>
      </c>
    </row>
    <row r="95" spans="2:48" x14ac:dyDescent="0.25">
      <c r="B95" s="5">
        <f t="shared" ref="B95:D95" si="85">_xlfn.RANK.AVG(B24,B$17:B$25,0)</f>
        <v>2</v>
      </c>
      <c r="C95" s="5">
        <f t="shared" si="85"/>
        <v>4</v>
      </c>
      <c r="D95" s="5">
        <f t="shared" si="85"/>
        <v>7</v>
      </c>
      <c r="E95" s="141">
        <v>2006</v>
      </c>
      <c r="I95" s="5">
        <f t="shared" ref="I95:K95" si="86">_xlfn.RANK.AVG(I24,I$17:I$25,0)</f>
        <v>2</v>
      </c>
      <c r="J95" s="5">
        <f t="shared" si="86"/>
        <v>4</v>
      </c>
      <c r="K95" s="5">
        <f t="shared" si="86"/>
        <v>7</v>
      </c>
      <c r="L95" s="55">
        <v>2006</v>
      </c>
      <c r="Q95" s="108" t="s">
        <v>104</v>
      </c>
      <c r="R95" s="109"/>
      <c r="S95" s="109"/>
      <c r="T95" s="109"/>
      <c r="U95" s="7"/>
      <c r="V95" s="7"/>
      <c r="W95" s="7">
        <f>AVERAGE(W68:W94)</f>
        <v>137435.80255153036</v>
      </c>
      <c r="X95" s="7"/>
      <c r="Y95" s="102"/>
      <c r="AB95" s="61" t="s">
        <v>104</v>
      </c>
      <c r="AH95" s="7">
        <f>AVERAGE(AH68:AH94)</f>
        <v>84813.194549369291</v>
      </c>
      <c r="AM95" s="61" t="s">
        <v>104</v>
      </c>
      <c r="AN95" s="17"/>
      <c r="AO95" s="17"/>
      <c r="AP95" s="17"/>
      <c r="AQ95" s="17"/>
      <c r="AR95" s="17"/>
      <c r="AS95" s="7">
        <f>AVERAGE(AS68:AS94)</f>
        <v>4610.7347061150749</v>
      </c>
      <c r="AT95" s="17"/>
      <c r="AU95" s="17"/>
      <c r="AV95" s="17"/>
    </row>
    <row r="96" spans="2:48" x14ac:dyDescent="0.25">
      <c r="B96" s="5">
        <f t="shared" ref="B96:D96" si="87">_xlfn.RANK.AVG(B25,B$17:B$25,0)</f>
        <v>1</v>
      </c>
      <c r="C96" s="5">
        <f t="shared" si="87"/>
        <v>5</v>
      </c>
      <c r="D96" s="5">
        <f t="shared" si="87"/>
        <v>1</v>
      </c>
      <c r="E96" s="141">
        <v>2007</v>
      </c>
      <c r="I96" s="5">
        <f t="shared" ref="I96:K96" si="88">_xlfn.RANK.AVG(I25,I$17:I$25,0)</f>
        <v>1</v>
      </c>
      <c r="J96" s="5">
        <f t="shared" si="88"/>
        <v>5</v>
      </c>
      <c r="K96" s="5">
        <f t="shared" si="88"/>
        <v>1</v>
      </c>
      <c r="L96" s="55">
        <v>2007</v>
      </c>
    </row>
    <row r="97" spans="9:12" x14ac:dyDescent="0.25">
      <c r="I97" s="5"/>
      <c r="J97" s="5"/>
      <c r="K97" s="5"/>
      <c r="L97" s="55"/>
    </row>
    <row r="98" spans="9:12" x14ac:dyDescent="0.25">
      <c r="I98" s="19"/>
      <c r="J98" s="19"/>
      <c r="K98" s="19"/>
    </row>
    <row r="99" spans="9:12" x14ac:dyDescent="0.25">
      <c r="I99" s="19"/>
      <c r="J99" s="19"/>
      <c r="K99" s="19"/>
    </row>
    <row r="100" spans="9:12" x14ac:dyDescent="0.25">
      <c r="I100" s="19"/>
      <c r="J100" s="19"/>
      <c r="K100" s="19"/>
    </row>
    <row r="101" spans="9:12" x14ac:dyDescent="0.25">
      <c r="I101" s="19"/>
      <c r="J101" s="19"/>
      <c r="K101" s="19"/>
    </row>
    <row r="102" spans="9:12" x14ac:dyDescent="0.25">
      <c r="I102" s="19"/>
      <c r="J102" s="19"/>
      <c r="K102" s="19"/>
    </row>
    <row r="103" spans="9:12" x14ac:dyDescent="0.25">
      <c r="I103" s="19"/>
      <c r="J103" s="19"/>
      <c r="K103" s="19"/>
    </row>
    <row r="104" spans="9:12" x14ac:dyDescent="0.25">
      <c r="I104" s="19"/>
      <c r="J104" s="19"/>
      <c r="K104" s="19"/>
    </row>
    <row r="105" spans="9:12" x14ac:dyDescent="0.25">
      <c r="I105" s="19"/>
      <c r="J105" s="19"/>
      <c r="K105" s="19"/>
    </row>
    <row r="106" spans="9:12" x14ac:dyDescent="0.25">
      <c r="I106" s="19"/>
      <c r="J106" s="19"/>
      <c r="K106" s="19"/>
    </row>
  </sheetData>
  <mergeCells count="7">
    <mergeCell ref="AB66:AK66"/>
    <mergeCell ref="AM66:AV66"/>
    <mergeCell ref="B86:E86"/>
    <mergeCell ref="E41:F41"/>
    <mergeCell ref="M41:N41"/>
    <mergeCell ref="I86:L86"/>
    <mergeCell ref="Q66:Z66"/>
  </mergeCells>
  <pageMargins left="0.7" right="0.7" top="0.75" bottom="0.75" header="0.3" footer="0.3"/>
  <pageSetup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A Spadefish</vt:lpstr>
      <vt:lpstr>Bar Jack</vt:lpstr>
      <vt:lpstr>Black Grouper</vt:lpstr>
      <vt:lpstr>Gray Triggerfish</vt:lpstr>
      <vt:lpstr>GA-NC Hogfish</vt:lpstr>
      <vt:lpstr>Scamp</vt:lpstr>
      <vt:lpstr>Deepwater Complex</vt:lpstr>
      <vt:lpstr>Jacks Complex</vt:lpstr>
      <vt:lpstr>Snappers Complex</vt:lpstr>
      <vt:lpstr>Grunts Complex</vt:lpstr>
      <vt:lpstr>Shallow-Water Complex</vt:lpstr>
      <vt:lpstr>Porgy Complex</vt:lpstr>
      <vt:lpstr>Dolphin</vt:lpstr>
      <vt:lpstr>Wahoo</vt:lpstr>
      <vt:lpstr>ORCS Categories</vt:lpstr>
      <vt:lpstr>Rec Closures</vt:lpstr>
      <vt:lpstr>Comm 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2020-04-28T03:33:53Z</dcterms:modified>
</cp:coreProperties>
</file>