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mon\LOBSTER\Landings Info\LOBSTER LANDINGS SPREADSHEETS\"/>
    </mc:Choice>
  </mc:AlternateContent>
  <bookViews>
    <workbookView xWindow="2625" yWindow="3015" windowWidth="16605" windowHeight="8700"/>
  </bookViews>
  <sheets>
    <sheet name="STATEWIDE" sheetId="1" r:id="rId1"/>
    <sheet name="MONROE COUNTY" sheetId="2" r:id="rId2"/>
    <sheet name="public format" sheetId="3" r:id="rId3"/>
  </sheets>
  <calcPr calcId="152511"/>
</workbook>
</file>

<file path=xl/calcChain.xml><?xml version="1.0" encoding="utf-8"?>
<calcChain xmlns="http://schemas.openxmlformats.org/spreadsheetml/2006/main">
  <c r="H29" i="3" l="1"/>
  <c r="G29" i="3"/>
  <c r="F29" i="3"/>
  <c r="E29" i="3"/>
  <c r="D29" i="3"/>
  <c r="H28" i="3"/>
  <c r="G28" i="3"/>
  <c r="F28" i="3"/>
  <c r="E28" i="3"/>
  <c r="D28" i="3"/>
  <c r="H27" i="3"/>
  <c r="G27" i="3"/>
  <c r="F27" i="3"/>
  <c r="E27" i="3"/>
  <c r="D27" i="3"/>
  <c r="H26" i="3"/>
  <c r="G26" i="3"/>
  <c r="F26" i="3"/>
  <c r="E26" i="3"/>
  <c r="D26" i="3"/>
  <c r="H25" i="3"/>
  <c r="G25" i="3"/>
  <c r="F25" i="3"/>
  <c r="E25" i="3"/>
  <c r="D25" i="3"/>
  <c r="H24" i="3"/>
  <c r="G24" i="3"/>
  <c r="F24" i="3"/>
  <c r="E24" i="3"/>
  <c r="D24" i="3"/>
  <c r="H23" i="3"/>
  <c r="G23" i="3"/>
  <c r="F23" i="3"/>
  <c r="E23" i="3"/>
  <c r="D23" i="3"/>
  <c r="H22" i="3"/>
  <c r="G22" i="3"/>
  <c r="F22" i="3"/>
  <c r="E22" i="3"/>
  <c r="D22" i="3"/>
  <c r="H21" i="3"/>
  <c r="G21" i="3"/>
  <c r="F21" i="3"/>
  <c r="E21" i="3"/>
  <c r="D21" i="3"/>
  <c r="H20" i="3"/>
  <c r="G20" i="3"/>
  <c r="F20" i="3"/>
  <c r="E20" i="3"/>
  <c r="D20" i="3"/>
  <c r="H19" i="3"/>
  <c r="G19" i="3"/>
  <c r="F19" i="3"/>
  <c r="E19" i="3"/>
  <c r="D19" i="3"/>
  <c r="H18" i="3"/>
  <c r="G18" i="3"/>
  <c r="F18" i="3"/>
  <c r="E18" i="3"/>
  <c r="D18" i="3"/>
  <c r="H17" i="3"/>
  <c r="G17" i="3"/>
  <c r="F17" i="3"/>
  <c r="E17" i="3"/>
  <c r="D17" i="3"/>
  <c r="H16" i="3"/>
  <c r="G16" i="3"/>
  <c r="F16" i="3"/>
  <c r="E16" i="3"/>
  <c r="D16" i="3"/>
  <c r="H15" i="3"/>
  <c r="G15" i="3"/>
  <c r="F15" i="3"/>
  <c r="E15" i="3"/>
  <c r="D15" i="3"/>
  <c r="H14" i="3"/>
  <c r="G14" i="3"/>
  <c r="F14" i="3"/>
  <c r="E14" i="3"/>
  <c r="D14" i="3"/>
  <c r="H13" i="3"/>
  <c r="G13" i="3"/>
  <c r="F13" i="3"/>
  <c r="E13" i="3"/>
  <c r="D13" i="3"/>
  <c r="H12" i="3"/>
  <c r="G12" i="3"/>
  <c r="F12" i="3"/>
  <c r="E12" i="3"/>
  <c r="D12" i="3"/>
  <c r="H11" i="3"/>
  <c r="G11" i="3"/>
  <c r="F11" i="3"/>
  <c r="E11" i="3"/>
  <c r="D11" i="3"/>
  <c r="H10" i="3"/>
  <c r="G10" i="3"/>
  <c r="F10" i="3"/>
  <c r="E10" i="3"/>
  <c r="D10" i="3"/>
  <c r="H9" i="3"/>
  <c r="G9" i="3"/>
  <c r="F9" i="3"/>
  <c r="E9" i="3"/>
  <c r="D9" i="3"/>
  <c r="H8" i="3"/>
  <c r="G8" i="3"/>
  <c r="F8" i="3"/>
  <c r="E8" i="3"/>
  <c r="D8" i="3"/>
  <c r="H7" i="3"/>
  <c r="G7" i="3"/>
  <c r="F7" i="3"/>
  <c r="E7" i="3"/>
  <c r="D7" i="3"/>
  <c r="H6" i="3"/>
  <c r="G6" i="3"/>
  <c r="F6" i="3"/>
  <c r="E6" i="3"/>
  <c r="D6" i="3"/>
  <c r="H5" i="3"/>
  <c r="G5" i="3"/>
  <c r="F5" i="3"/>
  <c r="E5" i="3"/>
  <c r="D5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B29" i="3"/>
  <c r="I29" i="1" l="1"/>
  <c r="B28" i="3" l="1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M29" i="3" l="1"/>
  <c r="Q29" i="1" l="1"/>
  <c r="P29" i="1"/>
  <c r="M29" i="1"/>
  <c r="I5" i="1" l="1"/>
  <c r="O28" i="1" l="1"/>
  <c r="Q28" i="1" s="1"/>
  <c r="M28" i="1"/>
  <c r="P28" i="1" l="1"/>
  <c r="S28" i="1" l="1"/>
  <c r="T28" i="1" s="1"/>
  <c r="Y28" i="1" l="1"/>
  <c r="W28" i="1"/>
  <c r="X28" i="1"/>
  <c r="V28" i="1"/>
  <c r="Z28" i="1"/>
  <c r="AB28" i="1"/>
  <c r="AA28" i="1"/>
  <c r="AD28" i="1" l="1"/>
  <c r="I27" i="1"/>
  <c r="O29" i="1" l="1"/>
  <c r="M27" i="1"/>
  <c r="O27" i="1"/>
  <c r="Q27" i="1" s="1"/>
  <c r="P27" i="1" l="1"/>
  <c r="S27" i="1" s="1"/>
  <c r="T27" i="1" s="1"/>
  <c r="S29" i="1"/>
  <c r="T29" i="1" s="1"/>
  <c r="M26" i="2"/>
  <c r="O26" i="2" s="1"/>
  <c r="K26" i="2"/>
  <c r="N25" i="2"/>
  <c r="M25" i="2"/>
  <c r="O25" i="2" s="1"/>
  <c r="K25" i="2"/>
  <c r="M24" i="2"/>
  <c r="P24" i="2" s="1"/>
  <c r="K24" i="2"/>
  <c r="G24" i="2"/>
  <c r="M23" i="2"/>
  <c r="O23" i="2" s="1"/>
  <c r="K23" i="2"/>
  <c r="G23" i="2"/>
  <c r="M22" i="2"/>
  <c r="P22" i="2" s="1"/>
  <c r="K22" i="2"/>
  <c r="G22" i="2"/>
  <c r="M21" i="2"/>
  <c r="O21" i="2" s="1"/>
  <c r="K21" i="2"/>
  <c r="G21" i="2"/>
  <c r="M20" i="2"/>
  <c r="P20" i="2" s="1"/>
  <c r="K20" i="2"/>
  <c r="G20" i="2"/>
  <c r="M19" i="2"/>
  <c r="O19" i="2" s="1"/>
  <c r="K19" i="2"/>
  <c r="G19" i="2"/>
  <c r="M18" i="2"/>
  <c r="P18" i="2" s="1"/>
  <c r="G18" i="2"/>
  <c r="M17" i="2"/>
  <c r="O17" i="2" s="1"/>
  <c r="K17" i="2"/>
  <c r="G17" i="2"/>
  <c r="M16" i="2"/>
  <c r="P16" i="2" s="1"/>
  <c r="K16" i="2"/>
  <c r="G16" i="2"/>
  <c r="M15" i="2"/>
  <c r="K15" i="2"/>
  <c r="G15" i="2"/>
  <c r="M14" i="2"/>
  <c r="O14" i="2" s="1"/>
  <c r="K14" i="2"/>
  <c r="G14" i="2"/>
  <c r="M13" i="2"/>
  <c r="P13" i="2" s="1"/>
  <c r="K13" i="2"/>
  <c r="G13" i="2"/>
  <c r="M12" i="2"/>
  <c r="O12" i="2" s="1"/>
  <c r="K12" i="2"/>
  <c r="G12" i="2"/>
  <c r="M11" i="2"/>
  <c r="P11" i="2" s="1"/>
  <c r="K11" i="2"/>
  <c r="G11" i="2"/>
  <c r="M10" i="2"/>
  <c r="O10" i="2" s="1"/>
  <c r="K10" i="2"/>
  <c r="G10" i="2"/>
  <c r="M9" i="2"/>
  <c r="P9" i="2" s="1"/>
  <c r="K9" i="2"/>
  <c r="G9" i="2"/>
  <c r="M8" i="2"/>
  <c r="O8" i="2" s="1"/>
  <c r="K8" i="2"/>
  <c r="G8" i="2"/>
  <c r="M7" i="2"/>
  <c r="O7" i="2" s="1"/>
  <c r="K7" i="2"/>
  <c r="G7" i="2"/>
  <c r="M6" i="2"/>
  <c r="G6" i="2"/>
  <c r="M5" i="2"/>
  <c r="G5" i="2"/>
  <c r="O26" i="1"/>
  <c r="Q26" i="1" s="1"/>
  <c r="M26" i="1"/>
  <c r="O25" i="1"/>
  <c r="R25" i="1" s="1"/>
  <c r="M25" i="1"/>
  <c r="I25" i="1"/>
  <c r="O24" i="1"/>
  <c r="R24" i="1" s="1"/>
  <c r="M24" i="1"/>
  <c r="I24" i="1"/>
  <c r="O23" i="1"/>
  <c r="R23" i="1" s="1"/>
  <c r="M23" i="1"/>
  <c r="I23" i="1"/>
  <c r="O22" i="1"/>
  <c r="Q22" i="1" s="1"/>
  <c r="M22" i="1"/>
  <c r="I22" i="1"/>
  <c r="O21" i="1"/>
  <c r="Q21" i="1" s="1"/>
  <c r="M21" i="1"/>
  <c r="I21" i="1"/>
  <c r="O20" i="1"/>
  <c r="Q20" i="1" s="1"/>
  <c r="M20" i="1"/>
  <c r="I20" i="1"/>
  <c r="O19" i="1"/>
  <c r="Q19" i="1" s="1"/>
  <c r="M19" i="1"/>
  <c r="I19" i="1"/>
  <c r="O18" i="1"/>
  <c r="R18" i="1" s="1"/>
  <c r="I18" i="1"/>
  <c r="O17" i="1"/>
  <c r="Q17" i="1" s="1"/>
  <c r="M17" i="1"/>
  <c r="I17" i="1"/>
  <c r="O16" i="1"/>
  <c r="Q16" i="1" s="1"/>
  <c r="M16" i="1"/>
  <c r="I16" i="1"/>
  <c r="O15" i="1"/>
  <c r="Q15" i="1" s="1"/>
  <c r="M15" i="1"/>
  <c r="I15" i="1"/>
  <c r="O14" i="1"/>
  <c r="Q14" i="1" s="1"/>
  <c r="M14" i="1"/>
  <c r="I14" i="1"/>
  <c r="O13" i="1"/>
  <c r="Q13" i="1" s="1"/>
  <c r="M13" i="1"/>
  <c r="I13" i="1"/>
  <c r="O12" i="1"/>
  <c r="Q12" i="1" s="1"/>
  <c r="M12" i="1"/>
  <c r="I12" i="1"/>
  <c r="O11" i="1"/>
  <c r="Q11" i="1" s="1"/>
  <c r="M11" i="1"/>
  <c r="I11" i="1"/>
  <c r="O10" i="1"/>
  <c r="R10" i="1" s="1"/>
  <c r="M10" i="1"/>
  <c r="I10" i="1"/>
  <c r="O9" i="1"/>
  <c r="Q9" i="1" s="1"/>
  <c r="M9" i="1"/>
  <c r="I9" i="1"/>
  <c r="O8" i="1"/>
  <c r="R8" i="1" s="1"/>
  <c r="M8" i="1"/>
  <c r="I8" i="1"/>
  <c r="O7" i="1"/>
  <c r="Q7" i="1" s="1"/>
  <c r="M7" i="1"/>
  <c r="I7" i="1"/>
  <c r="O6" i="1"/>
  <c r="P6" i="1" s="1"/>
  <c r="M6" i="1"/>
  <c r="I6" i="1"/>
  <c r="O5" i="1"/>
  <c r="Q5" i="1" s="1"/>
  <c r="M5" i="1"/>
  <c r="S5" i="1" l="1"/>
  <c r="T5" i="1" s="1"/>
  <c r="Y29" i="1"/>
  <c r="W29" i="1"/>
  <c r="Z29" i="1"/>
  <c r="X29" i="1"/>
  <c r="AB29" i="1"/>
  <c r="V29" i="1"/>
  <c r="AA29" i="1"/>
  <c r="W27" i="1"/>
  <c r="V27" i="1"/>
  <c r="AB27" i="1"/>
  <c r="K18" i="2"/>
  <c r="O15" i="2"/>
  <c r="N15" i="2"/>
  <c r="Y27" i="1"/>
  <c r="X27" i="1"/>
  <c r="AA27" i="1"/>
  <c r="Z27" i="1"/>
  <c r="Q25" i="2"/>
  <c r="R25" i="2" s="1"/>
  <c r="N7" i="2"/>
  <c r="N8" i="2"/>
  <c r="P8" i="2"/>
  <c r="O9" i="2"/>
  <c r="N10" i="2"/>
  <c r="P10" i="2"/>
  <c r="O11" i="2"/>
  <c r="N12" i="2"/>
  <c r="P12" i="2"/>
  <c r="O13" i="2"/>
  <c r="N14" i="2"/>
  <c r="P14" i="2"/>
  <c r="P15" i="2"/>
  <c r="O16" i="2"/>
  <c r="N17" i="2"/>
  <c r="P17" i="2"/>
  <c r="N19" i="2"/>
  <c r="P19" i="2"/>
  <c r="O20" i="2"/>
  <c r="N21" i="2"/>
  <c r="Q21" i="2" s="1"/>
  <c r="R21" i="2" s="1"/>
  <c r="P21" i="2"/>
  <c r="O22" i="2"/>
  <c r="N23" i="2"/>
  <c r="P23" i="2"/>
  <c r="O24" i="2"/>
  <c r="N26" i="2"/>
  <c r="Q26" i="2" s="1"/>
  <c r="R26" i="2" s="1"/>
  <c r="N9" i="2"/>
  <c r="N11" i="2"/>
  <c r="N13" i="2"/>
  <c r="N16" i="2"/>
  <c r="Q16" i="2" s="1"/>
  <c r="R16" i="2" s="1"/>
  <c r="AA16" i="2" s="1"/>
  <c r="N20" i="2"/>
  <c r="N22" i="2"/>
  <c r="Q22" i="2" s="1"/>
  <c r="R22" i="2" s="1"/>
  <c r="AA22" i="2" s="1"/>
  <c r="N24" i="2"/>
  <c r="Q24" i="2" s="1"/>
  <c r="R24" i="2" s="1"/>
  <c r="P7" i="1"/>
  <c r="P10" i="1"/>
  <c r="P26" i="1"/>
  <c r="R12" i="1"/>
  <c r="R14" i="1"/>
  <c r="R16" i="1"/>
  <c r="R19" i="1"/>
  <c r="R21" i="1"/>
  <c r="P5" i="1"/>
  <c r="S6" i="1"/>
  <c r="T6" i="1" s="1"/>
  <c r="P12" i="1"/>
  <c r="P14" i="1"/>
  <c r="P16" i="1"/>
  <c r="P19" i="1"/>
  <c r="P21" i="1"/>
  <c r="P25" i="1"/>
  <c r="Q6" i="1"/>
  <c r="S24" i="1"/>
  <c r="T24" i="1" s="1"/>
  <c r="AC24" i="1" s="1"/>
  <c r="Q8" i="1"/>
  <c r="P9" i="1"/>
  <c r="R9" i="1"/>
  <c r="Q10" i="1"/>
  <c r="P11" i="1"/>
  <c r="R11" i="1"/>
  <c r="P13" i="1"/>
  <c r="R13" i="1"/>
  <c r="P15" i="1"/>
  <c r="R15" i="1"/>
  <c r="P17" i="1"/>
  <c r="R17" i="1"/>
  <c r="P20" i="1"/>
  <c r="R20" i="1"/>
  <c r="P22" i="1"/>
  <c r="R22" i="1"/>
  <c r="Q23" i="1"/>
  <c r="Q25" i="1"/>
  <c r="P8" i="1"/>
  <c r="P23" i="1"/>
  <c r="S19" i="1" l="1"/>
  <c r="T19" i="1" s="1"/>
  <c r="AB19" i="1" s="1"/>
  <c r="S14" i="1"/>
  <c r="T14" i="1" s="1"/>
  <c r="AB14" i="1" s="1"/>
  <c r="S12" i="1"/>
  <c r="T12" i="1" s="1"/>
  <c r="AB12" i="1" s="1"/>
  <c r="S21" i="1"/>
  <c r="T21" i="1" s="1"/>
  <c r="AC21" i="1" s="1"/>
  <c r="AD29" i="1"/>
  <c r="AD27" i="1"/>
  <c r="S7" i="1"/>
  <c r="T7" i="1" s="1"/>
  <c r="AA7" i="1" s="1"/>
  <c r="Q20" i="2"/>
  <c r="R20" i="2" s="1"/>
  <c r="S26" i="1"/>
  <c r="T26" i="1" s="1"/>
  <c r="Y24" i="2"/>
  <c r="W24" i="2"/>
  <c r="U24" i="2"/>
  <c r="Z24" i="2"/>
  <c r="X24" i="2"/>
  <c r="V24" i="2"/>
  <c r="T24" i="2"/>
  <c r="Y20" i="2"/>
  <c r="W20" i="2"/>
  <c r="U20" i="2"/>
  <c r="Z20" i="2"/>
  <c r="X20" i="2"/>
  <c r="V20" i="2"/>
  <c r="T20" i="2"/>
  <c r="Q13" i="2"/>
  <c r="R13" i="2" s="1"/>
  <c r="Y13" i="2" s="1"/>
  <c r="Q9" i="2"/>
  <c r="R9" i="2" s="1"/>
  <c r="Y9" i="2" s="1"/>
  <c r="Q14" i="2"/>
  <c r="R14" i="2" s="1"/>
  <c r="Y14" i="2"/>
  <c r="Q10" i="2"/>
  <c r="R10" i="2" s="1"/>
  <c r="Y10" i="2" s="1"/>
  <c r="Q7" i="2"/>
  <c r="R7" i="2" s="1"/>
  <c r="Y7" i="2" s="1"/>
  <c r="Q23" i="2"/>
  <c r="R23" i="2" s="1"/>
  <c r="AA21" i="2"/>
  <c r="Q19" i="2"/>
  <c r="R19" i="2" s="1"/>
  <c r="AA19" i="2" s="1"/>
  <c r="Q17" i="2"/>
  <c r="R17" i="2" s="1"/>
  <c r="AA17" i="2" s="1"/>
  <c r="Q15" i="2"/>
  <c r="R15" i="2" s="1"/>
  <c r="Y22" i="2"/>
  <c r="W22" i="2"/>
  <c r="U22" i="2"/>
  <c r="Z22" i="2"/>
  <c r="X22" i="2"/>
  <c r="V22" i="2"/>
  <c r="T22" i="2"/>
  <c r="Y16" i="2"/>
  <c r="W16" i="2"/>
  <c r="U16" i="2"/>
  <c r="Z16" i="2"/>
  <c r="X16" i="2"/>
  <c r="V16" i="2"/>
  <c r="T16" i="2"/>
  <c r="Q11" i="2"/>
  <c r="R11" i="2" s="1"/>
  <c r="Y11" i="2" s="1"/>
  <c r="W26" i="2"/>
  <c r="U26" i="2"/>
  <c r="X26" i="2"/>
  <c r="V26" i="2"/>
  <c r="T26" i="2"/>
  <c r="Z21" i="2"/>
  <c r="X21" i="2"/>
  <c r="V21" i="2"/>
  <c r="T21" i="2"/>
  <c r="Y21" i="2"/>
  <c r="W21" i="2"/>
  <c r="U21" i="2"/>
  <c r="Q12" i="2"/>
  <c r="R12" i="2" s="1"/>
  <c r="Y12" i="2" s="1"/>
  <c r="Q8" i="2"/>
  <c r="R8" i="2" s="1"/>
  <c r="Y8" i="2" s="1"/>
  <c r="X25" i="2"/>
  <c r="V25" i="2"/>
  <c r="T25" i="2"/>
  <c r="W25" i="2"/>
  <c r="U25" i="2"/>
  <c r="AA23" i="2"/>
  <c r="AA14" i="2"/>
  <c r="AA24" i="2"/>
  <c r="AA20" i="2"/>
  <c r="S16" i="1"/>
  <c r="T16" i="1" s="1"/>
  <c r="AB16" i="1" s="1"/>
  <c r="S10" i="1"/>
  <c r="T10" i="1" s="1"/>
  <c r="W10" i="1" s="1"/>
  <c r="AB5" i="1"/>
  <c r="S25" i="1"/>
  <c r="T25" i="1" s="1"/>
  <c r="Y25" i="1" s="1"/>
  <c r="AB6" i="1"/>
  <c r="AA6" i="1"/>
  <c r="AA5" i="1"/>
  <c r="S8" i="1"/>
  <c r="T8" i="1" s="1"/>
  <c r="AA8" i="1" s="1"/>
  <c r="S22" i="1"/>
  <c r="T22" i="1" s="1"/>
  <c r="AA22" i="1" s="1"/>
  <c r="W19" i="1"/>
  <c r="X19" i="1"/>
  <c r="S15" i="1"/>
  <c r="T15" i="1" s="1"/>
  <c r="AA15" i="1" s="1"/>
  <c r="W12" i="1"/>
  <c r="X12" i="1"/>
  <c r="S11" i="1"/>
  <c r="T11" i="1" s="1"/>
  <c r="AA11" i="1" s="1"/>
  <c r="S9" i="1"/>
  <c r="T9" i="1" s="1"/>
  <c r="AA9" i="1" s="1"/>
  <c r="AC12" i="1"/>
  <c r="AD5" i="1"/>
  <c r="S23" i="1"/>
  <c r="T23" i="1" s="1"/>
  <c r="AB23" i="1" s="1"/>
  <c r="Y21" i="1"/>
  <c r="W21" i="1"/>
  <c r="Z21" i="1"/>
  <c r="X21" i="1"/>
  <c r="V21" i="1"/>
  <c r="S20" i="1"/>
  <c r="T20" i="1" s="1"/>
  <c r="S17" i="1"/>
  <c r="T17" i="1" s="1"/>
  <c r="AA17" i="1" s="1"/>
  <c r="Y14" i="1"/>
  <c r="W14" i="1"/>
  <c r="Z14" i="1"/>
  <c r="X14" i="1"/>
  <c r="V14" i="1"/>
  <c r="S13" i="1"/>
  <c r="T13" i="1" s="1"/>
  <c r="AA13" i="1" s="1"/>
  <c r="V10" i="1"/>
  <c r="AB24" i="1"/>
  <c r="Z24" i="1"/>
  <c r="X24" i="1"/>
  <c r="V24" i="1"/>
  <c r="AA24" i="1"/>
  <c r="Y24" i="1"/>
  <c r="W24" i="1"/>
  <c r="AC9" i="1"/>
  <c r="AA21" i="1"/>
  <c r="AA14" i="1"/>
  <c r="AB21" i="1"/>
  <c r="AC14" i="1"/>
  <c r="AC19" i="1" l="1"/>
  <c r="V12" i="1"/>
  <c r="Z12" i="1"/>
  <c r="Y12" i="1"/>
  <c r="V19" i="1"/>
  <c r="Z19" i="1"/>
  <c r="Y19" i="1"/>
  <c r="AA12" i="1"/>
  <c r="AA19" i="1"/>
  <c r="AD6" i="1"/>
  <c r="AC10" i="1"/>
  <c r="Y10" i="1"/>
  <c r="AB10" i="1"/>
  <c r="AD10" i="1" s="1"/>
  <c r="AB7" i="1"/>
  <c r="AD7" i="1" s="1"/>
  <c r="AC15" i="1"/>
  <c r="Y7" i="1"/>
  <c r="AA10" i="2"/>
  <c r="AB20" i="2"/>
  <c r="V7" i="1"/>
  <c r="X16" i="1"/>
  <c r="AD24" i="1"/>
  <c r="X7" i="1"/>
  <c r="W16" i="1"/>
  <c r="X25" i="1"/>
  <c r="AC16" i="1"/>
  <c r="Z26" i="1"/>
  <c r="X26" i="1"/>
  <c r="W26" i="1"/>
  <c r="V26" i="1"/>
  <c r="Y26" i="1"/>
  <c r="AB26" i="1"/>
  <c r="W7" i="1"/>
  <c r="AA26" i="1"/>
  <c r="Z7" i="1"/>
  <c r="AA16" i="1"/>
  <c r="AB22" i="2"/>
  <c r="W11" i="2"/>
  <c r="U11" i="2"/>
  <c r="X11" i="2"/>
  <c r="V11" i="2"/>
  <c r="T11" i="2"/>
  <c r="AA11" i="2"/>
  <c r="Z15" i="2"/>
  <c r="X15" i="2"/>
  <c r="V15" i="2"/>
  <c r="T15" i="2"/>
  <c r="Y15" i="2"/>
  <c r="W15" i="2"/>
  <c r="U15" i="2"/>
  <c r="Z19" i="2"/>
  <c r="X19" i="2"/>
  <c r="V19" i="2"/>
  <c r="T19" i="2"/>
  <c r="Y19" i="2"/>
  <c r="W19" i="2"/>
  <c r="U19" i="2"/>
  <c r="Z23" i="2"/>
  <c r="X23" i="2"/>
  <c r="V23" i="2"/>
  <c r="T23" i="2"/>
  <c r="Y23" i="2"/>
  <c r="AB23" i="2" s="1"/>
  <c r="W23" i="2"/>
  <c r="U23" i="2"/>
  <c r="X10" i="2"/>
  <c r="V10" i="2"/>
  <c r="T10" i="2"/>
  <c r="W10" i="2"/>
  <c r="U10" i="2"/>
  <c r="Z10" i="2"/>
  <c r="AB10" i="2" s="1"/>
  <c r="X14" i="2"/>
  <c r="V14" i="2"/>
  <c r="T14" i="2"/>
  <c r="W14" i="2"/>
  <c r="U14" i="2"/>
  <c r="Z14" i="2"/>
  <c r="AB14" i="2" s="1"/>
  <c r="AA10" i="1"/>
  <c r="Z10" i="1"/>
  <c r="V16" i="1"/>
  <c r="Z16" i="1"/>
  <c r="Y16" i="1"/>
  <c r="Z9" i="2"/>
  <c r="AB9" i="2" s="1"/>
  <c r="Z13" i="2"/>
  <c r="AB21" i="2"/>
  <c r="AB16" i="2"/>
  <c r="Z11" i="2"/>
  <c r="AB11" i="2" s="1"/>
  <c r="AA15" i="2"/>
  <c r="AB24" i="2"/>
  <c r="X8" i="2"/>
  <c r="V8" i="2"/>
  <c r="T8" i="2"/>
  <c r="W8" i="2"/>
  <c r="U8" i="2"/>
  <c r="Z8" i="2"/>
  <c r="AB8" i="2" s="1"/>
  <c r="X12" i="2"/>
  <c r="V12" i="2"/>
  <c r="T12" i="2"/>
  <c r="W12" i="2"/>
  <c r="U12" i="2"/>
  <c r="Z12" i="2"/>
  <c r="AB12" i="2" s="1"/>
  <c r="Z17" i="2"/>
  <c r="X17" i="2"/>
  <c r="V17" i="2"/>
  <c r="T17" i="2"/>
  <c r="Y17" i="2"/>
  <c r="W17" i="2"/>
  <c r="U17" i="2"/>
  <c r="AA7" i="2"/>
  <c r="W7" i="2"/>
  <c r="U7" i="2"/>
  <c r="X7" i="2"/>
  <c r="V7" i="2"/>
  <c r="T7" i="2"/>
  <c r="Z7" i="2"/>
  <c r="AB7" i="2" s="1"/>
  <c r="W9" i="2"/>
  <c r="U9" i="2"/>
  <c r="X9" i="2"/>
  <c r="V9" i="2"/>
  <c r="T9" i="2"/>
  <c r="AA9" i="2"/>
  <c r="W13" i="2"/>
  <c r="U13" i="2"/>
  <c r="X13" i="2"/>
  <c r="V13" i="2"/>
  <c r="T13" i="2"/>
  <c r="AA13" i="2"/>
  <c r="AA8" i="2"/>
  <c r="AA12" i="2"/>
  <c r="AB8" i="1"/>
  <c r="AC11" i="1"/>
  <c r="X10" i="1"/>
  <c r="AD19" i="1"/>
  <c r="AB25" i="1"/>
  <c r="AA25" i="1"/>
  <c r="W25" i="1"/>
  <c r="AD14" i="1"/>
  <c r="AA23" i="1"/>
  <c r="AD16" i="1"/>
  <c r="AD12" i="1"/>
  <c r="AC25" i="1"/>
  <c r="V25" i="1"/>
  <c r="Z25" i="1"/>
  <c r="Z20" i="1"/>
  <c r="X20" i="1"/>
  <c r="V20" i="1"/>
  <c r="Y20" i="1"/>
  <c r="W20" i="1"/>
  <c r="AB20" i="1"/>
  <c r="Z13" i="1"/>
  <c r="X13" i="1"/>
  <c r="V13" i="1"/>
  <c r="Y13" i="1"/>
  <c r="W13" i="1"/>
  <c r="AB13" i="1"/>
  <c r="Y23" i="1"/>
  <c r="W23" i="1"/>
  <c r="Z23" i="1"/>
  <c r="X23" i="1"/>
  <c r="V23" i="1"/>
  <c r="AC23" i="1"/>
  <c r="Z9" i="1"/>
  <c r="X9" i="1"/>
  <c r="V9" i="1"/>
  <c r="Y9" i="1"/>
  <c r="W9" i="1"/>
  <c r="AB9" i="1"/>
  <c r="AD9" i="1" s="1"/>
  <c r="Z11" i="1"/>
  <c r="X11" i="1"/>
  <c r="V11" i="1"/>
  <c r="Y11" i="1"/>
  <c r="W11" i="1"/>
  <c r="AB11" i="1"/>
  <c r="AD11" i="1" s="1"/>
  <c r="Y8" i="1"/>
  <c r="W8" i="1"/>
  <c r="Z8" i="1"/>
  <c r="X8" i="1"/>
  <c r="V8" i="1"/>
  <c r="AC8" i="1"/>
  <c r="AD21" i="1"/>
  <c r="AC22" i="1"/>
  <c r="AA20" i="1"/>
  <c r="AC13" i="1"/>
  <c r="AC20" i="1"/>
  <c r="Z17" i="1"/>
  <c r="X17" i="1"/>
  <c r="V17" i="1"/>
  <c r="Y17" i="1"/>
  <c r="W17" i="1"/>
  <c r="AB17" i="1"/>
  <c r="Z15" i="1"/>
  <c r="X15" i="1"/>
  <c r="V15" i="1"/>
  <c r="Y15" i="1"/>
  <c r="W15" i="1"/>
  <c r="AB15" i="1"/>
  <c r="Z22" i="1"/>
  <c r="X22" i="1"/>
  <c r="V22" i="1"/>
  <c r="Y22" i="1"/>
  <c r="W22" i="1"/>
  <c r="AB22" i="1"/>
  <c r="AC17" i="1"/>
  <c r="AD15" i="1" l="1"/>
  <c r="AD25" i="1"/>
  <c r="AB13" i="2"/>
  <c r="AD26" i="1"/>
  <c r="AB17" i="2"/>
  <c r="AB19" i="2"/>
  <c r="AB15" i="2"/>
  <c r="AD13" i="1"/>
  <c r="AD8" i="1"/>
  <c r="AD23" i="1"/>
  <c r="AD22" i="1"/>
  <c r="AD17" i="1"/>
  <c r="AD20" i="1"/>
</calcChain>
</file>

<file path=xl/sharedStrings.xml><?xml version="1.0" encoding="utf-8"?>
<sst xmlns="http://schemas.openxmlformats.org/spreadsheetml/2006/main" count="198" uniqueCount="71">
  <si>
    <t>STATEWIDE</t>
  </si>
  <si>
    <t>Fishing Season</t>
  </si>
  <si>
    <t>Commercial Landings</t>
  </si>
  <si>
    <t>Total Landings</t>
  </si>
  <si>
    <t>Proportion of Florida Spiny Lobster Fishery Landings</t>
  </si>
  <si>
    <t>Numbers of Lobsters</t>
  </si>
  <si>
    <t>Weight</t>
  </si>
  <si>
    <t>Commercial</t>
  </si>
  <si>
    <t xml:space="preserve">Recreational </t>
  </si>
  <si>
    <t>Total</t>
  </si>
  <si>
    <t>Trap</t>
  </si>
  <si>
    <t>Dive</t>
  </si>
  <si>
    <t>Bully</t>
  </si>
  <si>
    <t>Other</t>
  </si>
  <si>
    <t>Special</t>
  </si>
  <si>
    <t>Regular</t>
  </si>
  <si>
    <t>SRL</t>
  </si>
  <si>
    <t>Unk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</si>
  <si>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</si>
  <si>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</si>
  <si>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</si>
  <si>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</si>
  <si>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</si>
  <si>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</si>
  <si>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</si>
  <si>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</si>
  <si>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</si>
  <si>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</si>
  <si>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</si>
  <si>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</si>
  <si>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</si>
  <si>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</si>
  <si>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</si>
  <si>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</si>
  <si>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</si>
  <si>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</si>
  <si>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</si>
  <si>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</si>
  <si>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</si>
  <si>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</si>
  <si>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MONROE COUNTY</t>
  </si>
  <si>
    <t>Recreational Landings</t>
  </si>
  <si>
    <r>
      <t>Conversion Numbers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</si>
  <si>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CL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</si>
  <si>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Mean Wt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</si>
  <si>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 xml:space="preserve">Special </t>
  </si>
  <si>
    <t xml:space="preserve">Regular </t>
  </si>
  <si>
    <t xml:space="preserve">Total </t>
  </si>
  <si>
    <t>NOT ESTIMATED -- RECREATIONAL SURVEYS NOT COMPLETED</t>
  </si>
  <si>
    <t>**</t>
  </si>
  <si>
    <r>
      <t>SRL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</si>
  <si>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Weight estimate calculated from carapace length from above and the equation from Matthews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., 2003 (GCFI)</t>
    </r>
  </si>
  <si>
    <t>** Data Unavailable -- Recreational Suveys were not conducted due to hurricanes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</si>
  <si>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These values are used to convert the estimated number of lobsters landed by the recreational fishery into lbs to facilitate direct comparisons with commercial fishery landings</t>
    </r>
  </si>
  <si>
    <t>However, 100% reporting compliance was never achieved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</si>
  <si>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Commercial Landings listed as 'other' for the season 2010/11 include landings reported from stone crab traps (34,605 lbs)</t>
    </r>
  </si>
  <si>
    <t>2013/14</t>
  </si>
  <si>
    <t>2014/15</t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</si>
  <si>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Special Recreational License.  Available from the 1994/95 through the 2011/12 Season. Landings are reported from mandatory reports from license holders submitted to FWRI detailing fishing activity </t>
    </r>
  </si>
  <si>
    <t>we have not updated Monroe Yet</t>
  </si>
  <si>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Mean carapace length of lobsters measured by FWRI's Fishery Dependent Monitoring Program at commercial seadood houses. Data not available in 2014/15 so average length used</t>
    </r>
  </si>
  <si>
    <r>
      <t xml:space="preserve">NOTE: Values in </t>
    </r>
    <r>
      <rPr>
        <b/>
        <sz val="11"/>
        <color rgb="FFFF0000"/>
        <rFont val="Calibri"/>
        <family val="2"/>
        <scheme val="minor"/>
      </rPr>
      <t>RED</t>
    </r>
    <r>
      <rPr>
        <b/>
        <sz val="11"/>
        <color theme="1"/>
        <rFont val="Calibri"/>
        <family val="2"/>
        <scheme val="minor"/>
      </rPr>
      <t xml:space="preserve"> are preliminary and subject to minor change due to potential delayed reporting of fishing trips</t>
    </r>
  </si>
  <si>
    <t>.</t>
  </si>
  <si>
    <t>2015/16</t>
  </si>
  <si>
    <t>Stone Crab</t>
  </si>
  <si>
    <t>Mixed</t>
  </si>
  <si>
    <t>** Data Unavailable -- Recreational Surveys were not conducted due to hurricanes</t>
  </si>
  <si>
    <t>SRL (Special Recreational License) was available from the 1994/95 through the 2011/12 Season.</t>
  </si>
  <si>
    <t>N/A</t>
  </si>
  <si>
    <t xml:space="preserve">All Landings records are considered complete, but may be subject to editing </t>
  </si>
  <si>
    <t>UPDATED 10/10/2016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</si>
</sst>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0.0000"/>
    <numFmt numFmtId="166" formatCode="0.0%"/>
    <numFmt numFmtId="167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4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98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9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0" fontId="8" fillId="0" borderId="0" xfId="0" applyFont="1"/>
    <xf numFmtId="0" fontId="1" fillId="0" borderId="0" xfId="0" applyFont="1"/>
    <xf numFmtId="165" fontId="0" fillId="0" borderId="0" xfId="0" applyNumberFormat="1" applyFont="1"/>
    <xf numFmtId="3" fontId="12" fillId="0" borderId="0" xfId="0" applyNumberFormat="1" applyFont="1"/>
    <xf numFmtId="4" fontId="0" fillId="0" borderId="0" xfId="0" applyNumberFormat="1"/>
    <xf numFmtId="0" fontId="0" fillId="0" borderId="0" xfId="0"/>
    <xf numFmtId="3" fontId="0" fillId="0" borderId="0" xfId="0" applyNumberFormat="1" applyFont="1"/>
    <xf numFmtId="3" fontId="13" fillId="0" borderId="0" xfId="0" applyNumberFormat="1" applyFont="1"/>
    <xf numFmtId="164" fontId="0" fillId="0" borderId="0" xfId="0" applyNumberFormat="1" applyFont="1"/>
    <xf numFmtId="3" fontId="15" fillId="0" borderId="0" xfId="1" applyNumberFormat="1" applyFont="1" applyFill="1" applyBorder="1"/>
    <xf numFmtId="3" fontId="15" fillId="0" borderId="0" xfId="1" applyNumberFormat="1" applyFont="1" applyFill="1" applyBorder="1" applyAlignment="1"/>
    <xf numFmtId="3" fontId="12" fillId="0" borderId="0" xfId="1" applyNumberFormat="1" applyFont="1" applyFill="1" applyBorder="1"/>
    <xf numFmtId="3" fontId="12" fillId="0" borderId="0" xfId="1" applyNumberFormat="1" applyFont="1" applyFill="1" applyBorder="1" applyAlignment="1"/>
    <xf numFmtId="3" fontId="16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3" fontId="17" fillId="0" borderId="0" xfId="0" applyNumberFormat="1" applyFont="1" applyFill="1" applyBorder="1"/>
    <xf numFmtId="167" fontId="19" fillId="0" borderId="0" xfId="2" applyNumberFormat="1" applyFont="1" applyBorder="1"/>
    <xf numFmtId="167" fontId="18" fillId="0" borderId="0" xfId="2" applyNumberFormat="1" applyFont="1" applyBorder="1"/>
    <xf numFmtId="0" fontId="2" fillId="0" borderId="0" xfId="0" applyFont="1" applyAlignment="1"/>
    <xf numFmtId="0" fontId="0" fillId="2" borderId="5" xfId="0" applyFill="1" applyBorder="1"/>
    <xf numFmtId="3" fontId="0" fillId="2" borderId="5" xfId="0" applyNumberFormat="1" applyFill="1" applyBorder="1"/>
    <xf numFmtId="3" fontId="0" fillId="2" borderId="4" xfId="0" applyNumberFormat="1" applyFill="1" applyBorder="1"/>
    <xf numFmtId="3" fontId="0" fillId="2" borderId="0" xfId="0" applyNumberFormat="1" applyFill="1" applyBorder="1"/>
    <xf numFmtId="167" fontId="1" fillId="0" borderId="0" xfId="2" applyNumberFormat="1" applyFont="1" applyBorder="1"/>
    <xf numFmtId="167" fontId="20" fillId="0" borderId="0" xfId="2" applyNumberFormat="1" applyFont="1" applyBorder="1" applyAlignment="1">
      <alignment horizontal="center"/>
    </xf>
    <xf numFmtId="167" fontId="1" fillId="0" borderId="0" xfId="3" applyNumberFormat="1" applyFont="1" applyBorder="1"/>
    <xf numFmtId="0" fontId="0" fillId="0" borderId="0" xfId="0" applyBorder="1"/>
    <xf numFmtId="0" fontId="2" fillId="2" borderId="9" xfId="0" applyFont="1" applyFill="1" applyBorder="1"/>
    <xf numFmtId="3" fontId="0" fillId="2" borderId="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0" fontId="0" fillId="2" borderId="0" xfId="0" applyFont="1" applyFill="1" applyBorder="1"/>
    <xf numFmtId="0" fontId="0" fillId="2" borderId="11" xfId="0" applyFill="1" applyBorder="1"/>
    <xf numFmtId="0" fontId="2" fillId="2" borderId="11" xfId="0" applyFont="1" applyFill="1" applyBorder="1"/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3" fontId="0" fillId="2" borderId="0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7" fontId="0" fillId="0" borderId="0" xfId="0" applyNumberFormat="1"/>
    <xf numFmtId="3" fontId="18" fillId="2" borderId="4" xfId="2" applyNumberFormat="1" applyFont="1" applyFill="1" applyBorder="1" applyAlignment="1">
      <alignment horizontal="right"/>
    </xf>
    <xf numFmtId="3" fontId="18" fillId="2" borderId="0" xfId="2" applyNumberFormat="1" applyFont="1" applyFill="1" applyBorder="1" applyAlignment="1">
      <alignment horizontal="right"/>
    </xf>
    <xf numFmtId="167" fontId="13" fillId="0" borderId="7" xfId="2" applyNumberFormat="1" applyFont="1" applyBorder="1"/>
    <xf numFmtId="167" fontId="21" fillId="0" borderId="7" xfId="2" applyNumberFormat="1" applyFont="1" applyBorder="1" applyAlignment="1">
      <alignment horizontal="center"/>
    </xf>
    <xf numFmtId="167" fontId="13" fillId="0" borderId="7" xfId="3" applyNumberFormat="1" applyFont="1" applyBorder="1"/>
    <xf numFmtId="3" fontId="22" fillId="0" borderId="0" xfId="0" applyNumberFormat="1" applyFont="1" applyFill="1" applyBorder="1"/>
    <xf numFmtId="164" fontId="13" fillId="0" borderId="0" xfId="0" applyNumberFormat="1" applyFont="1" applyFill="1"/>
    <xf numFmtId="165" fontId="13" fillId="0" borderId="0" xfId="0" applyNumberFormat="1" applyFont="1" applyFill="1"/>
    <xf numFmtId="166" fontId="13" fillId="0" borderId="0" xfId="0" applyNumberFormat="1" applyFont="1"/>
    <xf numFmtId="9" fontId="13" fillId="0" borderId="0" xfId="0" applyNumberFormat="1" applyFont="1"/>
    <xf numFmtId="3" fontId="13" fillId="2" borderId="6" xfId="2" applyNumberFormat="1" applyFont="1" applyFill="1" applyBorder="1" applyAlignment="1">
      <alignment horizontal="right"/>
    </xf>
    <xf numFmtId="3" fontId="13" fillId="2" borderId="6" xfId="0" applyNumberFormat="1" applyFont="1" applyFill="1" applyBorder="1"/>
    <xf numFmtId="3" fontId="13" fillId="2" borderId="7" xfId="0" applyNumberFormat="1" applyFont="1" applyFill="1" applyBorder="1"/>
    <xf numFmtId="3" fontId="13" fillId="2" borderId="7" xfId="0" applyNumberFormat="1" applyFont="1" applyFill="1" applyBorder="1" applyAlignment="1">
      <alignment horizontal="center" vertical="center"/>
    </xf>
    <xf numFmtId="3" fontId="13" fillId="2" borderId="8" xfId="0" applyNumberFormat="1" applyFont="1" applyFill="1" applyBorder="1"/>
    <xf numFmtId="3" fontId="13" fillId="2" borderId="9" xfId="0" applyNumberFormat="1" applyFont="1" applyFill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9" fillId="0" borderId="0" xfId="0" applyFont="1" applyAlignment="1">
      <alignment vertic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/>
    <xf numFmtId="0" fontId="8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3" fontId="18" fillId="2" borderId="5" xfId="2" applyNumberFormat="1" applyFont="1" applyFill="1" applyBorder="1" applyAlignment="1">
      <alignment horizontal="right"/>
    </xf>
    <xf numFmtId="3" fontId="18" fillId="2" borderId="7" xfId="2" applyNumberFormat="1" applyFont="1" applyFill="1" applyBorder="1" applyAlignment="1">
      <alignment horizontal="right"/>
    </xf>
    <xf numFmtId="3" fontId="18" fillId="2" borderId="8" xfId="2" applyNumberFormat="1" applyFont="1" applyFill="1" applyBorder="1" applyAlignment="1">
      <alignment horizontal="right"/>
    </xf>
  </cellXfs>
  <cellStyles count="4">
    <cellStyle name="Comma" xfId="2" builtinId="3"/>
    <cellStyle name="Comma 3" xf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D71"/>
  <sheetViews>
    <sheetView tabSelected="1" workbookViewId="0">
      <pane ySplit="4" topLeftCell="A5" activePane="bottomLeft" state="frozen"/>
      <selection pane="bottomLeft" activeCell="A30" sqref="A30"/>
    </sheetView>
  </sheetViews>
  <sheetFormatPr defaultRowHeight="15" x14ac:dyDescent="0.25"/>
  <cols>
    <col min="1" max="1" width="10.28515625" customWidth="1"/>
    <col min="2" max="2" width="10.5703125" bestFit="1" customWidth="1"/>
    <col min="3" max="6" width="9.42578125" bestFit="1" customWidth="1"/>
    <col min="7" max="7" width="10.85546875" bestFit="1" customWidth="1"/>
    <col min="8" max="8" width="10.5703125" bestFit="1" customWidth="1"/>
    <col min="13" max="13" width="10" customWidth="1"/>
    <col min="15" max="15" width="11.28515625" customWidth="1"/>
    <col min="18" max="18" width="11.28515625" customWidth="1"/>
    <col min="19" max="19" width="10.140625" customWidth="1"/>
    <col min="20" max="20" width="11" customWidth="1"/>
    <col min="21" max="21" width="7.7109375" customWidth="1"/>
    <col min="24" max="24" width="7.7109375" customWidth="1"/>
    <col min="25" max="25" width="7.140625" customWidth="1"/>
  </cols>
  <sheetData>
    <row r="1" spans="1:30" ht="21" x14ac:dyDescent="0.3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30" ht="18.75" x14ac:dyDescent="0.3">
      <c r="A2" s="80" t="s">
        <v>1</v>
      </c>
      <c r="B2" s="72" t="s">
        <v>2</v>
      </c>
      <c r="C2" s="72"/>
      <c r="D2" s="72"/>
      <c r="E2" s="72"/>
      <c r="F2" s="72"/>
      <c r="G2" s="72"/>
      <c r="H2" s="73"/>
      <c r="I2" s="73"/>
      <c r="J2" s="70" t="s">
        <v>41</v>
      </c>
      <c r="K2" s="71"/>
      <c r="L2" s="71"/>
      <c r="M2" s="71"/>
      <c r="N2" s="71"/>
      <c r="O2" s="71"/>
      <c r="P2" s="71"/>
      <c r="Q2" s="71"/>
      <c r="R2" s="71"/>
      <c r="S2" s="71"/>
      <c r="T2" s="78" t="s">
        <v>3</v>
      </c>
      <c r="V2" s="70" t="s">
        <v>4</v>
      </c>
      <c r="W2" s="70"/>
      <c r="X2" s="70"/>
      <c r="Y2" s="70"/>
      <c r="Z2" s="70"/>
      <c r="AA2" s="70"/>
      <c r="AB2" s="70"/>
      <c r="AC2" s="70"/>
      <c r="AD2" s="70"/>
    </row>
    <row r="3" spans="1:30" ht="17.25" x14ac:dyDescent="0.25">
      <c r="A3" s="81"/>
      <c r="B3" s="74"/>
      <c r="C3" s="74"/>
      <c r="D3" s="74"/>
      <c r="E3" s="74"/>
      <c r="F3" s="74"/>
      <c r="G3" s="74"/>
      <c r="H3" s="73"/>
      <c r="I3" s="73"/>
      <c r="J3" s="83" t="s">
        <v>5</v>
      </c>
      <c r="K3" s="83"/>
      <c r="L3" s="83"/>
      <c r="M3" s="83"/>
      <c r="N3" s="31" t="s">
        <v>42</v>
      </c>
      <c r="O3" s="27"/>
      <c r="P3" s="76" t="s">
        <v>6</v>
      </c>
      <c r="Q3" s="82"/>
      <c r="R3" s="82"/>
      <c r="S3" s="82"/>
      <c r="T3" s="79"/>
      <c r="V3" s="76" t="s">
        <v>7</v>
      </c>
      <c r="W3" s="76"/>
      <c r="X3" s="76"/>
      <c r="Y3" s="76"/>
      <c r="Z3" s="76"/>
      <c r="AA3" s="76" t="s">
        <v>8</v>
      </c>
      <c r="AB3" s="76"/>
      <c r="AC3" s="76"/>
      <c r="AD3" s="76"/>
    </row>
    <row r="4" spans="1:30" ht="17.25" x14ac:dyDescent="0.25">
      <c r="B4" s="7" t="s">
        <v>10</v>
      </c>
      <c r="C4" s="27" t="s">
        <v>64</v>
      </c>
      <c r="D4" s="7" t="s">
        <v>11</v>
      </c>
      <c r="E4" s="7" t="s">
        <v>12</v>
      </c>
      <c r="F4" s="7" t="s">
        <v>13</v>
      </c>
      <c r="G4" s="27" t="s">
        <v>65</v>
      </c>
      <c r="H4" s="7" t="s">
        <v>17</v>
      </c>
      <c r="I4" s="7" t="s">
        <v>9</v>
      </c>
      <c r="J4" s="7" t="s">
        <v>14</v>
      </c>
      <c r="K4" s="7" t="s">
        <v>15</v>
      </c>
      <c r="L4" s="7" t="s">
        <v>50</v>
      </c>
      <c r="M4" s="7" t="s">
        <v>9</v>
      </c>
      <c r="N4" s="7" t="s">
        <v>43</v>
      </c>
      <c r="O4" s="7" t="s">
        <v>44</v>
      </c>
      <c r="P4" s="7" t="s">
        <v>14</v>
      </c>
      <c r="Q4" s="7" t="s">
        <v>15</v>
      </c>
      <c r="R4" s="7" t="s">
        <v>50</v>
      </c>
      <c r="S4" s="7" t="s">
        <v>9</v>
      </c>
      <c r="V4" s="7" t="s">
        <v>10</v>
      </c>
      <c r="W4" s="7" t="s">
        <v>11</v>
      </c>
      <c r="X4" s="7" t="s">
        <v>12</v>
      </c>
      <c r="Y4" s="7" t="s">
        <v>13</v>
      </c>
      <c r="Z4" s="7" t="s">
        <v>17</v>
      </c>
      <c r="AA4" s="7" t="s">
        <v>45</v>
      </c>
      <c r="AB4" s="7" t="s">
        <v>46</v>
      </c>
      <c r="AC4" s="7" t="s">
        <v>50</v>
      </c>
      <c r="AD4" s="7" t="s">
        <v>47</v>
      </c>
    </row>
    <row r="5" spans="1:30" x14ac:dyDescent="0.25">
      <c r="A5" s="6" t="s">
        <v>18</v>
      </c>
      <c r="B5" s="30">
        <v>3368811.9999999925</v>
      </c>
      <c r="C5" s="29">
        <v>23</v>
      </c>
      <c r="D5" s="30">
        <v>91968.000000000073</v>
      </c>
      <c r="E5" s="30">
        <v>3180.0000000000005</v>
      </c>
      <c r="F5" s="30">
        <v>6335</v>
      </c>
      <c r="G5" s="30">
        <v>1238</v>
      </c>
      <c r="H5" s="30">
        <v>3364507.000000013</v>
      </c>
      <c r="I5" s="1">
        <f t="shared" ref="I5:I25" si="0">SUM(B5:H5)</f>
        <v>6836063.0000000056</v>
      </c>
      <c r="J5" s="1">
        <v>403002</v>
      </c>
      <c r="K5" s="1">
        <v>1188322</v>
      </c>
      <c r="L5" s="1"/>
      <c r="M5" s="1">
        <f>J5+K5</f>
        <v>1591324</v>
      </c>
      <c r="N5" s="2">
        <v>85.53</v>
      </c>
      <c r="O5" s="3">
        <f t="shared" ref="O5:O26" si="1">(POWER(N5,2.80327)*0.001989)*0.0022</f>
        <v>1.141056667538155</v>
      </c>
      <c r="P5" s="1">
        <f t="shared" ref="P5:P17" si="2">+J5*O5</f>
        <v>459848.11913121154</v>
      </c>
      <c r="Q5" s="1">
        <f t="shared" ref="Q5:Q17" si="3">+K5*O5</f>
        <v>1355942.7412822754</v>
      </c>
      <c r="R5" s="1"/>
      <c r="S5" s="1">
        <f>M5*O5</f>
        <v>1815790.8604134871</v>
      </c>
      <c r="T5" s="1">
        <f>S5+I5</f>
        <v>8651853.8604134917</v>
      </c>
      <c r="U5" s="1"/>
      <c r="V5" s="4"/>
      <c r="W5" s="1"/>
      <c r="X5" s="1"/>
      <c r="Y5" s="1"/>
      <c r="Z5" s="1"/>
      <c r="AA5" s="5">
        <f t="shared" ref="AA5:AA17" si="4">+P5/T5</f>
        <v>5.3150241156435157E-2</v>
      </c>
      <c r="AB5" s="5">
        <f t="shared" ref="AB5:AB17" si="5">+Q5/T5</f>
        <v>0.15672279758288379</v>
      </c>
      <c r="AC5" s="5"/>
      <c r="AD5" s="5">
        <f t="shared" ref="AD5:AD17" si="6">SUM(AA5:AC5)</f>
        <v>0.20987303873931895</v>
      </c>
    </row>
    <row r="6" spans="1:30" x14ac:dyDescent="0.25">
      <c r="A6" s="6" t="s">
        <v>19</v>
      </c>
      <c r="B6" s="30">
        <v>3931080.0000000102</v>
      </c>
      <c r="C6" s="29">
        <v>911.00000000000023</v>
      </c>
      <c r="D6" s="30">
        <v>147879.00000000017</v>
      </c>
      <c r="E6" s="30">
        <v>1905</v>
      </c>
      <c r="F6" s="30">
        <v>6215.9999999999991</v>
      </c>
      <c r="G6" s="30">
        <v>4389.0000000000009</v>
      </c>
      <c r="H6" s="30">
        <v>1276719.0000000019</v>
      </c>
      <c r="I6" s="1">
        <f t="shared" si="0"/>
        <v>5369099.0000000121</v>
      </c>
      <c r="J6" s="1">
        <v>483822</v>
      </c>
      <c r="K6" s="1">
        <v>719487</v>
      </c>
      <c r="L6" s="1"/>
      <c r="M6" s="1">
        <f>J6+K6</f>
        <v>1203309</v>
      </c>
      <c r="N6" s="2">
        <v>85.07</v>
      </c>
      <c r="O6" s="3">
        <f t="shared" si="1"/>
        <v>1.1239366799035913</v>
      </c>
      <c r="P6" s="1">
        <f t="shared" si="2"/>
        <v>543785.29234431533</v>
      </c>
      <c r="Q6" s="1">
        <f t="shared" si="3"/>
        <v>808657.83001379517</v>
      </c>
      <c r="R6" s="1"/>
      <c r="S6" s="1">
        <f>M6*O6</f>
        <v>1352443.1223581105</v>
      </c>
      <c r="T6" s="1">
        <f t="shared" ref="T6:T17" si="7">S6+I6</f>
        <v>6721542.1223581228</v>
      </c>
      <c r="U6" s="1"/>
      <c r="V6" s="4"/>
      <c r="W6" s="1"/>
      <c r="X6" s="1"/>
      <c r="Y6" s="1"/>
      <c r="Z6" s="1"/>
      <c r="AA6" s="5">
        <f t="shared" si="4"/>
        <v>8.090186484668474E-2</v>
      </c>
      <c r="AB6" s="5">
        <f t="shared" si="5"/>
        <v>0.12030837794260422</v>
      </c>
      <c r="AC6" s="5"/>
      <c r="AD6" s="5">
        <f t="shared" si="6"/>
        <v>0.20121024278928895</v>
      </c>
    </row>
    <row r="7" spans="1:30" x14ac:dyDescent="0.25">
      <c r="A7" s="6" t="s">
        <v>20</v>
      </c>
      <c r="B7" s="30">
        <v>4977920.0000000205</v>
      </c>
      <c r="C7" s="29">
        <v>754</v>
      </c>
      <c r="D7" s="30">
        <v>168025.00000000003</v>
      </c>
      <c r="E7" s="30">
        <v>6133.9999999999973</v>
      </c>
      <c r="F7" s="30">
        <v>9583</v>
      </c>
      <c r="G7" s="30">
        <v>4898</v>
      </c>
      <c r="H7" s="30">
        <v>143229.99999999991</v>
      </c>
      <c r="I7" s="1">
        <f t="shared" si="0"/>
        <v>5310544.0000000205</v>
      </c>
      <c r="J7" s="1">
        <v>331079</v>
      </c>
      <c r="K7" s="1">
        <v>1415372</v>
      </c>
      <c r="L7" s="1"/>
      <c r="M7" s="1">
        <f>J7+K7</f>
        <v>1746451</v>
      </c>
      <c r="N7" s="2">
        <v>83.82</v>
      </c>
      <c r="O7" s="3">
        <f t="shared" si="1"/>
        <v>1.0782519419174605</v>
      </c>
      <c r="P7" s="1">
        <f t="shared" si="2"/>
        <v>356986.57467809092</v>
      </c>
      <c r="Q7" s="1">
        <f t="shared" si="3"/>
        <v>1526127.6075356</v>
      </c>
      <c r="R7" s="1"/>
      <c r="S7" s="1">
        <f>P7+Q7</f>
        <v>1883114.1822136908</v>
      </c>
      <c r="T7" s="1">
        <f t="shared" si="7"/>
        <v>7193658.1822137116</v>
      </c>
      <c r="U7" s="1"/>
      <c r="V7" s="4">
        <f t="shared" ref="V7:V17" si="8">+B7/T7</f>
        <v>0.69198728573285651</v>
      </c>
      <c r="W7" s="4">
        <f t="shared" ref="W7:W17" si="9">+D7/T7</f>
        <v>2.3357378922373752E-2</v>
      </c>
      <c r="X7" s="4">
        <f t="shared" ref="X7:X17" si="10">+E7/T7</f>
        <v>8.5269550548930525E-4</v>
      </c>
      <c r="Y7" s="4">
        <f t="shared" ref="Y7:Y17" si="11">+F7/T7</f>
        <v>1.3321455867466604E-3</v>
      </c>
      <c r="Z7" s="4">
        <f t="shared" ref="Z7:Z17" si="12">+H7/T7</f>
        <v>1.9910592965639577E-2</v>
      </c>
      <c r="AA7" s="5">
        <f t="shared" si="4"/>
        <v>4.9625178961204837E-2</v>
      </c>
      <c r="AB7" s="5">
        <f t="shared" si="5"/>
        <v>0.21214903028183127</v>
      </c>
      <c r="AC7" s="5"/>
      <c r="AD7" s="5">
        <f t="shared" si="6"/>
        <v>0.26177420924303613</v>
      </c>
    </row>
    <row r="8" spans="1:30" x14ac:dyDescent="0.25">
      <c r="A8" s="6" t="s">
        <v>21</v>
      </c>
      <c r="B8" s="30">
        <v>6807781.999999987</v>
      </c>
      <c r="C8" s="29">
        <v>35935.999999999978</v>
      </c>
      <c r="D8" s="30">
        <v>252027.99999999951</v>
      </c>
      <c r="E8" s="30">
        <v>20305.000000000018</v>
      </c>
      <c r="F8" s="30">
        <v>4673.9999999999991</v>
      </c>
      <c r="G8" s="30">
        <v>1237.9999999999998</v>
      </c>
      <c r="H8" s="30">
        <v>95614.000000000073</v>
      </c>
      <c r="I8" s="1">
        <f t="shared" si="0"/>
        <v>7217576.999999986</v>
      </c>
      <c r="J8" s="1">
        <v>362369</v>
      </c>
      <c r="K8" s="1">
        <v>1320045</v>
      </c>
      <c r="L8" s="1">
        <v>68809</v>
      </c>
      <c r="M8" s="1">
        <f t="shared" ref="M8:M17" si="13">J8+K8+L8</f>
        <v>1751223</v>
      </c>
      <c r="N8" s="2">
        <v>84.1</v>
      </c>
      <c r="O8" s="3">
        <f t="shared" si="1"/>
        <v>1.0883794548587442</v>
      </c>
      <c r="P8" s="1">
        <f t="shared" si="2"/>
        <v>394394.97467770829</v>
      </c>
      <c r="Q8" s="1">
        <f t="shared" si="3"/>
        <v>1436709.857489011</v>
      </c>
      <c r="R8" s="1">
        <f t="shared" ref="R8:R25" si="14">+L8*O8</f>
        <v>74890.301909375325</v>
      </c>
      <c r="S8" s="1">
        <f t="shared" ref="S8:S17" si="15">P8+Q8+R8</f>
        <v>1905995.1340760945</v>
      </c>
      <c r="T8" s="1">
        <f t="shared" si="7"/>
        <v>9123572.1340760812</v>
      </c>
      <c r="U8" s="1"/>
      <c r="V8" s="4">
        <f t="shared" si="8"/>
        <v>0.74617506169247738</v>
      </c>
      <c r="W8" s="4">
        <f t="shared" si="9"/>
        <v>2.7623829383524864E-2</v>
      </c>
      <c r="X8" s="4">
        <f t="shared" si="10"/>
        <v>2.2255537306667275E-3</v>
      </c>
      <c r="Y8" s="4">
        <f t="shared" si="11"/>
        <v>5.1229934189294616E-4</v>
      </c>
      <c r="Z8" s="4">
        <f t="shared" si="12"/>
        <v>1.0479886451808345E-2</v>
      </c>
      <c r="AA8" s="5">
        <f t="shared" si="4"/>
        <v>4.3228131359280095E-2</v>
      </c>
      <c r="AB8" s="5">
        <f t="shared" si="5"/>
        <v>0.15747229663729762</v>
      </c>
      <c r="AC8" s="5">
        <f t="shared" ref="AC8:AC17" si="16">+R8/T8</f>
        <v>8.2084408177871288E-3</v>
      </c>
      <c r="AD8" s="5">
        <f t="shared" si="6"/>
        <v>0.20890886881436485</v>
      </c>
    </row>
    <row r="9" spans="1:30" x14ac:dyDescent="0.25">
      <c r="A9" s="6" t="s">
        <v>22</v>
      </c>
      <c r="B9" s="30">
        <v>6635837.0000000345</v>
      </c>
      <c r="C9" s="29">
        <v>3913.0000000000009</v>
      </c>
      <c r="D9" s="30">
        <v>307251.00000000017</v>
      </c>
      <c r="E9" s="30">
        <v>19463.999999999993</v>
      </c>
      <c r="F9" s="30">
        <v>3581</v>
      </c>
      <c r="G9" s="30">
        <v>422</v>
      </c>
      <c r="H9" s="30">
        <v>50579.000000000051</v>
      </c>
      <c r="I9" s="1">
        <f t="shared" si="0"/>
        <v>7021047.0000000345</v>
      </c>
      <c r="J9" s="1">
        <v>216147</v>
      </c>
      <c r="K9" s="1">
        <v>1398989</v>
      </c>
      <c r="L9" s="1">
        <v>58194</v>
      </c>
      <c r="M9" s="1">
        <f t="shared" si="13"/>
        <v>1673330</v>
      </c>
      <c r="N9" s="2">
        <v>85.87</v>
      </c>
      <c r="O9" s="3">
        <f t="shared" si="1"/>
        <v>1.1538177657067339</v>
      </c>
      <c r="P9" s="1">
        <f t="shared" si="2"/>
        <v>249394.24860421341</v>
      </c>
      <c r="Q9" s="1">
        <f t="shared" si="3"/>
        <v>1614178.3622282979</v>
      </c>
      <c r="R9" s="1">
        <f t="shared" si="14"/>
        <v>67145.27105753767</v>
      </c>
      <c r="S9" s="1">
        <f t="shared" si="15"/>
        <v>1930717.881890049</v>
      </c>
      <c r="T9" s="1">
        <f t="shared" si="7"/>
        <v>8951764.8818900827</v>
      </c>
      <c r="U9" s="1"/>
      <c r="V9" s="4">
        <f t="shared" si="8"/>
        <v>0.74128812447081815</v>
      </c>
      <c r="W9" s="4">
        <f t="shared" si="9"/>
        <v>3.4322952407026014E-2</v>
      </c>
      <c r="X9" s="4">
        <f t="shared" si="10"/>
        <v>2.1743198415964593E-3</v>
      </c>
      <c r="Y9" s="4">
        <f t="shared" si="11"/>
        <v>4.000328479632616E-4</v>
      </c>
      <c r="Z9" s="4">
        <f t="shared" si="12"/>
        <v>5.6501707392163725E-3</v>
      </c>
      <c r="AA9" s="5">
        <f t="shared" si="4"/>
        <v>2.7859785404859304E-2</v>
      </c>
      <c r="AB9" s="5">
        <f t="shared" si="5"/>
        <v>0.1803195664235854</v>
      </c>
      <c r="AC9" s="5">
        <f t="shared" si="16"/>
        <v>7.5007858163674834E-3</v>
      </c>
      <c r="AD9" s="5">
        <f t="shared" si="6"/>
        <v>0.2156801376448122</v>
      </c>
    </row>
    <row r="10" spans="1:30" x14ac:dyDescent="0.25">
      <c r="A10" s="6" t="s">
        <v>23</v>
      </c>
      <c r="B10" s="30">
        <v>7318119.9999999059</v>
      </c>
      <c r="C10" s="29">
        <v>1836</v>
      </c>
      <c r="D10" s="30">
        <v>337388.00000000035</v>
      </c>
      <c r="E10" s="30">
        <v>29814.999999999996</v>
      </c>
      <c r="F10" s="30">
        <v>2620.0000000000005</v>
      </c>
      <c r="G10" s="30">
        <v>160</v>
      </c>
      <c r="H10" s="30">
        <v>56017.000000000022</v>
      </c>
      <c r="I10" s="1">
        <f t="shared" si="0"/>
        <v>7745955.9999999059</v>
      </c>
      <c r="J10" s="1">
        <v>353944</v>
      </c>
      <c r="K10" s="1">
        <v>1374426</v>
      </c>
      <c r="L10" s="1">
        <v>50530</v>
      </c>
      <c r="M10" s="1">
        <f t="shared" si="13"/>
        <v>1778900</v>
      </c>
      <c r="N10" s="2">
        <v>83.89</v>
      </c>
      <c r="O10" s="3">
        <f t="shared" si="1"/>
        <v>1.0807781116374797</v>
      </c>
      <c r="P10" s="1">
        <f t="shared" si="2"/>
        <v>382534.92794541613</v>
      </c>
      <c r="Q10" s="1">
        <f t="shared" si="3"/>
        <v>1485449.5368654546</v>
      </c>
      <c r="R10" s="1">
        <f t="shared" si="14"/>
        <v>54611.717981041853</v>
      </c>
      <c r="S10" s="1">
        <f t="shared" si="15"/>
        <v>1922596.1827919127</v>
      </c>
      <c r="T10" s="1">
        <f t="shared" si="7"/>
        <v>9668552.1827918179</v>
      </c>
      <c r="U10" s="1"/>
      <c r="V10" s="4">
        <f t="shared" si="8"/>
        <v>0.75689926078330183</v>
      </c>
      <c r="W10" s="4">
        <f t="shared" si="9"/>
        <v>3.4895400430323659E-2</v>
      </c>
      <c r="X10" s="4">
        <f t="shared" si="10"/>
        <v>3.0837088569543041E-3</v>
      </c>
      <c r="Y10" s="4">
        <f t="shared" si="11"/>
        <v>2.7098162687305981E-4</v>
      </c>
      <c r="Z10" s="4">
        <f t="shared" si="12"/>
        <v>5.7937319818886241E-3</v>
      </c>
      <c r="AA10" s="5">
        <f t="shared" si="4"/>
        <v>3.9564861492525784E-2</v>
      </c>
      <c r="AB10" s="5">
        <f t="shared" si="5"/>
        <v>0.15363722600673055</v>
      </c>
      <c r="AC10" s="5">
        <f t="shared" si="16"/>
        <v>5.6483863300898669E-3</v>
      </c>
      <c r="AD10" s="5">
        <f t="shared" si="6"/>
        <v>0.1988504738293462</v>
      </c>
    </row>
    <row r="11" spans="1:30" x14ac:dyDescent="0.25">
      <c r="A11" s="6" t="s">
        <v>24</v>
      </c>
      <c r="B11" s="30">
        <v>7143468.9999999376</v>
      </c>
      <c r="C11" s="29">
        <v>114</v>
      </c>
      <c r="D11" s="30">
        <v>395121.99999999983</v>
      </c>
      <c r="E11" s="30">
        <v>28129.000000000022</v>
      </c>
      <c r="F11" s="30">
        <v>12142.999999999998</v>
      </c>
      <c r="G11" s="30">
        <v>4733</v>
      </c>
      <c r="H11" s="30">
        <v>56581</v>
      </c>
      <c r="I11" s="1">
        <f t="shared" si="0"/>
        <v>7640290.9999999376</v>
      </c>
      <c r="J11" s="1">
        <v>471700</v>
      </c>
      <c r="K11" s="1">
        <v>1666369</v>
      </c>
      <c r="L11" s="1">
        <v>47517</v>
      </c>
      <c r="M11" s="1">
        <f t="shared" si="13"/>
        <v>2185586</v>
      </c>
      <c r="N11" s="2">
        <v>83.15</v>
      </c>
      <c r="O11" s="3">
        <f t="shared" si="1"/>
        <v>1.0542648413180753</v>
      </c>
      <c r="P11" s="1">
        <f t="shared" si="2"/>
        <v>497296.72564973612</v>
      </c>
      <c r="Q11" s="1">
        <f t="shared" si="3"/>
        <v>1756794.2493623598</v>
      </c>
      <c r="R11" s="1">
        <f t="shared" si="14"/>
        <v>50095.502464910984</v>
      </c>
      <c r="S11" s="1">
        <f t="shared" si="15"/>
        <v>2304186.4774770066</v>
      </c>
      <c r="T11" s="1">
        <f t="shared" si="7"/>
        <v>9944477.4774769433</v>
      </c>
      <c r="U11" s="1"/>
      <c r="V11" s="4">
        <f t="shared" si="8"/>
        <v>0.7183352786688938</v>
      </c>
      <c r="W11" s="4">
        <f t="shared" si="9"/>
        <v>3.973280656473948E-2</v>
      </c>
      <c r="X11" s="4">
        <f t="shared" si="10"/>
        <v>2.8286051291994832E-3</v>
      </c>
      <c r="Y11" s="4">
        <f t="shared" si="11"/>
        <v>1.2210797427519391E-3</v>
      </c>
      <c r="Z11" s="4">
        <f t="shared" si="12"/>
        <v>5.6896905974345279E-3</v>
      </c>
      <c r="AA11" s="5">
        <f t="shared" si="4"/>
        <v>5.0007325852570332E-2</v>
      </c>
      <c r="AB11" s="5">
        <f t="shared" si="5"/>
        <v>0.17666028741492848</v>
      </c>
      <c r="AC11" s="5">
        <f t="shared" si="16"/>
        <v>5.0375198272982497E-3</v>
      </c>
      <c r="AD11" s="5">
        <f t="shared" si="6"/>
        <v>0.23170513309479707</v>
      </c>
    </row>
    <row r="12" spans="1:30" x14ac:dyDescent="0.25">
      <c r="A12" s="6" t="s">
        <v>25</v>
      </c>
      <c r="B12" s="30">
        <v>5036128.9999999935</v>
      </c>
      <c r="C12" s="29">
        <v>212</v>
      </c>
      <c r="D12" s="30">
        <v>351145.00000000052</v>
      </c>
      <c r="E12" s="30">
        <v>12146.999999999995</v>
      </c>
      <c r="F12" s="30">
        <v>3368.9999999999995</v>
      </c>
      <c r="G12" s="30">
        <v>2025.9999999999998</v>
      </c>
      <c r="H12" s="30">
        <v>42718.000000000029</v>
      </c>
      <c r="I12" s="1">
        <f t="shared" si="0"/>
        <v>5447745.9999999944</v>
      </c>
      <c r="J12" s="1">
        <v>263167</v>
      </c>
      <c r="K12" s="1">
        <v>876819</v>
      </c>
      <c r="L12" s="1">
        <v>45022</v>
      </c>
      <c r="M12" s="1">
        <f t="shared" si="13"/>
        <v>1185008</v>
      </c>
      <c r="N12" s="2">
        <v>84.4</v>
      </c>
      <c r="O12" s="3">
        <f t="shared" si="1"/>
        <v>1.0992980416622684</v>
      </c>
      <c r="P12" s="1">
        <f t="shared" si="2"/>
        <v>289298.9677301342</v>
      </c>
      <c r="Q12" s="1">
        <f t="shared" si="3"/>
        <v>963885.40959226852</v>
      </c>
      <c r="R12" s="1">
        <f t="shared" si="14"/>
        <v>49492.596431718652</v>
      </c>
      <c r="S12" s="1">
        <f t="shared" si="15"/>
        <v>1302676.9737541215</v>
      </c>
      <c r="T12" s="1">
        <f t="shared" si="7"/>
        <v>6750422.9737541154</v>
      </c>
      <c r="U12" s="1"/>
      <c r="V12" s="4">
        <f t="shared" si="8"/>
        <v>0.74604643584270824</v>
      </c>
      <c r="W12" s="4">
        <f t="shared" si="9"/>
        <v>5.2018221875172084E-2</v>
      </c>
      <c r="X12" s="4">
        <f t="shared" si="10"/>
        <v>1.799442797470316E-3</v>
      </c>
      <c r="Y12" s="4">
        <f t="shared" si="11"/>
        <v>4.9907983738186354E-4</v>
      </c>
      <c r="Z12" s="4">
        <f t="shared" si="12"/>
        <v>6.3281960502459076E-3</v>
      </c>
      <c r="AA12" s="5">
        <f t="shared" si="4"/>
        <v>4.2856420827989426E-2</v>
      </c>
      <c r="AB12" s="5">
        <f t="shared" si="5"/>
        <v>0.1427888909094866</v>
      </c>
      <c r="AC12" s="5">
        <f t="shared" si="16"/>
        <v>7.3317770788804831E-3</v>
      </c>
      <c r="AD12" s="5">
        <f t="shared" si="6"/>
        <v>0.1929770888163565</v>
      </c>
    </row>
    <row r="13" spans="1:30" x14ac:dyDescent="0.25">
      <c r="A13" s="6" t="s">
        <v>26</v>
      </c>
      <c r="B13" s="30">
        <v>6993790.8899999401</v>
      </c>
      <c r="C13" s="29">
        <v>333.5</v>
      </c>
      <c r="D13" s="30">
        <v>588104.5600000025</v>
      </c>
      <c r="E13" s="30">
        <v>17458.799999999985</v>
      </c>
      <c r="F13" s="30">
        <v>7498.4999999999982</v>
      </c>
      <c r="G13" s="30">
        <v>1766</v>
      </c>
      <c r="H13" s="30">
        <v>59312.500000000029</v>
      </c>
      <c r="I13" s="1">
        <f t="shared" si="0"/>
        <v>7668264.7499999423</v>
      </c>
      <c r="J13" s="1">
        <v>528566</v>
      </c>
      <c r="K13" s="1">
        <v>1706711</v>
      </c>
      <c r="L13" s="1">
        <v>57219</v>
      </c>
      <c r="M13" s="1">
        <f t="shared" si="13"/>
        <v>2292496</v>
      </c>
      <c r="N13" s="2">
        <v>83.7</v>
      </c>
      <c r="O13" s="3">
        <f t="shared" si="1"/>
        <v>1.0739302079790543</v>
      </c>
      <c r="P13" s="1">
        <f t="shared" si="2"/>
        <v>567642.9943106568</v>
      </c>
      <c r="Q13" s="1">
        <f t="shared" si="3"/>
        <v>1832888.4991901396</v>
      </c>
      <c r="R13" s="1">
        <f t="shared" si="14"/>
        <v>61449.212570353506</v>
      </c>
      <c r="S13" s="1">
        <f t="shared" si="15"/>
        <v>2461980.7060711496</v>
      </c>
      <c r="T13" s="1">
        <f t="shared" si="7"/>
        <v>10130245.456071092</v>
      </c>
      <c r="U13" s="1"/>
      <c r="V13" s="4">
        <f t="shared" si="8"/>
        <v>0.69038711059153424</v>
      </c>
      <c r="W13" s="4">
        <f t="shared" si="9"/>
        <v>5.8054324798966182E-2</v>
      </c>
      <c r="X13" s="4">
        <f t="shared" si="10"/>
        <v>1.7234330674126819E-3</v>
      </c>
      <c r="Y13" s="4">
        <f t="shared" si="11"/>
        <v>7.4020911265344715E-4</v>
      </c>
      <c r="Z13" s="4">
        <f t="shared" si="12"/>
        <v>5.8549913975138521E-3</v>
      </c>
      <c r="AA13" s="5">
        <f t="shared" si="4"/>
        <v>5.6034475844853923E-2</v>
      </c>
      <c r="AB13" s="5">
        <f t="shared" si="5"/>
        <v>0.18093228906824593</v>
      </c>
      <c r="AC13" s="5">
        <f t="shared" si="16"/>
        <v>6.0659154644201419E-3</v>
      </c>
      <c r="AD13" s="5">
        <f t="shared" si="6"/>
        <v>0.24303268037752002</v>
      </c>
    </row>
    <row r="14" spans="1:30" x14ac:dyDescent="0.25">
      <c r="A14" s="6" t="s">
        <v>27</v>
      </c>
      <c r="B14" s="30">
        <v>4862246.5200000051</v>
      </c>
      <c r="C14" s="29">
        <v>377.25</v>
      </c>
      <c r="D14" s="30">
        <v>634573.51000000071</v>
      </c>
      <c r="E14" s="30">
        <v>12193.129999999986</v>
      </c>
      <c r="F14" s="30">
        <v>3755.8500000000004</v>
      </c>
      <c r="G14" s="30">
        <v>317.58000000000004</v>
      </c>
      <c r="H14" s="30">
        <v>55842.55</v>
      </c>
      <c r="I14" s="1">
        <f t="shared" si="0"/>
        <v>5569306.3900000053</v>
      </c>
      <c r="J14" s="1">
        <v>376195.36491732998</v>
      </c>
      <c r="K14" s="1">
        <v>1427275</v>
      </c>
      <c r="L14" s="1">
        <v>35953</v>
      </c>
      <c r="M14" s="1">
        <f t="shared" si="13"/>
        <v>1839423.36491733</v>
      </c>
      <c r="N14" s="2">
        <v>83.3</v>
      </c>
      <c r="O14" s="3">
        <f t="shared" si="1"/>
        <v>1.0596049465376483</v>
      </c>
      <c r="P14" s="1">
        <f t="shared" si="2"/>
        <v>398618.46953093848</v>
      </c>
      <c r="Q14" s="1">
        <f t="shared" si="3"/>
        <v>1512347.650069522</v>
      </c>
      <c r="R14" s="1">
        <f t="shared" si="14"/>
        <v>38095.976642868067</v>
      </c>
      <c r="S14" s="1">
        <f t="shared" si="15"/>
        <v>1949062.0962433284</v>
      </c>
      <c r="T14" s="1">
        <f t="shared" si="7"/>
        <v>7518368.4862433337</v>
      </c>
      <c r="U14" s="1"/>
      <c r="V14" s="4">
        <f t="shared" si="8"/>
        <v>0.64671564434446871</v>
      </c>
      <c r="W14" s="4">
        <f t="shared" si="9"/>
        <v>8.440308707415789E-2</v>
      </c>
      <c r="X14" s="4">
        <f t="shared" si="10"/>
        <v>1.621778717325475E-3</v>
      </c>
      <c r="Y14" s="4">
        <f t="shared" si="11"/>
        <v>4.9955652039032573E-4</v>
      </c>
      <c r="Z14" s="4">
        <f t="shared" si="12"/>
        <v>7.4274824521007986E-3</v>
      </c>
      <c r="AA14" s="5">
        <f t="shared" si="4"/>
        <v>5.3019278086769359E-2</v>
      </c>
      <c r="AB14" s="5">
        <f t="shared" si="5"/>
        <v>0.20115370147615488</v>
      </c>
      <c r="AC14" s="5">
        <f t="shared" si="16"/>
        <v>5.0670536716275394E-3</v>
      </c>
      <c r="AD14" s="5">
        <f t="shared" si="6"/>
        <v>0.25924003323455175</v>
      </c>
    </row>
    <row r="15" spans="1:30" x14ac:dyDescent="0.25">
      <c r="A15" s="6" t="s">
        <v>28</v>
      </c>
      <c r="B15" s="30">
        <v>2621451.970000016</v>
      </c>
      <c r="C15" s="29">
        <v>296.5</v>
      </c>
      <c r="D15" s="30">
        <v>446691.3200000003</v>
      </c>
      <c r="E15" s="30">
        <v>8561.4400000000132</v>
      </c>
      <c r="F15" s="30">
        <v>796.99999999999989</v>
      </c>
      <c r="G15" s="30">
        <v>1322.5</v>
      </c>
      <c r="H15" s="30"/>
      <c r="I15" s="1">
        <f t="shared" si="0"/>
        <v>3079120.7300000163</v>
      </c>
      <c r="J15" s="1">
        <v>251421</v>
      </c>
      <c r="K15" s="1">
        <v>831901</v>
      </c>
      <c r="L15" s="1">
        <v>28702</v>
      </c>
      <c r="M15" s="1">
        <f t="shared" si="13"/>
        <v>1112024</v>
      </c>
      <c r="N15" s="2">
        <v>85.1</v>
      </c>
      <c r="O15" s="3">
        <f t="shared" si="1"/>
        <v>1.1250481292538941</v>
      </c>
      <c r="P15" s="1">
        <f t="shared" si="2"/>
        <v>282860.7257051433</v>
      </c>
      <c r="Q15" s="1">
        <f t="shared" si="3"/>
        <v>935928.66377444379</v>
      </c>
      <c r="R15" s="1">
        <f t="shared" si="14"/>
        <v>32291.131405845266</v>
      </c>
      <c r="S15" s="1">
        <f t="shared" si="15"/>
        <v>1251080.5208854324</v>
      </c>
      <c r="T15" s="1">
        <f t="shared" si="7"/>
        <v>4330201.2508854484</v>
      </c>
      <c r="U15" s="1"/>
      <c r="V15" s="4">
        <f t="shared" si="8"/>
        <v>0.60538802196871944</v>
      </c>
      <c r="W15" s="4">
        <f t="shared" si="9"/>
        <v>0.1031571731010562</v>
      </c>
      <c r="X15" s="4">
        <f t="shared" si="10"/>
        <v>1.9771459809747533E-3</v>
      </c>
      <c r="Y15" s="4">
        <f t="shared" si="11"/>
        <v>1.8405611051842629E-4</v>
      </c>
      <c r="Z15" s="4">
        <f t="shared" si="12"/>
        <v>0</v>
      </c>
      <c r="AA15" s="5">
        <f t="shared" si="4"/>
        <v>6.5322766614439309E-2</v>
      </c>
      <c r="AB15" s="5">
        <f t="shared" si="5"/>
        <v>0.21613976107532257</v>
      </c>
      <c r="AC15" s="5">
        <f t="shared" si="16"/>
        <v>7.4571895242149105E-3</v>
      </c>
      <c r="AD15" s="5">
        <f t="shared" si="6"/>
        <v>0.2889197172139768</v>
      </c>
    </row>
    <row r="16" spans="1:30" x14ac:dyDescent="0.25">
      <c r="A16" s="6" t="s">
        <v>29</v>
      </c>
      <c r="B16" s="30">
        <v>3988333.8600000115</v>
      </c>
      <c r="C16" s="29">
        <v>1487.6999999999998</v>
      </c>
      <c r="D16" s="30">
        <v>560739.09999999905</v>
      </c>
      <c r="E16" s="30">
        <v>19854.3</v>
      </c>
      <c r="F16" s="30">
        <v>1297.9500000000003</v>
      </c>
      <c r="G16" s="30">
        <v>602</v>
      </c>
      <c r="H16" s="30">
        <v>333</v>
      </c>
      <c r="I16" s="1">
        <f t="shared" si="0"/>
        <v>4572647.9100000104</v>
      </c>
      <c r="J16" s="1">
        <v>317795.08598744438</v>
      </c>
      <c r="K16" s="1">
        <v>944523</v>
      </c>
      <c r="L16" s="1">
        <v>39785</v>
      </c>
      <c r="M16" s="1">
        <f t="shared" si="13"/>
        <v>1302103.0859874445</v>
      </c>
      <c r="N16" s="2">
        <v>84.9</v>
      </c>
      <c r="O16" s="3">
        <f t="shared" si="1"/>
        <v>1.1176518074200168</v>
      </c>
      <c r="P16" s="1">
        <f t="shared" si="2"/>
        <v>355184.25224306685</v>
      </c>
      <c r="Q16" s="1">
        <f t="shared" si="3"/>
        <v>1055647.8380997765</v>
      </c>
      <c r="R16" s="1">
        <f t="shared" si="14"/>
        <v>44465.777158205368</v>
      </c>
      <c r="S16" s="1">
        <f t="shared" si="15"/>
        <v>1455297.8675010488</v>
      </c>
      <c r="T16" s="1">
        <f t="shared" si="7"/>
        <v>6027945.7775010597</v>
      </c>
      <c r="U16" s="1"/>
      <c r="V16" s="4">
        <f t="shared" si="8"/>
        <v>0.66164063301402354</v>
      </c>
      <c r="W16" s="4">
        <f t="shared" si="9"/>
        <v>9.3023248830957236E-2</v>
      </c>
      <c r="X16" s="4">
        <f t="shared" si="10"/>
        <v>3.2937091229494737E-3</v>
      </c>
      <c r="Y16" s="4">
        <f t="shared" si="11"/>
        <v>2.1532210937339873E-4</v>
      </c>
      <c r="Z16" s="4">
        <f t="shared" si="12"/>
        <v>5.5242699966363697E-5</v>
      </c>
      <c r="AA16" s="5">
        <f t="shared" si="4"/>
        <v>5.8922934172495452E-2</v>
      </c>
      <c r="AB16" s="5">
        <f t="shared" si="5"/>
        <v>0.17512563600686618</v>
      </c>
      <c r="AC16" s="5">
        <f t="shared" si="16"/>
        <v>7.3766053643301126E-3</v>
      </c>
      <c r="AD16" s="5">
        <f t="shared" si="6"/>
        <v>0.24142517554369172</v>
      </c>
    </row>
    <row r="17" spans="1:30" x14ac:dyDescent="0.25">
      <c r="A17" s="6" t="s">
        <v>30</v>
      </c>
      <c r="B17" s="30">
        <v>3723708.8699999959</v>
      </c>
      <c r="C17" s="29">
        <v>3023.2500000000005</v>
      </c>
      <c r="D17" s="30">
        <v>406587.83000000089</v>
      </c>
      <c r="E17" s="30">
        <v>21743.049999999988</v>
      </c>
      <c r="F17" s="30">
        <v>1002.7999999999998</v>
      </c>
      <c r="G17" s="30">
        <v>2632</v>
      </c>
      <c r="H17" s="30"/>
      <c r="I17" s="1">
        <f t="shared" si="0"/>
        <v>4158697.7999999966</v>
      </c>
      <c r="J17" s="1">
        <v>328963.06091106375</v>
      </c>
      <c r="K17" s="1">
        <v>874682</v>
      </c>
      <c r="L17" s="1">
        <v>34185</v>
      </c>
      <c r="M17" s="1">
        <f t="shared" si="13"/>
        <v>1237830.0609110638</v>
      </c>
      <c r="N17" s="2">
        <v>85.51</v>
      </c>
      <c r="O17" s="3">
        <f t="shared" si="1"/>
        <v>1.1403088561102344</v>
      </c>
      <c r="P17" s="1">
        <f t="shared" si="2"/>
        <v>375119.49169001647</v>
      </c>
      <c r="Q17" s="1">
        <f t="shared" si="3"/>
        <v>997407.63088021206</v>
      </c>
      <c r="R17" s="1">
        <f t="shared" si="14"/>
        <v>38981.458246128364</v>
      </c>
      <c r="S17" s="1">
        <f t="shared" si="15"/>
        <v>1411508.5808163569</v>
      </c>
      <c r="T17" s="1">
        <f t="shared" si="7"/>
        <v>5570206.3808163535</v>
      </c>
      <c r="V17" s="4">
        <f t="shared" si="8"/>
        <v>0.66850465053222319</v>
      </c>
      <c r="W17" s="4">
        <f t="shared" si="9"/>
        <v>7.2993315184923635E-2</v>
      </c>
      <c r="X17" s="4">
        <f t="shared" si="10"/>
        <v>3.903455009294178E-3</v>
      </c>
      <c r="Y17" s="4">
        <f t="shared" si="11"/>
        <v>1.8002923616144943E-4</v>
      </c>
      <c r="Z17" s="4">
        <f t="shared" si="12"/>
        <v>0</v>
      </c>
      <c r="AA17" s="5">
        <f t="shared" si="4"/>
        <v>6.7343912602936637E-2</v>
      </c>
      <c r="AB17" s="5">
        <f t="shared" si="5"/>
        <v>0.17906116267347977</v>
      </c>
      <c r="AC17" s="5">
        <f t="shared" si="16"/>
        <v>6.9982071724271292E-3</v>
      </c>
      <c r="AD17" s="5">
        <f t="shared" si="6"/>
        <v>0.25340328244884353</v>
      </c>
    </row>
    <row r="18" spans="1:30" x14ac:dyDescent="0.25">
      <c r="A18" s="6" t="s">
        <v>31</v>
      </c>
      <c r="B18" s="30">
        <v>5097675.2199999839</v>
      </c>
      <c r="C18" s="29">
        <v>7238.2499999999991</v>
      </c>
      <c r="D18" s="30">
        <v>310394.32999999978</v>
      </c>
      <c r="E18" s="30">
        <v>34110.840000000004</v>
      </c>
      <c r="F18" s="30">
        <v>1577.1000000000006</v>
      </c>
      <c r="G18" s="30">
        <v>395.3</v>
      </c>
      <c r="H18" s="30"/>
      <c r="I18" s="1">
        <f t="shared" si="0"/>
        <v>5451391.0399999833</v>
      </c>
      <c r="J18" s="10" t="s">
        <v>49</v>
      </c>
      <c r="K18" s="10" t="s">
        <v>49</v>
      </c>
      <c r="L18" s="1">
        <v>32108</v>
      </c>
      <c r="M18" s="9" t="s">
        <v>49</v>
      </c>
      <c r="N18">
        <v>83.4</v>
      </c>
      <c r="O18" s="3">
        <f t="shared" si="1"/>
        <v>1.0631746642966091</v>
      </c>
      <c r="P18" s="9" t="s">
        <v>49</v>
      </c>
      <c r="Q18" s="9" t="s">
        <v>49</v>
      </c>
      <c r="R18" s="1">
        <f t="shared" si="14"/>
        <v>34136.412121235524</v>
      </c>
      <c r="S18" s="9" t="s">
        <v>49</v>
      </c>
      <c r="T18" s="9" t="s">
        <v>49</v>
      </c>
      <c r="V18" s="75" t="s">
        <v>48</v>
      </c>
      <c r="W18" s="76"/>
      <c r="X18" s="76"/>
      <c r="Y18" s="76"/>
      <c r="Z18" s="76"/>
      <c r="AA18" s="76"/>
      <c r="AB18" s="76"/>
      <c r="AC18" s="76"/>
      <c r="AD18" s="76"/>
    </row>
    <row r="19" spans="1:30" x14ac:dyDescent="0.25">
      <c r="A19" s="6" t="s">
        <v>32</v>
      </c>
      <c r="B19" s="30">
        <v>2679048.4799999981</v>
      </c>
      <c r="C19" s="29">
        <v>7653.0000000000045</v>
      </c>
      <c r="D19" s="30">
        <v>266115.48000000062</v>
      </c>
      <c r="E19" s="30">
        <v>14760.130000000014</v>
      </c>
      <c r="F19" s="30">
        <v>1449.6500000000005</v>
      </c>
      <c r="G19" s="30">
        <v>94.2</v>
      </c>
      <c r="H19" s="30"/>
      <c r="I19" s="1">
        <f t="shared" si="0"/>
        <v>2969120.9399999985</v>
      </c>
      <c r="J19" s="1">
        <v>313801.29850669333</v>
      </c>
      <c r="K19" s="1">
        <v>732166</v>
      </c>
      <c r="L19" s="1">
        <v>25025</v>
      </c>
      <c r="M19" s="1">
        <f t="shared" ref="M19:M25" si="17">J19+K19+L19</f>
        <v>1070992.2985066934</v>
      </c>
      <c r="N19" s="2">
        <v>83.2</v>
      </c>
      <c r="O19" s="3">
        <f t="shared" si="1"/>
        <v>1.0560429481094982</v>
      </c>
      <c r="P19" s="1">
        <f>+J19*O19</f>
        <v>331387.64839559712</v>
      </c>
      <c r="Q19" s="1">
        <f>+K19*O19</f>
        <v>773198.74114553886</v>
      </c>
      <c r="R19" s="1">
        <f t="shared" si="14"/>
        <v>26427.474776440191</v>
      </c>
      <c r="S19" s="1">
        <f t="shared" ref="S19:S25" si="18">P19+Q19+R19</f>
        <v>1131013.8643175764</v>
      </c>
      <c r="T19" s="1">
        <f t="shared" ref="T19:T26" si="19">S19+I19</f>
        <v>4100134.8043175749</v>
      </c>
      <c r="V19" s="4">
        <f t="shared" ref="V19:V29" si="20">+B19/T19</f>
        <v>0.65340497516785867</v>
      </c>
      <c r="W19" s="4">
        <f t="shared" ref="W19:W29" si="21">+D19/T19</f>
        <v>6.4904080646268597E-2</v>
      </c>
      <c r="X19" s="4">
        <f t="shared" ref="X19:X29" si="22">+E19/T19</f>
        <v>3.5999133453995507E-3</v>
      </c>
      <c r="Y19" s="4">
        <f t="shared" ref="Y19:Y29" si="23">+F19/T19</f>
        <v>3.5356154594562894E-4</v>
      </c>
      <c r="Z19" s="4">
        <f t="shared" ref="Z19:Z25" si="24">+H19/T19</f>
        <v>0</v>
      </c>
      <c r="AA19" s="5">
        <f t="shared" ref="AA19:AA25" si="25">+P19/T19</f>
        <v>8.0823598298923049E-2</v>
      </c>
      <c r="AB19" s="5">
        <f t="shared" ref="AB19:AB25" si="26">+Q19/T19</f>
        <v>0.18857885851248976</v>
      </c>
      <c r="AC19" s="5">
        <f t="shared" ref="AC19:AC25" si="27">+R19/T19</f>
        <v>6.4455136325301315E-3</v>
      </c>
      <c r="AD19" s="5">
        <f t="shared" ref="AD19:AD24" si="28">SUM(AA19:AC19)</f>
        <v>0.27584797044394299</v>
      </c>
    </row>
    <row r="20" spans="1:30" x14ac:dyDescent="0.25">
      <c r="A20" s="6" t="s">
        <v>33</v>
      </c>
      <c r="B20" s="30">
        <v>4515206.0899999905</v>
      </c>
      <c r="C20" s="29">
        <v>26255.659999999996</v>
      </c>
      <c r="D20" s="30">
        <v>251319.10999999958</v>
      </c>
      <c r="E20" s="30">
        <v>29764.250000000018</v>
      </c>
      <c r="F20" s="30">
        <v>812.5</v>
      </c>
      <c r="G20" s="30">
        <v>753.6</v>
      </c>
      <c r="H20" s="30"/>
      <c r="I20" s="1">
        <f t="shared" si="0"/>
        <v>4824111.2099999897</v>
      </c>
      <c r="J20" s="1">
        <v>279390</v>
      </c>
      <c r="K20" s="1">
        <v>834368</v>
      </c>
      <c r="L20" s="1">
        <v>23516</v>
      </c>
      <c r="M20" s="1">
        <f t="shared" si="17"/>
        <v>1137274</v>
      </c>
      <c r="N20" s="2">
        <v>85.69</v>
      </c>
      <c r="O20" s="3">
        <f t="shared" si="1"/>
        <v>1.1470505181872579</v>
      </c>
      <c r="P20" s="1">
        <f>+J20*O20</f>
        <v>320474.44427633798</v>
      </c>
      <c r="Q20" s="1">
        <f>+K20*O20</f>
        <v>957062.24675886601</v>
      </c>
      <c r="R20" s="1">
        <f t="shared" si="14"/>
        <v>26974.039985691557</v>
      </c>
      <c r="S20" s="1">
        <f t="shared" si="18"/>
        <v>1304510.7310208958</v>
      </c>
      <c r="T20" s="1">
        <f t="shared" si="19"/>
        <v>6128621.9410208855</v>
      </c>
      <c r="U20" s="1"/>
      <c r="V20" s="4">
        <f t="shared" si="20"/>
        <v>0.73674084214237934</v>
      </c>
      <c r="W20" s="4">
        <f t="shared" si="21"/>
        <v>4.1007442198031173E-2</v>
      </c>
      <c r="X20" s="4">
        <f t="shared" si="22"/>
        <v>4.8565975004557045E-3</v>
      </c>
      <c r="Y20" s="4">
        <f t="shared" si="23"/>
        <v>1.3257466487884818E-4</v>
      </c>
      <c r="Z20" s="4">
        <f t="shared" si="24"/>
        <v>0</v>
      </c>
      <c r="AA20" s="5">
        <f t="shared" si="25"/>
        <v>5.2291436371902297E-2</v>
      </c>
      <c r="AB20" s="5">
        <f t="shared" si="26"/>
        <v>0.15616271585508207</v>
      </c>
      <c r="AC20" s="5">
        <f t="shared" si="27"/>
        <v>4.4013222295774881E-3</v>
      </c>
      <c r="AD20" s="5">
        <f t="shared" si="28"/>
        <v>0.21285547445656186</v>
      </c>
    </row>
    <row r="21" spans="1:30" x14ac:dyDescent="0.25">
      <c r="A21" s="6" t="s">
        <v>34</v>
      </c>
      <c r="B21" s="30">
        <v>3455756.250000013</v>
      </c>
      <c r="C21" s="29">
        <v>12102.050000000001</v>
      </c>
      <c r="D21" s="30">
        <v>292531.24000000069</v>
      </c>
      <c r="E21" s="30">
        <v>29775.779999999984</v>
      </c>
      <c r="F21" s="30">
        <v>2875.2500000000005</v>
      </c>
      <c r="G21" s="30">
        <v>27</v>
      </c>
      <c r="H21" s="30"/>
      <c r="I21" s="1">
        <f t="shared" si="0"/>
        <v>3793067.5700000133</v>
      </c>
      <c r="J21" s="1">
        <v>317333.73573786928</v>
      </c>
      <c r="K21" s="1">
        <v>751102</v>
      </c>
      <c r="L21" s="1">
        <v>18726</v>
      </c>
      <c r="M21" s="1">
        <f t="shared" si="17"/>
        <v>1087161.7357378693</v>
      </c>
      <c r="N21" s="2">
        <v>84.9</v>
      </c>
      <c r="O21" s="3">
        <f t="shared" si="1"/>
        <v>1.1176518074200168</v>
      </c>
      <c r="P21" s="1">
        <f>+J21*O21</f>
        <v>354668.62330277561</v>
      </c>
      <c r="Q21" s="1">
        <f>+K21*O21</f>
        <v>839470.50785678951</v>
      </c>
      <c r="R21" s="1">
        <f t="shared" si="14"/>
        <v>20929.147745747236</v>
      </c>
      <c r="S21" s="1">
        <f t="shared" si="18"/>
        <v>1215068.2789053125</v>
      </c>
      <c r="T21" s="1">
        <f t="shared" si="19"/>
        <v>5008135.8489053259</v>
      </c>
      <c r="U21" s="1"/>
      <c r="V21" s="4">
        <f t="shared" si="20"/>
        <v>0.69002845654743361</v>
      </c>
      <c r="W21" s="4">
        <f t="shared" si="21"/>
        <v>5.8411203055512548E-2</v>
      </c>
      <c r="X21" s="4">
        <f t="shared" si="22"/>
        <v>5.9454816918571305E-3</v>
      </c>
      <c r="Y21" s="4">
        <f t="shared" si="23"/>
        <v>5.7411581609322158E-4</v>
      </c>
      <c r="Z21" s="4">
        <f t="shared" si="24"/>
        <v>0</v>
      </c>
      <c r="AA21" s="5">
        <f t="shared" si="25"/>
        <v>7.0818490952137172E-2</v>
      </c>
      <c r="AB21" s="5">
        <f t="shared" si="26"/>
        <v>0.16762135317081708</v>
      </c>
      <c r="AC21" s="5">
        <f t="shared" si="27"/>
        <v>4.1790295585376162E-3</v>
      </c>
      <c r="AD21" s="5">
        <f t="shared" si="28"/>
        <v>0.24261887368149188</v>
      </c>
    </row>
    <row r="22" spans="1:30" x14ac:dyDescent="0.25">
      <c r="A22" s="6" t="s">
        <v>35</v>
      </c>
      <c r="B22" s="30">
        <v>2992905.4199999934</v>
      </c>
      <c r="C22" s="29">
        <v>14383.47</v>
      </c>
      <c r="D22" s="30">
        <v>246089.24000000002</v>
      </c>
      <c r="E22" s="30">
        <v>29873.120000000024</v>
      </c>
      <c r="F22" s="30">
        <v>638.79999999999995</v>
      </c>
      <c r="G22" s="30">
        <v>67</v>
      </c>
      <c r="H22" s="30">
        <v>922.00000000000011</v>
      </c>
      <c r="I22" s="1">
        <f t="shared" si="0"/>
        <v>3284879.0499999938</v>
      </c>
      <c r="J22" s="1">
        <v>382891.49847479968</v>
      </c>
      <c r="K22" s="1">
        <v>747616</v>
      </c>
      <c r="L22" s="1">
        <v>15061</v>
      </c>
      <c r="M22" s="1">
        <f t="shared" si="17"/>
        <v>1145568.4984747996</v>
      </c>
      <c r="N22" s="2">
        <v>84.5</v>
      </c>
      <c r="O22" s="3">
        <f t="shared" si="1"/>
        <v>1.1029531629097129</v>
      </c>
      <c r="P22" s="1">
        <f>+J22*O22</f>
        <v>422311.38929401984</v>
      </c>
      <c r="Q22" s="1">
        <f>+K22*O22</f>
        <v>824585.43184190791</v>
      </c>
      <c r="R22" s="1">
        <f t="shared" si="14"/>
        <v>16611.577586583186</v>
      </c>
      <c r="S22" s="1">
        <f t="shared" si="18"/>
        <v>1263508.3987225108</v>
      </c>
      <c r="T22" s="1">
        <f t="shared" si="19"/>
        <v>4548387.4487225041</v>
      </c>
      <c r="U22" s="1"/>
      <c r="V22" s="4">
        <f t="shared" si="20"/>
        <v>0.65801461589218935</v>
      </c>
      <c r="W22" s="4">
        <f t="shared" si="21"/>
        <v>5.4104722338269268E-2</v>
      </c>
      <c r="X22" s="4">
        <f t="shared" si="22"/>
        <v>6.5678485698025622E-3</v>
      </c>
      <c r="Y22" s="4">
        <f t="shared" si="23"/>
        <v>1.4044537920344019E-4</v>
      </c>
      <c r="Z22" s="4">
        <f t="shared" si="24"/>
        <v>2.0270920417278003E-4</v>
      </c>
      <c r="AA22" s="5">
        <f t="shared" si="25"/>
        <v>9.284859613545754E-2</v>
      </c>
      <c r="AB22" s="5">
        <f t="shared" si="26"/>
        <v>0.18129181850449164</v>
      </c>
      <c r="AC22" s="5">
        <f t="shared" si="27"/>
        <v>3.6521905343065804E-3</v>
      </c>
      <c r="AD22" s="5">
        <f t="shared" si="28"/>
        <v>0.2777926051742558</v>
      </c>
    </row>
    <row r="23" spans="1:30" x14ac:dyDescent="0.25">
      <c r="A23" s="6" t="s">
        <v>36</v>
      </c>
      <c r="B23" s="30">
        <v>4153851.5499999952</v>
      </c>
      <c r="C23" s="29">
        <v>27430.830000000009</v>
      </c>
      <c r="D23" s="30">
        <v>156154.37000000014</v>
      </c>
      <c r="E23" s="30">
        <v>54833.33</v>
      </c>
      <c r="F23" s="30">
        <v>516.5</v>
      </c>
      <c r="G23" s="30">
        <v>136.5</v>
      </c>
      <c r="H23" s="30">
        <v>1046.5000000000002</v>
      </c>
      <c r="I23" s="1">
        <f t="shared" si="0"/>
        <v>4393969.5799999954</v>
      </c>
      <c r="J23" s="1">
        <v>375604.16809999995</v>
      </c>
      <c r="K23" s="1">
        <v>747150.31296141748</v>
      </c>
      <c r="L23" s="1">
        <v>9598</v>
      </c>
      <c r="M23" s="1">
        <f t="shared" si="17"/>
        <v>1132352.4810614174</v>
      </c>
      <c r="N23" s="2">
        <v>84.9</v>
      </c>
      <c r="O23" s="3">
        <f t="shared" si="1"/>
        <v>1.1176518074200168</v>
      </c>
      <c r="P23" s="1">
        <f>+J23*O23</f>
        <v>419794.67735145678</v>
      </c>
      <c r="Q23" s="1">
        <f>+K23*O23</f>
        <v>835053.89769575943</v>
      </c>
      <c r="R23" s="1">
        <f t="shared" si="14"/>
        <v>10727.222047617321</v>
      </c>
      <c r="S23" s="1">
        <f t="shared" si="18"/>
        <v>1265575.7970948336</v>
      </c>
      <c r="T23" s="1">
        <f t="shared" si="19"/>
        <v>5659545.3770948295</v>
      </c>
      <c r="U23" s="1"/>
      <c r="V23" s="4">
        <f t="shared" si="20"/>
        <v>0.7339549863512641</v>
      </c>
      <c r="W23" s="4">
        <f t="shared" si="21"/>
        <v>2.7591327499905595E-2</v>
      </c>
      <c r="X23" s="4">
        <f t="shared" si="22"/>
        <v>9.6886457032255777E-3</v>
      </c>
      <c r="Y23" s="4">
        <f t="shared" si="23"/>
        <v>9.1261747293407323E-5</v>
      </c>
      <c r="Z23" s="4">
        <f t="shared" si="24"/>
        <v>1.8490884519370917E-4</v>
      </c>
      <c r="AA23" s="5">
        <f t="shared" si="25"/>
        <v>7.4174628769731105E-2</v>
      </c>
      <c r="AB23" s="5">
        <f t="shared" si="26"/>
        <v>0.14754787567838376</v>
      </c>
      <c r="AC23" s="5">
        <f t="shared" si="27"/>
        <v>1.8954211571537646E-3</v>
      </c>
      <c r="AD23" s="5">
        <f t="shared" si="28"/>
        <v>0.22361792560526864</v>
      </c>
    </row>
    <row r="24" spans="1:30" x14ac:dyDescent="0.25">
      <c r="A24" s="6" t="s">
        <v>37</v>
      </c>
      <c r="B24" s="30">
        <v>5704646.5499999737</v>
      </c>
      <c r="C24" s="29">
        <v>34605.189999999988</v>
      </c>
      <c r="D24" s="30">
        <v>166159.53000000009</v>
      </c>
      <c r="E24" s="30">
        <v>58206.109999999957</v>
      </c>
      <c r="F24" s="30">
        <v>3606.5</v>
      </c>
      <c r="G24" s="30">
        <v>929.50000000000011</v>
      </c>
      <c r="H24" s="30">
        <v>1796.5</v>
      </c>
      <c r="I24" s="1">
        <f t="shared" si="0"/>
        <v>5969949.8799999747</v>
      </c>
      <c r="J24" s="1">
        <v>400050.15109999996</v>
      </c>
      <c r="K24" s="1">
        <v>888571</v>
      </c>
      <c r="L24" s="1">
        <v>6373</v>
      </c>
      <c r="M24" s="1">
        <f t="shared" si="17"/>
        <v>1294994.1510999999</v>
      </c>
      <c r="N24" s="2">
        <v>84.25</v>
      </c>
      <c r="O24" s="3">
        <f t="shared" si="1"/>
        <v>1.0938299845464989</v>
      </c>
      <c r="P24" s="1">
        <v>437575</v>
      </c>
      <c r="Q24" s="1">
        <v>971920</v>
      </c>
      <c r="R24" s="1">
        <f t="shared" si="14"/>
        <v>6970.9784915148375</v>
      </c>
      <c r="S24" s="1">
        <f t="shared" si="18"/>
        <v>1416465.9784915149</v>
      </c>
      <c r="T24" s="1">
        <f t="shared" si="19"/>
        <v>7386415.8584914897</v>
      </c>
      <c r="U24" s="1"/>
      <c r="V24" s="4">
        <f t="shared" si="20"/>
        <v>0.77231591874723127</v>
      </c>
      <c r="W24" s="4">
        <f t="shared" si="21"/>
        <v>2.2495285018238123E-2</v>
      </c>
      <c r="X24" s="4">
        <f t="shared" si="22"/>
        <v>7.8801561021081285E-3</v>
      </c>
      <c r="Y24" s="4">
        <f t="shared" si="23"/>
        <v>4.8826116334269688E-4</v>
      </c>
      <c r="Z24" s="4">
        <f t="shared" si="24"/>
        <v>2.4321674197841535E-4</v>
      </c>
      <c r="AA24" s="5">
        <f t="shared" si="25"/>
        <v>5.9240504242251656E-2</v>
      </c>
      <c r="AB24" s="5">
        <f t="shared" si="26"/>
        <v>0.13158208508970856</v>
      </c>
      <c r="AC24" s="5">
        <f t="shared" si="27"/>
        <v>9.4375656950061086E-4</v>
      </c>
      <c r="AD24" s="5">
        <f t="shared" si="28"/>
        <v>0.19176634590146083</v>
      </c>
    </row>
    <row r="25" spans="1:30" x14ac:dyDescent="0.25">
      <c r="A25" s="6" t="s">
        <v>38</v>
      </c>
      <c r="B25" s="30">
        <v>5569227.1200000262</v>
      </c>
      <c r="C25" s="29">
        <v>11676.449999999993</v>
      </c>
      <c r="D25" s="30">
        <v>201517.13000000044</v>
      </c>
      <c r="E25" s="30">
        <v>67166.579999999987</v>
      </c>
      <c r="F25" s="30">
        <v>2982.9999999999995</v>
      </c>
      <c r="G25" s="30">
        <v>1064.8999999999999</v>
      </c>
      <c r="H25" s="30">
        <v>538.29999999999995</v>
      </c>
      <c r="I25" s="1">
        <f t="shared" si="0"/>
        <v>5854173.4800000275</v>
      </c>
      <c r="J25" s="1">
        <v>291050.87309999997</v>
      </c>
      <c r="K25" s="1">
        <v>810189</v>
      </c>
      <c r="L25" s="1">
        <v>3290</v>
      </c>
      <c r="M25" s="1">
        <f t="shared" si="17"/>
        <v>1104529.8731</v>
      </c>
      <c r="N25" s="2">
        <v>84.8</v>
      </c>
      <c r="O25" s="3">
        <f t="shared" si="1"/>
        <v>1.1139654075237193</v>
      </c>
      <c r="P25" s="1">
        <f>+J25*O25</f>
        <v>324220.60446297575</v>
      </c>
      <c r="Q25" s="1">
        <f>+K25*O25</f>
        <v>902522.51955623459</v>
      </c>
      <c r="R25" s="1">
        <f t="shared" si="14"/>
        <v>3664.9461907530367</v>
      </c>
      <c r="S25" s="1">
        <f t="shared" si="18"/>
        <v>1230408.0702099632</v>
      </c>
      <c r="T25" s="1">
        <f t="shared" si="19"/>
        <v>7084581.5502099907</v>
      </c>
      <c r="U25" s="1"/>
      <c r="V25" s="4">
        <f t="shared" si="20"/>
        <v>0.78610530213106955</v>
      </c>
      <c r="W25" s="4">
        <f t="shared" si="21"/>
        <v>2.8444464725517538E-2</v>
      </c>
      <c r="X25" s="4">
        <f t="shared" si="22"/>
        <v>9.4806700330817891E-3</v>
      </c>
      <c r="Y25" s="4">
        <f t="shared" si="23"/>
        <v>4.2105521389778933E-4</v>
      </c>
      <c r="Z25" s="4">
        <f t="shared" si="24"/>
        <v>7.5981904673543411E-5</v>
      </c>
      <c r="AA25" s="5">
        <f t="shared" si="25"/>
        <v>4.5764256105339865E-2</v>
      </c>
      <c r="AB25" s="5">
        <f t="shared" si="26"/>
        <v>0.12739249497798263</v>
      </c>
      <c r="AC25" s="5">
        <f t="shared" si="27"/>
        <v>5.173130078013437E-4</v>
      </c>
      <c r="AD25" s="5">
        <f>SUM(AA25:AC25)</f>
        <v>0.17367406409112385</v>
      </c>
    </row>
    <row r="26" spans="1:30" x14ac:dyDescent="0.25">
      <c r="A26" s="6" t="s">
        <v>39</v>
      </c>
      <c r="B26" s="30">
        <v>3882471.0300000217</v>
      </c>
      <c r="C26" s="29">
        <v>17356.619999999995</v>
      </c>
      <c r="D26" s="30">
        <v>128539.16000000022</v>
      </c>
      <c r="E26" s="30">
        <v>47996.499999999978</v>
      </c>
      <c r="F26" s="30">
        <v>283.75</v>
      </c>
      <c r="G26" s="30"/>
      <c r="H26" s="30">
        <v>1546.2</v>
      </c>
      <c r="I26" s="1">
        <v>4064217</v>
      </c>
      <c r="J26" s="18">
        <v>338600.41720000003</v>
      </c>
      <c r="K26" s="18">
        <v>1034412</v>
      </c>
      <c r="L26" s="18"/>
      <c r="M26" s="18">
        <f>J26+K26</f>
        <v>1373012.4172</v>
      </c>
      <c r="N26" s="2">
        <v>85.38</v>
      </c>
      <c r="O26" s="3">
        <f t="shared" si="1"/>
        <v>1.1354557655103621</v>
      </c>
      <c r="P26" s="17">
        <f>+J26*O26</f>
        <v>384465.79591395403</v>
      </c>
      <c r="Q26" s="17">
        <f>+K26*O26</f>
        <v>1174529.0693131047</v>
      </c>
      <c r="R26" s="17"/>
      <c r="S26" s="17">
        <f>P26+Q26</f>
        <v>1558994.8652270588</v>
      </c>
      <c r="T26" s="1">
        <f t="shared" si="19"/>
        <v>5623211.8652270585</v>
      </c>
      <c r="U26" s="1"/>
      <c r="V26" s="4">
        <f t="shared" si="20"/>
        <v>0.69043655530899195</v>
      </c>
      <c r="W26" s="4">
        <f t="shared" si="21"/>
        <v>2.2858672780028708E-2</v>
      </c>
      <c r="X26" s="4">
        <f t="shared" si="22"/>
        <v>8.5354244425328869E-3</v>
      </c>
      <c r="Y26" s="4">
        <f t="shared" si="23"/>
        <v>5.0460485359738892E-5</v>
      </c>
      <c r="Z26" s="4">
        <f t="shared" ref="Z26:Z28" si="29">+H26/T26</f>
        <v>2.7496740956203797E-4</v>
      </c>
      <c r="AA26" s="5">
        <f t="shared" ref="AA26:AA28" si="30">+P26/T26</f>
        <v>6.8371209395723123E-2</v>
      </c>
      <c r="AB26" s="5">
        <f t="shared" ref="AB26" si="31">+Q26/T26</f>
        <v>0.2088715661908781</v>
      </c>
      <c r="AC26" s="5" t="s">
        <v>62</v>
      </c>
      <c r="AD26" s="5">
        <f t="shared" ref="AD26" si="32">SUM(AA26:AC26)</f>
        <v>0.27724277558660121</v>
      </c>
    </row>
    <row r="27" spans="1:30" x14ac:dyDescent="0.25">
      <c r="A27" s="6" t="s">
        <v>56</v>
      </c>
      <c r="B27" s="30">
        <v>5922412.2699999716</v>
      </c>
      <c r="C27" s="29">
        <v>16353.700000000012</v>
      </c>
      <c r="D27" s="30">
        <v>214810.21999999977</v>
      </c>
      <c r="E27" s="30">
        <v>216060.18999999939</v>
      </c>
      <c r="F27" s="30">
        <v>1406.0000000000002</v>
      </c>
      <c r="G27" s="30">
        <v>1728.1000000000001</v>
      </c>
      <c r="H27" s="30">
        <v>235.00000000000003</v>
      </c>
      <c r="I27" s="1">
        <f>SUM(B27:H27)</f>
        <v>6373005.4799999706</v>
      </c>
      <c r="J27" s="20">
        <v>297766</v>
      </c>
      <c r="K27" s="21">
        <v>1155291</v>
      </c>
      <c r="L27" s="17"/>
      <c r="M27" s="17">
        <f>J27+K27</f>
        <v>1453057</v>
      </c>
      <c r="N27" s="19">
        <v>84.5</v>
      </c>
      <c r="O27" s="13">
        <f t="shared" ref="O27:O29" si="33">(POWER(N27,2.80327)*0.001989)*0.0022</f>
        <v>1.1029531629097129</v>
      </c>
      <c r="P27" s="17">
        <f t="shared" ref="P27" si="34">+J27*O27</f>
        <v>328421.95150697359</v>
      </c>
      <c r="Q27" s="17">
        <f>+K27*O27</f>
        <v>1274231.8625311251</v>
      </c>
      <c r="R27" s="17"/>
      <c r="S27" s="17">
        <f>P27+Q27</f>
        <v>1602653.8140380988</v>
      </c>
      <c r="T27" s="1">
        <f>S27+I27</f>
        <v>7975659.2940380694</v>
      </c>
      <c r="U27" s="1"/>
      <c r="V27" s="4">
        <f t="shared" si="20"/>
        <v>0.74256084063508931</v>
      </c>
      <c r="W27" s="4">
        <f t="shared" si="21"/>
        <v>2.6933224211392E-2</v>
      </c>
      <c r="X27" s="4">
        <f t="shared" si="22"/>
        <v>2.7089947305235038E-2</v>
      </c>
      <c r="Y27" s="4">
        <f t="shared" si="23"/>
        <v>1.7628636682750571E-4</v>
      </c>
      <c r="Z27" s="4">
        <f t="shared" si="29"/>
        <v>2.9464648794071006E-5</v>
      </c>
      <c r="AA27" s="5">
        <f t="shared" si="30"/>
        <v>4.1178031733686789E-2</v>
      </c>
      <c r="AB27" s="5">
        <f>+Q27/T27</f>
        <v>0.15976508217742369</v>
      </c>
      <c r="AC27" s="5" t="s">
        <v>62</v>
      </c>
      <c r="AD27" s="5">
        <f>SUM(AA27:AC27)</f>
        <v>0.20094311391111047</v>
      </c>
    </row>
    <row r="28" spans="1:30" s="16" customFormat="1" x14ac:dyDescent="0.25">
      <c r="A28" s="6" t="s">
        <v>57</v>
      </c>
      <c r="B28" s="30">
        <v>5050872</v>
      </c>
      <c r="C28" s="29">
        <v>11550.079999999987</v>
      </c>
      <c r="D28" s="30">
        <v>200467</v>
      </c>
      <c r="E28" s="30">
        <v>187969</v>
      </c>
      <c r="F28" s="30">
        <v>1654.85</v>
      </c>
      <c r="G28" s="30">
        <v>270.89</v>
      </c>
      <c r="H28" s="30">
        <v>481.80000000000007</v>
      </c>
      <c r="I28" s="24">
        <v>5436139.7000000039</v>
      </c>
      <c r="J28" s="22">
        <v>297507</v>
      </c>
      <c r="K28" s="23">
        <v>1172349</v>
      </c>
      <c r="L28" s="18"/>
      <c r="M28" s="18">
        <f>J28+K28</f>
        <v>1469856</v>
      </c>
      <c r="N28" s="25">
        <v>84.5</v>
      </c>
      <c r="O28" s="26">
        <f t="shared" ref="O28" si="35">(POWER(N28,2.80327)*0.001989)*0.0022</f>
        <v>1.1029531629097129</v>
      </c>
      <c r="P28" s="18">
        <f t="shared" ref="P28" si="36">+J28*O28</f>
        <v>328136.28663777997</v>
      </c>
      <c r="Q28" s="18">
        <f t="shared" ref="Q28" si="37">+K28*O28</f>
        <v>1293046.0375840389</v>
      </c>
      <c r="R28" s="18"/>
      <c r="S28" s="18">
        <f>P28+Q28</f>
        <v>1621182.3242218189</v>
      </c>
      <c r="T28" s="18">
        <f>S28+I28</f>
        <v>7057322.0242218226</v>
      </c>
      <c r="U28" s="1"/>
      <c r="V28" s="4">
        <f t="shared" si="20"/>
        <v>0.7156924372537663</v>
      </c>
      <c r="W28" s="4">
        <f t="shared" si="21"/>
        <v>2.8405533899681239E-2</v>
      </c>
      <c r="X28" s="4">
        <f t="shared" si="22"/>
        <v>2.6634607200133602E-2</v>
      </c>
      <c r="Y28" s="4">
        <f t="shared" si="23"/>
        <v>2.344869618136027E-4</v>
      </c>
      <c r="Z28" s="4">
        <f t="shared" si="29"/>
        <v>6.8269521830857056E-5</v>
      </c>
      <c r="AA28" s="5">
        <f t="shared" si="30"/>
        <v>4.6495864226057053E-2</v>
      </c>
      <c r="AB28" s="5">
        <f>+Q28/T28</f>
        <v>0.1832204954154146</v>
      </c>
      <c r="AC28" s="5" t="s">
        <v>62</v>
      </c>
      <c r="AD28" s="5">
        <f>SUM(AA28:AC28)</f>
        <v>0.22971635964147166</v>
      </c>
    </row>
    <row r="29" spans="1:30" s="16" customFormat="1" ht="15.75" thickBot="1" x14ac:dyDescent="0.3">
      <c r="A29" s="6" t="s">
        <v>63</v>
      </c>
      <c r="B29" s="56">
        <v>5730261</v>
      </c>
      <c r="C29" s="57" t="s">
        <v>62</v>
      </c>
      <c r="D29" s="58">
        <v>178599</v>
      </c>
      <c r="E29" s="58">
        <v>146731</v>
      </c>
      <c r="F29" s="58">
        <v>2497</v>
      </c>
      <c r="G29" s="58">
        <v>197</v>
      </c>
      <c r="H29" s="58">
        <v>2124</v>
      </c>
      <c r="I29" s="59">
        <f>SUM(B29:H29)</f>
        <v>6060409</v>
      </c>
      <c r="J29" s="22">
        <v>337227</v>
      </c>
      <c r="K29" s="23">
        <v>1015040</v>
      </c>
      <c r="L29" s="18"/>
      <c r="M29" s="18">
        <f>J29+K29</f>
        <v>1352267</v>
      </c>
      <c r="N29" s="60">
        <v>84.5</v>
      </c>
      <c r="O29" s="61">
        <f t="shared" si="33"/>
        <v>1.1029531629097129</v>
      </c>
      <c r="P29" s="18">
        <f t="shared" ref="P29" si="38">+J29*O29</f>
        <v>371945.58626855374</v>
      </c>
      <c r="Q29" s="18">
        <f t="shared" ref="Q29" si="39">+K29*O29</f>
        <v>1119541.5784798749</v>
      </c>
      <c r="R29" s="18"/>
      <c r="S29" s="18">
        <f>P29+Q29</f>
        <v>1491487.1647484286</v>
      </c>
      <c r="T29" s="18">
        <f>S29+I29</f>
        <v>7551896.1647484284</v>
      </c>
      <c r="U29" s="18"/>
      <c r="V29" s="62">
        <f t="shared" si="20"/>
        <v>0.75878439996941993</v>
      </c>
      <c r="W29" s="62">
        <f t="shared" si="21"/>
        <v>2.364955715806635E-2</v>
      </c>
      <c r="X29" s="62">
        <f t="shared" si="22"/>
        <v>1.9429689815509792E-2</v>
      </c>
      <c r="Y29" s="62">
        <f t="shared" si="23"/>
        <v>3.3064543599735537E-4</v>
      </c>
      <c r="Z29" s="62">
        <f t="shared" ref="Z29" si="40">+H29/T29</f>
        <v>2.8125386706382972E-4</v>
      </c>
      <c r="AA29" s="63">
        <f>+P29/T29</f>
        <v>4.9251946551484946E-2</v>
      </c>
      <c r="AB29" s="63">
        <f>+Q29/T29</f>
        <v>0.14824642103870472</v>
      </c>
      <c r="AC29" s="63" t="s">
        <v>62</v>
      </c>
      <c r="AD29" s="63">
        <f>SUM(AA29:AC29)</f>
        <v>0.19749836759018968</v>
      </c>
    </row>
    <row r="30" spans="1:30" ht="18.75" x14ac:dyDescent="0.3">
      <c r="A30" s="11" t="s">
        <v>70</v>
      </c>
      <c r="G30" s="1"/>
      <c r="T30" s="1"/>
    </row>
    <row r="31" spans="1:30" ht="18.75" x14ac:dyDescent="0.3">
      <c r="A31" s="11"/>
      <c r="I31" s="16"/>
      <c r="L31" s="2"/>
    </row>
    <row r="32" spans="1:30" x14ac:dyDescent="0.25">
      <c r="A32" s="6" t="s">
        <v>61</v>
      </c>
      <c r="T32" s="4"/>
      <c r="U32" s="4"/>
      <c r="V32" s="4"/>
      <c r="W32" s="4"/>
      <c r="X32" s="4"/>
      <c r="Y32" s="4"/>
      <c r="Z32" s="4"/>
      <c r="AA32" s="4"/>
      <c r="AB32" s="4"/>
    </row>
    <row r="33" spans="1:28" ht="17.25" x14ac:dyDescent="0.25">
      <c r="A33" t="s">
        <v>53</v>
      </c>
      <c r="T33" s="4"/>
      <c r="U33" s="4"/>
      <c r="V33" s="4"/>
      <c r="W33" s="4"/>
      <c r="X33" s="4"/>
      <c r="Y33" s="4"/>
      <c r="Z33" s="4"/>
      <c r="AA33" s="4"/>
      <c r="AB33" s="4"/>
    </row>
    <row r="34" spans="1:28" ht="17.25" x14ac:dyDescent="0.25">
      <c r="A34" t="s">
        <v>60</v>
      </c>
      <c r="G34" s="1"/>
      <c r="V34" s="16"/>
    </row>
    <row r="35" spans="1:28" ht="17.25" x14ac:dyDescent="0.25">
      <c r="A35" t="s">
        <v>51</v>
      </c>
    </row>
    <row r="36" spans="1:28" ht="17.25" x14ac:dyDescent="0.25">
      <c r="A36" t="s">
        <v>58</v>
      </c>
    </row>
    <row r="37" spans="1:28" x14ac:dyDescent="0.25">
      <c r="A37" t="s">
        <v>54</v>
      </c>
    </row>
    <row r="38" spans="1:28" x14ac:dyDescent="0.25">
      <c r="A38" t="s">
        <v>52</v>
      </c>
    </row>
    <row r="39" spans="1:28" x14ac:dyDescent="0.25">
      <c r="A39" t="s">
        <v>55</v>
      </c>
    </row>
    <row r="41" spans="1:28" x14ac:dyDescent="0.25">
      <c r="G41" s="1"/>
      <c r="H41" s="1"/>
    </row>
    <row r="42" spans="1:28" x14ac:dyDescent="0.25">
      <c r="H42" s="1"/>
      <c r="I42" s="1"/>
    </row>
    <row r="43" spans="1:28" x14ac:dyDescent="0.25">
      <c r="E43" s="14"/>
      <c r="H43" s="1"/>
      <c r="I43" s="1"/>
    </row>
    <row r="44" spans="1:28" x14ac:dyDescent="0.25">
      <c r="E44" s="14"/>
      <c r="F44" s="1"/>
      <c r="G44" s="1"/>
      <c r="H44" s="1"/>
      <c r="I44" s="1"/>
    </row>
    <row r="45" spans="1:28" x14ac:dyDescent="0.25">
      <c r="E45" s="14"/>
      <c r="F45" s="1"/>
      <c r="G45" s="1"/>
      <c r="H45" s="1"/>
      <c r="I45" s="1"/>
    </row>
    <row r="46" spans="1:28" x14ac:dyDescent="0.25">
      <c r="E46" s="14"/>
      <c r="F46" s="1"/>
      <c r="G46" s="1"/>
      <c r="H46" s="1"/>
      <c r="I46" s="1"/>
    </row>
    <row r="47" spans="1:28" x14ac:dyDescent="0.25">
      <c r="E47" s="14"/>
      <c r="F47" s="1"/>
      <c r="G47" s="1"/>
      <c r="H47" s="1"/>
      <c r="I47" s="1"/>
    </row>
    <row r="48" spans="1:28" x14ac:dyDescent="0.25">
      <c r="E48" s="14"/>
      <c r="F48" s="1"/>
      <c r="G48" s="1"/>
      <c r="H48" s="1"/>
      <c r="I48" s="1"/>
    </row>
    <row r="49" spans="5:9" x14ac:dyDescent="0.25">
      <c r="E49" s="14"/>
      <c r="F49" s="1"/>
      <c r="G49" s="1"/>
      <c r="H49" s="1"/>
      <c r="I49" s="1"/>
    </row>
    <row r="50" spans="5:9" x14ac:dyDescent="0.25">
      <c r="E50" s="14"/>
      <c r="F50" s="1"/>
      <c r="G50" s="1"/>
      <c r="H50" s="1"/>
      <c r="I50" s="1"/>
    </row>
    <row r="51" spans="5:9" x14ac:dyDescent="0.25">
      <c r="E51" s="14"/>
      <c r="F51" s="1"/>
      <c r="G51" s="1"/>
      <c r="H51" s="1"/>
      <c r="I51" s="1"/>
    </row>
    <row r="52" spans="5:9" x14ac:dyDescent="0.25">
      <c r="E52" s="14"/>
      <c r="F52" s="1"/>
      <c r="G52" s="1"/>
      <c r="H52" s="1"/>
      <c r="I52" s="1"/>
    </row>
    <row r="53" spans="5:9" x14ac:dyDescent="0.25">
      <c r="E53" s="14"/>
      <c r="F53" s="1"/>
      <c r="G53" s="1"/>
      <c r="H53" s="1"/>
      <c r="I53" s="1"/>
    </row>
    <row r="54" spans="5:9" x14ac:dyDescent="0.25">
      <c r="E54" s="14"/>
      <c r="F54" s="1"/>
      <c r="G54" s="1"/>
    </row>
    <row r="55" spans="5:9" x14ac:dyDescent="0.25">
      <c r="E55" s="14"/>
      <c r="F55" s="1"/>
      <c r="G55" s="1"/>
    </row>
    <row r="56" spans="5:9" x14ac:dyDescent="0.25">
      <c r="E56" s="14"/>
      <c r="F56" s="1"/>
      <c r="G56" s="1"/>
    </row>
    <row r="57" spans="5:9" x14ac:dyDescent="0.25">
      <c r="E57" s="14"/>
    </row>
    <row r="58" spans="5:9" x14ac:dyDescent="0.25">
      <c r="E58" s="14"/>
    </row>
    <row r="59" spans="5:9" x14ac:dyDescent="0.25">
      <c r="E59" s="14"/>
      <c r="G59" s="1"/>
    </row>
    <row r="60" spans="5:9" x14ac:dyDescent="0.25">
      <c r="E60" s="14"/>
      <c r="G60" s="1"/>
    </row>
    <row r="61" spans="5:9" x14ac:dyDescent="0.25">
      <c r="E61" s="14"/>
      <c r="G61" s="1"/>
    </row>
    <row r="62" spans="5:9" x14ac:dyDescent="0.25">
      <c r="E62" s="14"/>
      <c r="G62" s="1"/>
    </row>
    <row r="63" spans="5:9" x14ac:dyDescent="0.25">
      <c r="E63" s="14"/>
      <c r="G63" s="1"/>
    </row>
    <row r="64" spans="5:9" x14ac:dyDescent="0.25">
      <c r="E64" s="14"/>
      <c r="G64" s="1"/>
    </row>
    <row r="65" spans="5:7" x14ac:dyDescent="0.25">
      <c r="E65" s="14"/>
      <c r="G65" s="1"/>
    </row>
    <row r="66" spans="5:7" x14ac:dyDescent="0.25">
      <c r="E66" s="14"/>
      <c r="G66" s="1"/>
    </row>
    <row r="67" spans="5:7" x14ac:dyDescent="0.25">
      <c r="E67" s="14"/>
      <c r="G67" s="1"/>
    </row>
    <row r="68" spans="5:7" x14ac:dyDescent="0.25">
      <c r="E68" s="14"/>
      <c r="G68" s="1"/>
    </row>
    <row r="69" spans="5:7" x14ac:dyDescent="0.25">
      <c r="E69" s="14"/>
      <c r="G69" s="1"/>
    </row>
    <row r="70" spans="5:7" x14ac:dyDescent="0.25">
      <c r="E70" s="14"/>
      <c r="G70" s="1"/>
    </row>
    <row r="71" spans="5:7" x14ac:dyDescent="0.25">
      <c r="E71" s="14"/>
      <c r="G71" s="1"/>
    </row>
  </sheetData>
  <mergeCells count="11">
    <mergeCell ref="J2:S2"/>
    <mergeCell ref="B2:I3"/>
    <mergeCell ref="V18:AD18"/>
    <mergeCell ref="A1:AB1"/>
    <mergeCell ref="V3:Z3"/>
    <mergeCell ref="AA3:AD3"/>
    <mergeCell ref="V2:AD2"/>
    <mergeCell ref="T2:T3"/>
    <mergeCell ref="A2:A3"/>
    <mergeCell ref="P3:S3"/>
    <mergeCell ref="J3:M3"/>
  </mergeCells>
  <pageMargins left="0.7" right="0.7" top="0.75" bottom="0.75" header="0.3" footer="0.3"/>
  <pageSetup paperSize="5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28"/>
  <sheetViews>
    <sheetView workbookViewId="0">
      <selection activeCell="F33" sqref="F33"/>
    </sheetView>
  </sheetViews>
  <sheetFormatPr defaultRowHeight="15" x14ac:dyDescent="0.25"/>
  <cols>
    <col min="13" max="13" width="10.42578125" customWidth="1"/>
    <col min="18" max="18" width="10.42578125" customWidth="1"/>
  </cols>
  <sheetData>
    <row r="1" spans="1:28" ht="21" x14ac:dyDescent="0.35">
      <c r="A1" s="77" t="s">
        <v>40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 ht="18.75" x14ac:dyDescent="0.3">
      <c r="A2" s="80" t="s">
        <v>1</v>
      </c>
      <c r="B2" s="72" t="s">
        <v>2</v>
      </c>
      <c r="C2" s="72"/>
      <c r="D2" s="72"/>
      <c r="E2" s="72"/>
      <c r="F2" s="72"/>
      <c r="G2" s="72"/>
      <c r="H2" s="70" t="s">
        <v>41</v>
      </c>
      <c r="I2" s="70"/>
      <c r="J2" s="70"/>
      <c r="K2" s="70"/>
      <c r="L2" s="70"/>
      <c r="M2" s="70"/>
      <c r="N2" s="70"/>
      <c r="O2" s="70"/>
      <c r="P2" s="70"/>
      <c r="Q2" s="70"/>
      <c r="R2" s="78" t="s">
        <v>3</v>
      </c>
      <c r="T2" s="70" t="s">
        <v>4</v>
      </c>
      <c r="U2" s="70"/>
      <c r="V2" s="70"/>
      <c r="W2" s="70"/>
      <c r="X2" s="70"/>
      <c r="Y2" s="70"/>
      <c r="Z2" s="70"/>
      <c r="AA2" s="70"/>
      <c r="AB2" s="70"/>
    </row>
    <row r="3" spans="1:28" ht="17.25" x14ac:dyDescent="0.25">
      <c r="A3" s="81"/>
      <c r="B3" s="74"/>
      <c r="C3" s="74"/>
      <c r="D3" s="74"/>
      <c r="E3" s="74"/>
      <c r="F3" s="74"/>
      <c r="G3" s="74"/>
      <c r="H3" s="76" t="s">
        <v>5</v>
      </c>
      <c r="I3" s="76"/>
      <c r="J3" s="76"/>
      <c r="K3" s="76"/>
      <c r="L3" s="6" t="s">
        <v>42</v>
      </c>
      <c r="N3" s="76" t="s">
        <v>6</v>
      </c>
      <c r="O3" s="76"/>
      <c r="P3" s="76"/>
      <c r="Q3" s="76"/>
      <c r="R3" s="79"/>
      <c r="T3" s="76" t="s">
        <v>7</v>
      </c>
      <c r="U3" s="76"/>
      <c r="V3" s="76"/>
      <c r="W3" s="76"/>
      <c r="X3" s="76"/>
      <c r="Y3" s="76" t="s">
        <v>8</v>
      </c>
      <c r="Z3" s="76"/>
      <c r="AA3" s="76"/>
      <c r="AB3" s="76"/>
    </row>
    <row r="4" spans="1:28" ht="17.25" x14ac:dyDescent="0.25">
      <c r="B4" s="7" t="s">
        <v>10</v>
      </c>
      <c r="C4" s="7" t="s">
        <v>11</v>
      </c>
      <c r="D4" s="7" t="s">
        <v>12</v>
      </c>
      <c r="E4" s="7" t="s">
        <v>13</v>
      </c>
      <c r="F4" s="7" t="s">
        <v>17</v>
      </c>
      <c r="G4" s="7" t="s">
        <v>9</v>
      </c>
      <c r="H4" s="7" t="s">
        <v>14</v>
      </c>
      <c r="I4" s="7" t="s">
        <v>15</v>
      </c>
      <c r="J4" s="7" t="s">
        <v>16</v>
      </c>
      <c r="K4" s="7" t="s">
        <v>9</v>
      </c>
      <c r="L4" s="7" t="s">
        <v>43</v>
      </c>
      <c r="M4" s="7" t="s">
        <v>44</v>
      </c>
      <c r="N4" s="7" t="s">
        <v>14</v>
      </c>
      <c r="O4" s="7" t="s">
        <v>15</v>
      </c>
      <c r="P4" s="7" t="s">
        <v>16</v>
      </c>
      <c r="Q4" s="7" t="s">
        <v>9</v>
      </c>
      <c r="T4" s="7" t="s">
        <v>10</v>
      </c>
      <c r="U4" s="7" t="s">
        <v>11</v>
      </c>
      <c r="V4" s="7" t="s">
        <v>12</v>
      </c>
      <c r="W4" s="7" t="s">
        <v>13</v>
      </c>
      <c r="X4" s="7" t="s">
        <v>17</v>
      </c>
      <c r="Y4" s="7" t="s">
        <v>45</v>
      </c>
      <c r="Z4" s="7" t="s">
        <v>46</v>
      </c>
      <c r="AA4" s="7" t="s">
        <v>16</v>
      </c>
      <c r="AB4" s="7" t="s">
        <v>47</v>
      </c>
    </row>
    <row r="5" spans="1:28" x14ac:dyDescent="0.25">
      <c r="A5" s="6" t="s">
        <v>18</v>
      </c>
      <c r="B5" s="1">
        <v>2924728</v>
      </c>
      <c r="C5" s="1">
        <v>46158</v>
      </c>
      <c r="D5" s="1">
        <v>2268</v>
      </c>
      <c r="E5" s="1">
        <v>2183</v>
      </c>
      <c r="F5" s="1">
        <v>2870628</v>
      </c>
      <c r="G5" s="1">
        <f t="shared" ref="G5:G24" si="0">SUM(B5:F5)</f>
        <v>5845965</v>
      </c>
      <c r="H5" s="1"/>
      <c r="I5" s="1"/>
      <c r="J5" s="1"/>
      <c r="K5" s="1"/>
      <c r="L5" s="2">
        <v>85.53</v>
      </c>
      <c r="M5" s="3">
        <f t="shared" ref="M5:M26" si="1">(POWER(L5,2.80327)*0.001989)*0.0022</f>
        <v>1.141056667538155</v>
      </c>
      <c r="N5" s="1"/>
      <c r="O5" s="1"/>
      <c r="P5" s="1"/>
      <c r="Q5" s="1"/>
      <c r="R5" s="1"/>
      <c r="S5" s="15"/>
      <c r="T5" s="4"/>
      <c r="U5" s="1"/>
      <c r="V5" s="1"/>
      <c r="W5" s="1"/>
      <c r="X5" s="1"/>
      <c r="Y5" s="4"/>
      <c r="Z5" s="4"/>
      <c r="AA5" s="4"/>
      <c r="AB5" s="4"/>
    </row>
    <row r="6" spans="1:28" x14ac:dyDescent="0.25">
      <c r="A6" s="6" t="s">
        <v>19</v>
      </c>
      <c r="B6" s="1">
        <v>3611944</v>
      </c>
      <c r="C6" s="1">
        <v>48337</v>
      </c>
      <c r="D6" s="1">
        <v>1855</v>
      </c>
      <c r="E6" s="1">
        <v>563</v>
      </c>
      <c r="F6" s="1">
        <v>994600</v>
      </c>
      <c r="G6" s="1">
        <f t="shared" si="0"/>
        <v>4657299</v>
      </c>
      <c r="H6" s="1"/>
      <c r="I6" s="1"/>
      <c r="J6" s="1"/>
      <c r="K6" s="1"/>
      <c r="L6" s="2">
        <v>85.07</v>
      </c>
      <c r="M6" s="3">
        <f t="shared" si="1"/>
        <v>1.1239366799035913</v>
      </c>
      <c r="N6" s="1"/>
      <c r="O6" s="1"/>
      <c r="P6" s="1"/>
      <c r="Q6" s="1"/>
      <c r="R6" s="1"/>
      <c r="S6" s="15"/>
      <c r="T6" s="4"/>
      <c r="U6" s="1"/>
      <c r="V6" s="1"/>
      <c r="W6" s="1"/>
      <c r="X6" s="1"/>
      <c r="Y6" s="4"/>
      <c r="Z6" s="4"/>
      <c r="AA6" s="4"/>
      <c r="AB6" s="4"/>
    </row>
    <row r="7" spans="1:28" x14ac:dyDescent="0.25">
      <c r="A7" s="6" t="s">
        <v>20</v>
      </c>
      <c r="B7" s="1">
        <v>4267422</v>
      </c>
      <c r="C7" s="1">
        <v>51716</v>
      </c>
      <c r="D7" s="1">
        <v>4894</v>
      </c>
      <c r="E7" s="1">
        <v>1952</v>
      </c>
      <c r="F7" s="1">
        <v>75537</v>
      </c>
      <c r="G7" s="1">
        <f t="shared" si="0"/>
        <v>4401521</v>
      </c>
      <c r="H7" s="1">
        <v>225039</v>
      </c>
      <c r="I7" s="1">
        <v>876237</v>
      </c>
      <c r="J7" s="1"/>
      <c r="K7" s="1">
        <f t="shared" ref="K7:K17" si="2">H7+I7+J7</f>
        <v>1101276</v>
      </c>
      <c r="L7" s="2">
        <v>83.82</v>
      </c>
      <c r="M7" s="3">
        <f t="shared" si="1"/>
        <v>1.0782519419174605</v>
      </c>
      <c r="N7" s="1">
        <f t="shared" ref="N7:N13" si="3">+H7*M7</f>
        <v>242648.7387571634</v>
      </c>
      <c r="O7" s="1">
        <f t="shared" ref="O7:O16" si="4">+I7*M7</f>
        <v>944804.24682992988</v>
      </c>
      <c r="P7" s="1"/>
      <c r="Q7" s="1">
        <f t="shared" ref="Q7:Q13" si="5">N7+O7+P7</f>
        <v>1187452.9855870933</v>
      </c>
      <c r="R7" s="1">
        <f t="shared" ref="R7:R17" si="6">Q7+G7</f>
        <v>5588973.985587093</v>
      </c>
      <c r="S7" s="15"/>
      <c r="T7" s="4">
        <f t="shared" ref="T7:T17" si="7">+B7/R7</f>
        <v>0.76354300646323892</v>
      </c>
      <c r="U7" s="4">
        <f t="shared" ref="U7:U17" si="8">+C7/R7</f>
        <v>9.2532189509855981E-3</v>
      </c>
      <c r="V7" s="4">
        <f t="shared" ref="V7:V17" si="9">+D7/R7</f>
        <v>8.7565267124533057E-4</v>
      </c>
      <c r="W7" s="4">
        <f t="shared" ref="W7:W17" si="10">+E7/R7</f>
        <v>3.4925909568264923E-4</v>
      </c>
      <c r="X7" s="4">
        <f t="shared" ref="X7:X17" si="11">+F7/R7</f>
        <v>1.3515360814846453E-2</v>
      </c>
      <c r="Y7" s="4">
        <f t="shared" ref="Y7:Y14" si="12">+N7/R7</f>
        <v>4.3415614276056502E-2</v>
      </c>
      <c r="Z7" s="4">
        <f t="shared" ref="Z7:Z14" si="13">+O7/R7</f>
        <v>0.16904788772794457</v>
      </c>
      <c r="AA7" s="4">
        <f t="shared" ref="AA7:AA17" si="14">+P7/R7</f>
        <v>0</v>
      </c>
      <c r="AB7" s="4">
        <f t="shared" ref="AB7:AB17" si="15">SUM(Y7:AA7)</f>
        <v>0.21246350200400108</v>
      </c>
    </row>
    <row r="8" spans="1:28" x14ac:dyDescent="0.25">
      <c r="A8" s="6" t="s">
        <v>21</v>
      </c>
      <c r="B8" s="1">
        <v>6137658</v>
      </c>
      <c r="C8" s="1">
        <v>147822</v>
      </c>
      <c r="D8" s="1">
        <v>16923</v>
      </c>
      <c r="E8" s="1">
        <v>3020</v>
      </c>
      <c r="F8" s="1">
        <v>78248</v>
      </c>
      <c r="G8" s="1">
        <f t="shared" si="0"/>
        <v>6383671</v>
      </c>
      <c r="H8" s="1">
        <v>218877.73</v>
      </c>
      <c r="I8" s="1">
        <v>855430</v>
      </c>
      <c r="J8" s="1">
        <v>50523</v>
      </c>
      <c r="K8" s="1">
        <f t="shared" si="2"/>
        <v>1124830.73</v>
      </c>
      <c r="L8" s="2">
        <v>84.1</v>
      </c>
      <c r="M8" s="3">
        <f t="shared" si="1"/>
        <v>1.0883794548587442</v>
      </c>
      <c r="N8" s="1">
        <f t="shared" si="3"/>
        <v>238222.02445811941</v>
      </c>
      <c r="O8" s="1">
        <f t="shared" si="4"/>
        <v>931032.43706981558</v>
      </c>
      <c r="P8" s="1">
        <f t="shared" ref="P8:P24" si="16">+J8*M8</f>
        <v>54988.195197828332</v>
      </c>
      <c r="Q8" s="1">
        <f t="shared" si="5"/>
        <v>1224242.6567257633</v>
      </c>
      <c r="R8" s="1">
        <f t="shared" si="6"/>
        <v>7607913.6567257633</v>
      </c>
      <c r="S8" s="15"/>
      <c r="T8" s="4">
        <f t="shared" si="7"/>
        <v>0.80674653747864422</v>
      </c>
      <c r="U8" s="4">
        <f t="shared" si="8"/>
        <v>1.9430031237186587E-2</v>
      </c>
      <c r="V8" s="4">
        <f t="shared" si="9"/>
        <v>2.2243943298487952E-3</v>
      </c>
      <c r="W8" s="4">
        <f t="shared" si="10"/>
        <v>3.9695508338612309E-4</v>
      </c>
      <c r="X8" s="4">
        <f t="shared" si="11"/>
        <v>1.028507992211833E-2</v>
      </c>
      <c r="Y8" s="4">
        <f t="shared" si="12"/>
        <v>3.1312398537478095E-2</v>
      </c>
      <c r="Z8" s="4">
        <f t="shared" si="13"/>
        <v>0.12237684062656756</v>
      </c>
      <c r="AA8" s="4">
        <f t="shared" si="14"/>
        <v>7.2277627847703177E-3</v>
      </c>
      <c r="AB8" s="4">
        <f t="shared" si="15"/>
        <v>0.16091700194881597</v>
      </c>
    </row>
    <row r="9" spans="1:28" x14ac:dyDescent="0.25">
      <c r="A9" s="6" t="s">
        <v>22</v>
      </c>
      <c r="B9" s="1">
        <v>6018796</v>
      </c>
      <c r="C9" s="1">
        <v>176795</v>
      </c>
      <c r="D9" s="1">
        <v>15674</v>
      </c>
      <c r="E9" s="1">
        <v>982</v>
      </c>
      <c r="F9" s="1">
        <v>32935</v>
      </c>
      <c r="G9" s="1">
        <f t="shared" si="0"/>
        <v>6245182</v>
      </c>
      <c r="H9" s="1">
        <v>141008</v>
      </c>
      <c r="I9" s="1">
        <v>966128</v>
      </c>
      <c r="J9" s="1">
        <v>43298</v>
      </c>
      <c r="K9" s="1">
        <f t="shared" si="2"/>
        <v>1150434</v>
      </c>
      <c r="L9" s="2">
        <v>85.87</v>
      </c>
      <c r="M9" s="3">
        <f t="shared" si="1"/>
        <v>1.1538177657067339</v>
      </c>
      <c r="N9" s="1">
        <f t="shared" si="3"/>
        <v>162697.53550677514</v>
      </c>
      <c r="O9" s="1">
        <f t="shared" si="4"/>
        <v>1114735.6503467155</v>
      </c>
      <c r="P9" s="1">
        <f t="shared" si="16"/>
        <v>49958.001619570161</v>
      </c>
      <c r="Q9" s="1">
        <f t="shared" si="5"/>
        <v>1327391.1874730608</v>
      </c>
      <c r="R9" s="1">
        <f t="shared" si="6"/>
        <v>7572573.1874730606</v>
      </c>
      <c r="S9" s="15"/>
      <c r="T9" s="4">
        <f t="shared" si="7"/>
        <v>0.79481516401275609</v>
      </c>
      <c r="U9" s="4">
        <f t="shared" si="8"/>
        <v>2.3346753556963092E-2</v>
      </c>
      <c r="V9" s="4">
        <f t="shared" si="9"/>
        <v>2.0698380341742668E-3</v>
      </c>
      <c r="W9" s="4">
        <f t="shared" si="10"/>
        <v>1.2967850896766173E-4</v>
      </c>
      <c r="X9" s="4">
        <f t="shared" si="11"/>
        <v>4.3492481597249884E-3</v>
      </c>
      <c r="Y9" s="4">
        <f t="shared" si="12"/>
        <v>2.1485105720195317E-2</v>
      </c>
      <c r="Z9" s="4">
        <f t="shared" si="13"/>
        <v>0.14720698271900079</v>
      </c>
      <c r="AA9" s="4">
        <f t="shared" si="14"/>
        <v>6.5972292882178086E-3</v>
      </c>
      <c r="AB9" s="4">
        <f t="shared" si="15"/>
        <v>0.17528931772741393</v>
      </c>
    </row>
    <row r="10" spans="1:28" x14ac:dyDescent="0.25">
      <c r="A10" s="6" t="s">
        <v>23</v>
      </c>
      <c r="B10" s="1">
        <v>6730478</v>
      </c>
      <c r="C10" s="1">
        <v>198103</v>
      </c>
      <c r="D10" s="1">
        <v>26365</v>
      </c>
      <c r="E10" s="1">
        <v>1295</v>
      </c>
      <c r="F10" s="1">
        <v>51401</v>
      </c>
      <c r="G10" s="1">
        <f t="shared" si="0"/>
        <v>7007642</v>
      </c>
      <c r="H10" s="1">
        <v>252959</v>
      </c>
      <c r="I10" s="1">
        <v>923832</v>
      </c>
      <c r="J10" s="1">
        <v>36169</v>
      </c>
      <c r="K10" s="1">
        <f t="shared" si="2"/>
        <v>1212960</v>
      </c>
      <c r="L10" s="2">
        <v>83.89</v>
      </c>
      <c r="M10" s="3">
        <f t="shared" si="1"/>
        <v>1.0807781116374797</v>
      </c>
      <c r="N10" s="1">
        <f t="shared" si="3"/>
        <v>273392.55034170521</v>
      </c>
      <c r="O10" s="1">
        <f t="shared" si="4"/>
        <v>998457.40443027613</v>
      </c>
      <c r="P10" s="1">
        <f t="shared" si="16"/>
        <v>39090.663519816007</v>
      </c>
      <c r="Q10" s="1">
        <f t="shared" si="5"/>
        <v>1310940.6182917973</v>
      </c>
      <c r="R10" s="1">
        <f t="shared" si="6"/>
        <v>8318582.6182917971</v>
      </c>
      <c r="S10" s="15"/>
      <c r="T10" s="4">
        <f t="shared" si="7"/>
        <v>0.80908951787054428</v>
      </c>
      <c r="U10" s="4">
        <f t="shared" si="8"/>
        <v>2.3814513732710877E-2</v>
      </c>
      <c r="V10" s="4">
        <f t="shared" si="9"/>
        <v>3.1694101278775294E-3</v>
      </c>
      <c r="W10" s="4">
        <f t="shared" si="10"/>
        <v>1.5567555909734121E-4</v>
      </c>
      <c r="X10" s="4">
        <f t="shared" si="11"/>
        <v>6.1790574619014944E-3</v>
      </c>
      <c r="Y10" s="4">
        <f t="shared" si="12"/>
        <v>3.2865280407330472E-2</v>
      </c>
      <c r="Z10" s="4">
        <f t="shared" si="13"/>
        <v>0.12002734723518406</v>
      </c>
      <c r="AA10" s="4">
        <f t="shared" si="14"/>
        <v>4.699197605353974E-3</v>
      </c>
      <c r="AB10" s="4">
        <f t="shared" si="15"/>
        <v>0.15759182524786852</v>
      </c>
    </row>
    <row r="11" spans="1:28" x14ac:dyDescent="0.25">
      <c r="A11" s="6" t="s">
        <v>24</v>
      </c>
      <c r="B11" s="1">
        <v>6631978</v>
      </c>
      <c r="C11" s="1">
        <v>268531</v>
      </c>
      <c r="D11" s="1">
        <v>21008</v>
      </c>
      <c r="E11" s="1">
        <v>7967</v>
      </c>
      <c r="F11" s="1">
        <v>51198</v>
      </c>
      <c r="G11" s="1">
        <f t="shared" si="0"/>
        <v>6980682</v>
      </c>
      <c r="H11" s="1">
        <v>315370</v>
      </c>
      <c r="I11" s="1">
        <v>1208463</v>
      </c>
      <c r="J11" s="1">
        <v>33677</v>
      </c>
      <c r="K11" s="1">
        <f t="shared" si="2"/>
        <v>1557510</v>
      </c>
      <c r="L11" s="2">
        <v>83.15</v>
      </c>
      <c r="M11" s="3">
        <f t="shared" si="1"/>
        <v>1.0542648413180753</v>
      </c>
      <c r="N11" s="1">
        <f t="shared" si="3"/>
        <v>332483.50300648139</v>
      </c>
      <c r="O11" s="1">
        <f t="shared" si="4"/>
        <v>1274040.0529337653</v>
      </c>
      <c r="P11" s="1">
        <f t="shared" si="16"/>
        <v>35504.477061068821</v>
      </c>
      <c r="Q11" s="1">
        <f t="shared" si="5"/>
        <v>1642028.0330013155</v>
      </c>
      <c r="R11" s="1">
        <f t="shared" si="6"/>
        <v>8622710.0330013148</v>
      </c>
      <c r="S11" s="15"/>
      <c r="T11" s="4">
        <f t="shared" si="7"/>
        <v>0.76912919193823348</v>
      </c>
      <c r="U11" s="4">
        <f t="shared" si="8"/>
        <v>3.114229737197044E-2</v>
      </c>
      <c r="V11" s="4">
        <f t="shared" si="9"/>
        <v>2.4363570060453171E-3</v>
      </c>
      <c r="W11" s="4">
        <f t="shared" si="10"/>
        <v>9.2395545826175934E-4</v>
      </c>
      <c r="X11" s="4">
        <f t="shared" si="11"/>
        <v>5.937576446853967E-3</v>
      </c>
      <c r="Y11" s="4">
        <f t="shared" si="12"/>
        <v>3.855904950230056E-2</v>
      </c>
      <c r="Z11" s="4">
        <f t="shared" si="13"/>
        <v>0.14775401794304674</v>
      </c>
      <c r="AA11" s="4">
        <f t="shared" si="14"/>
        <v>4.1175543332878078E-3</v>
      </c>
      <c r="AB11" s="4">
        <f t="shared" si="15"/>
        <v>0.19043062177863512</v>
      </c>
    </row>
    <row r="12" spans="1:28" x14ac:dyDescent="0.25">
      <c r="A12" s="6" t="s">
        <v>25</v>
      </c>
      <c r="B12" s="1">
        <v>4645348</v>
      </c>
      <c r="C12" s="1">
        <v>218830</v>
      </c>
      <c r="D12" s="1">
        <v>9629</v>
      </c>
      <c r="E12" s="1">
        <v>2155</v>
      </c>
      <c r="F12" s="1">
        <v>34125</v>
      </c>
      <c r="G12" s="1">
        <f t="shared" si="0"/>
        <v>4910087</v>
      </c>
      <c r="H12" s="1">
        <v>161730</v>
      </c>
      <c r="I12" s="1">
        <v>609437</v>
      </c>
      <c r="J12" s="1">
        <v>30025</v>
      </c>
      <c r="K12" s="1">
        <f t="shared" si="2"/>
        <v>801192</v>
      </c>
      <c r="L12" s="2">
        <v>84.4</v>
      </c>
      <c r="M12" s="3">
        <f t="shared" si="1"/>
        <v>1.0992980416622684</v>
      </c>
      <c r="N12" s="1">
        <f t="shared" si="3"/>
        <v>177789.47227803868</v>
      </c>
      <c r="O12" s="1">
        <f t="shared" si="4"/>
        <v>669952.90061652788</v>
      </c>
      <c r="P12" s="1">
        <f t="shared" si="16"/>
        <v>33006.42370090961</v>
      </c>
      <c r="Q12" s="1">
        <f t="shared" si="5"/>
        <v>880748.7965954761</v>
      </c>
      <c r="R12" s="1">
        <f t="shared" si="6"/>
        <v>5790835.7965954766</v>
      </c>
      <c r="S12" s="15"/>
      <c r="T12" s="4">
        <f t="shared" si="7"/>
        <v>0.80218955659752489</v>
      </c>
      <c r="U12" s="4">
        <f t="shared" si="8"/>
        <v>3.7789018319022892E-2</v>
      </c>
      <c r="V12" s="4">
        <f t="shared" si="9"/>
        <v>1.6627996956261547E-3</v>
      </c>
      <c r="W12" s="4">
        <f t="shared" si="10"/>
        <v>3.7213971794312635E-4</v>
      </c>
      <c r="X12" s="4">
        <f t="shared" si="11"/>
        <v>5.8929317284497386E-3</v>
      </c>
      <c r="Y12" s="4">
        <f t="shared" si="12"/>
        <v>3.0701867316383569E-2</v>
      </c>
      <c r="Z12" s="4">
        <f t="shared" si="13"/>
        <v>0.11569191808381162</v>
      </c>
      <c r="AA12" s="4">
        <f t="shared" si="14"/>
        <v>5.6997685412379685E-3</v>
      </c>
      <c r="AB12" s="4">
        <f t="shared" si="15"/>
        <v>0.15209355394143315</v>
      </c>
    </row>
    <row r="13" spans="1:28" x14ac:dyDescent="0.25">
      <c r="A13" s="6" t="s">
        <v>26</v>
      </c>
      <c r="B13" s="1">
        <v>6377468</v>
      </c>
      <c r="C13" s="1">
        <v>375031</v>
      </c>
      <c r="D13" s="1">
        <v>9155</v>
      </c>
      <c r="E13" s="1">
        <v>5866</v>
      </c>
      <c r="F13" s="1">
        <v>47999</v>
      </c>
      <c r="G13" s="1">
        <f t="shared" si="0"/>
        <v>6815519</v>
      </c>
      <c r="H13" s="1">
        <v>369803</v>
      </c>
      <c r="I13" s="1">
        <v>1058893</v>
      </c>
      <c r="J13" s="1">
        <v>36127</v>
      </c>
      <c r="K13" s="1">
        <f t="shared" si="2"/>
        <v>1464823</v>
      </c>
      <c r="L13" s="2">
        <v>83.7</v>
      </c>
      <c r="M13" s="3">
        <f t="shared" si="1"/>
        <v>1.0739302079790543</v>
      </c>
      <c r="N13" s="1">
        <f t="shared" si="3"/>
        <v>397142.61270127818</v>
      </c>
      <c r="O13" s="1">
        <f t="shared" si="4"/>
        <v>1137177.1797175647</v>
      </c>
      <c r="P13" s="1">
        <f t="shared" si="16"/>
        <v>38797.876623659293</v>
      </c>
      <c r="Q13" s="1">
        <f t="shared" si="5"/>
        <v>1573117.6690425023</v>
      </c>
      <c r="R13" s="1">
        <f t="shared" si="6"/>
        <v>8388636.6690425016</v>
      </c>
      <c r="S13" s="15"/>
      <c r="T13" s="4">
        <f t="shared" si="7"/>
        <v>0.76025083116729375</v>
      </c>
      <c r="U13" s="4">
        <f t="shared" si="8"/>
        <v>4.4707026278062285E-2</v>
      </c>
      <c r="V13" s="4">
        <f t="shared" si="9"/>
        <v>1.0913573159969715E-3</v>
      </c>
      <c r="W13" s="4">
        <f t="shared" si="10"/>
        <v>6.9927930263661772E-4</v>
      </c>
      <c r="X13" s="4">
        <f t="shared" si="11"/>
        <v>5.7219071338654986E-3</v>
      </c>
      <c r="Y13" s="4">
        <f t="shared" si="12"/>
        <v>4.7342926910507017E-2</v>
      </c>
      <c r="Z13" s="4">
        <f t="shared" si="13"/>
        <v>0.13556162038990358</v>
      </c>
      <c r="AA13" s="4">
        <f t="shared" si="14"/>
        <v>4.6250515017344021E-3</v>
      </c>
      <c r="AB13" s="4">
        <f t="shared" si="15"/>
        <v>0.18752959880214498</v>
      </c>
    </row>
    <row r="14" spans="1:28" x14ac:dyDescent="0.25">
      <c r="A14" s="6" t="s">
        <v>27</v>
      </c>
      <c r="B14" s="1">
        <v>4459174</v>
      </c>
      <c r="C14" s="1">
        <v>431721</v>
      </c>
      <c r="D14" s="1">
        <v>8721</v>
      </c>
      <c r="E14" s="1">
        <v>3047</v>
      </c>
      <c r="F14" s="1">
        <v>54497</v>
      </c>
      <c r="G14" s="1">
        <f t="shared" si="0"/>
        <v>4957160</v>
      </c>
      <c r="H14" s="1">
        <v>246990</v>
      </c>
      <c r="I14" s="1">
        <v>905709.41589874879</v>
      </c>
      <c r="J14" s="1">
        <v>25177</v>
      </c>
      <c r="K14" s="1">
        <f t="shared" si="2"/>
        <v>1177876.4158987487</v>
      </c>
      <c r="L14" s="2">
        <v>83.3</v>
      </c>
      <c r="M14" s="3">
        <f t="shared" si="1"/>
        <v>1.0596049465376483</v>
      </c>
      <c r="N14" s="1">
        <f>H14*M14</f>
        <v>261711.82574533374</v>
      </c>
      <c r="O14" s="1">
        <f t="shared" si="4"/>
        <v>959694.17721203831</v>
      </c>
      <c r="P14" s="1">
        <f t="shared" si="16"/>
        <v>26677.67373897837</v>
      </c>
      <c r="Q14" s="1">
        <f>(N14+O14+P14)</f>
        <v>1248083.6766963503</v>
      </c>
      <c r="R14" s="1">
        <f t="shared" si="6"/>
        <v>6205243.6766963508</v>
      </c>
      <c r="S14" s="15"/>
      <c r="T14" s="4">
        <f t="shared" si="7"/>
        <v>0.71861384215197299</v>
      </c>
      <c r="U14" s="4">
        <f t="shared" si="8"/>
        <v>6.9573577202345527E-2</v>
      </c>
      <c r="V14" s="4">
        <f t="shared" si="9"/>
        <v>1.4054242596066796E-3</v>
      </c>
      <c r="W14" s="4">
        <f t="shared" si="10"/>
        <v>4.910363168239368E-4</v>
      </c>
      <c r="X14" s="4">
        <f t="shared" si="11"/>
        <v>8.7824109478024572E-3</v>
      </c>
      <c r="Y14" s="4">
        <f t="shared" si="12"/>
        <v>4.2175914336480685E-2</v>
      </c>
      <c r="Z14" s="4">
        <f t="shared" si="13"/>
        <v>0.15465858026110202</v>
      </c>
      <c r="AA14" s="4">
        <f t="shared" si="14"/>
        <v>4.2992145238656392E-3</v>
      </c>
      <c r="AB14" s="4">
        <f t="shared" si="15"/>
        <v>0.20113370912144835</v>
      </c>
    </row>
    <row r="15" spans="1:28" x14ac:dyDescent="0.25">
      <c r="A15" s="6" t="s">
        <v>28</v>
      </c>
      <c r="B15" s="1">
        <v>2338457</v>
      </c>
      <c r="C15" s="1">
        <v>248317.2</v>
      </c>
      <c r="D15" s="1">
        <v>7730</v>
      </c>
      <c r="E15" s="1">
        <v>12323.6</v>
      </c>
      <c r="F15" s="1">
        <v>267</v>
      </c>
      <c r="G15" s="1">
        <f t="shared" si="0"/>
        <v>2607094.8000000003</v>
      </c>
      <c r="H15" s="1">
        <v>170122</v>
      </c>
      <c r="I15" s="1">
        <v>471658.8289486405</v>
      </c>
      <c r="J15" s="1">
        <v>13847</v>
      </c>
      <c r="K15" s="1">
        <f t="shared" si="2"/>
        <v>655627.8289486405</v>
      </c>
      <c r="L15" s="2">
        <v>85.1</v>
      </c>
      <c r="M15" s="3">
        <f t="shared" si="1"/>
        <v>1.1250481292538941</v>
      </c>
      <c r="N15" s="1">
        <f>H15*M15</f>
        <v>191395.43784493097</v>
      </c>
      <c r="O15" s="1">
        <f t="shared" si="4"/>
        <v>530638.88315475045</v>
      </c>
      <c r="P15" s="1">
        <f t="shared" si="16"/>
        <v>15578.541445778672</v>
      </c>
      <c r="Q15" s="1">
        <f>(N15+O15+P15)</f>
        <v>737612.86244546017</v>
      </c>
      <c r="R15" s="1">
        <f t="shared" si="6"/>
        <v>3344707.6624454604</v>
      </c>
      <c r="S15" s="15"/>
      <c r="T15" s="4">
        <f t="shared" si="7"/>
        <v>0.69915138660885323</v>
      </c>
      <c r="U15" s="4">
        <f t="shared" si="8"/>
        <v>7.4241824715540181E-2</v>
      </c>
      <c r="V15" s="4">
        <f t="shared" si="9"/>
        <v>2.3111137893433303E-3</v>
      </c>
      <c r="W15" s="4">
        <f t="shared" si="10"/>
        <v>3.684507360200707E-3</v>
      </c>
      <c r="X15" s="4">
        <f t="shared" si="11"/>
        <v>7.9827604366710113E-5</v>
      </c>
      <c r="Y15" s="4">
        <f>+H15/R15</f>
        <v>5.0863040112634671E-2</v>
      </c>
      <c r="Z15" s="4">
        <f>+I15/R15</f>
        <v>0.14101645840216431</v>
      </c>
      <c r="AA15" s="4">
        <f t="shared" si="14"/>
        <v>4.6576690754457526E-3</v>
      </c>
      <c r="AB15" s="4">
        <f t="shared" si="15"/>
        <v>0.19653716759024475</v>
      </c>
    </row>
    <row r="16" spans="1:28" x14ac:dyDescent="0.25">
      <c r="A16" s="6" t="s">
        <v>29</v>
      </c>
      <c r="B16" s="1">
        <v>3719242</v>
      </c>
      <c r="C16" s="1">
        <v>413387</v>
      </c>
      <c r="D16" s="1">
        <v>17167</v>
      </c>
      <c r="E16" s="1">
        <v>3345</v>
      </c>
      <c r="F16" s="1">
        <v>421</v>
      </c>
      <c r="G16" s="1">
        <f t="shared" si="0"/>
        <v>4153562</v>
      </c>
      <c r="H16" s="1">
        <v>217257</v>
      </c>
      <c r="I16" s="1">
        <v>616649.63163369626</v>
      </c>
      <c r="J16" s="1">
        <v>25834</v>
      </c>
      <c r="K16" s="1">
        <f t="shared" si="2"/>
        <v>859740.63163369626</v>
      </c>
      <c r="L16" s="2">
        <v>84.9</v>
      </c>
      <c r="M16" s="3">
        <f t="shared" si="1"/>
        <v>1.1176518074200168</v>
      </c>
      <c r="N16" s="1">
        <f>H16*M16</f>
        <v>242817.67872465058</v>
      </c>
      <c r="O16" s="1">
        <f t="shared" si="4"/>
        <v>689199.57534028823</v>
      </c>
      <c r="P16" s="1">
        <f t="shared" si="16"/>
        <v>28873.416792888715</v>
      </c>
      <c r="Q16" s="1">
        <f>(N16+O16+P16)</f>
        <v>960890.67085782741</v>
      </c>
      <c r="R16" s="1">
        <f t="shared" si="6"/>
        <v>5114452.6708578272</v>
      </c>
      <c r="S16" s="15"/>
      <c r="T16" s="4">
        <f t="shared" si="7"/>
        <v>0.72720234976310494</v>
      </c>
      <c r="U16" s="4">
        <f t="shared" si="8"/>
        <v>8.0827221719242975E-2</v>
      </c>
      <c r="V16" s="4">
        <f t="shared" si="9"/>
        <v>3.3565664020741921E-3</v>
      </c>
      <c r="W16" s="4">
        <f t="shared" si="10"/>
        <v>6.5402892846380689E-4</v>
      </c>
      <c r="X16" s="4">
        <f t="shared" si="11"/>
        <v>8.2315748545071062E-5</v>
      </c>
      <c r="Y16" s="4">
        <f>+H16/R16</f>
        <v>4.2479032260466752E-2</v>
      </c>
      <c r="Z16" s="4">
        <f>+I16/R16</f>
        <v>0.12057001429446565</v>
      </c>
      <c r="AA16" s="4">
        <f t="shared" si="14"/>
        <v>5.6454558583383836E-3</v>
      </c>
      <c r="AB16" s="4">
        <f t="shared" si="15"/>
        <v>0.1686945024132708</v>
      </c>
    </row>
    <row r="17" spans="1:28" x14ac:dyDescent="0.25">
      <c r="A17" s="6" t="s">
        <v>30</v>
      </c>
      <c r="B17" s="1">
        <v>3447303</v>
      </c>
      <c r="C17" s="1">
        <v>282701</v>
      </c>
      <c r="D17" s="1">
        <v>20398</v>
      </c>
      <c r="E17" s="1">
        <v>711</v>
      </c>
      <c r="F17" s="1">
        <v>84</v>
      </c>
      <c r="G17" s="1">
        <f t="shared" si="0"/>
        <v>3751197</v>
      </c>
      <c r="H17" s="1">
        <v>214575</v>
      </c>
      <c r="I17" s="1">
        <v>520087.46564731514</v>
      </c>
      <c r="J17" s="1">
        <v>22483</v>
      </c>
      <c r="K17" s="1">
        <f t="shared" si="2"/>
        <v>757145.46564731514</v>
      </c>
      <c r="L17" s="2">
        <v>85.51</v>
      </c>
      <c r="M17" s="3">
        <f t="shared" si="1"/>
        <v>1.1403088561102344</v>
      </c>
      <c r="N17" s="1">
        <f>H17*M17</f>
        <v>244681.77279985353</v>
      </c>
      <c r="O17" s="1">
        <f>I17*M17</f>
        <v>593060.34302956075</v>
      </c>
      <c r="P17" s="1">
        <f t="shared" si="16"/>
        <v>25637.564011926399</v>
      </c>
      <c r="Q17" s="1">
        <f>(N17+O17+P17)</f>
        <v>863379.67984134064</v>
      </c>
      <c r="R17" s="1">
        <f t="shared" si="6"/>
        <v>4614576.6798413405</v>
      </c>
      <c r="S17" s="15"/>
      <c r="T17" s="4">
        <f t="shared" si="7"/>
        <v>0.74704642249406206</v>
      </c>
      <c r="U17" s="4">
        <f t="shared" si="8"/>
        <v>6.1262607518252334E-2</v>
      </c>
      <c r="V17" s="4">
        <f t="shared" si="9"/>
        <v>4.4203404592035797E-3</v>
      </c>
      <c r="W17" s="4">
        <f t="shared" si="10"/>
        <v>1.5407697159004535E-4</v>
      </c>
      <c r="X17" s="4">
        <f t="shared" si="11"/>
        <v>1.8203186516967383E-5</v>
      </c>
      <c r="Y17" s="4">
        <f>+H17/R17</f>
        <v>4.6499389843788999E-2</v>
      </c>
      <c r="Z17" s="4">
        <f>+I17/R17</f>
        <v>0.11270534693232076</v>
      </c>
      <c r="AA17" s="4">
        <f t="shared" si="14"/>
        <v>5.5557780898784145E-3</v>
      </c>
      <c r="AB17" s="4">
        <f t="shared" si="15"/>
        <v>0.16476051486598817</v>
      </c>
    </row>
    <row r="18" spans="1:28" x14ac:dyDescent="0.25">
      <c r="A18" s="6" t="s">
        <v>31</v>
      </c>
      <c r="B18" s="1">
        <v>4729214</v>
      </c>
      <c r="C18" s="1">
        <v>207130.5</v>
      </c>
      <c r="D18" s="1">
        <v>31053</v>
      </c>
      <c r="E18" s="1">
        <v>301</v>
      </c>
      <c r="F18" s="1">
        <v>424</v>
      </c>
      <c r="G18" s="1">
        <f t="shared" si="0"/>
        <v>4968122.5</v>
      </c>
      <c r="H18" s="10" t="s">
        <v>49</v>
      </c>
      <c r="I18" s="10" t="s">
        <v>49</v>
      </c>
      <c r="J18" s="1">
        <v>21247</v>
      </c>
      <c r="K18" s="9">
        <f>+AVERAGE(K15:K17,K20:K26)</f>
        <v>747607.25102434866</v>
      </c>
      <c r="L18">
        <v>83.4</v>
      </c>
      <c r="M18" s="3">
        <f t="shared" si="1"/>
        <v>1.0631746642966091</v>
      </c>
      <c r="N18" s="1"/>
      <c r="O18" s="1"/>
      <c r="P18" s="1">
        <f t="shared" si="16"/>
        <v>22589.272092310053</v>
      </c>
      <c r="Q18" s="1"/>
      <c r="R18" s="1"/>
      <c r="S18" s="15"/>
      <c r="T18" s="4"/>
      <c r="U18" s="4"/>
      <c r="V18" s="4"/>
      <c r="W18" s="4"/>
      <c r="X18" s="4"/>
      <c r="Y18" s="4"/>
      <c r="Z18" s="4"/>
      <c r="AA18" s="4"/>
      <c r="AB18" s="4"/>
    </row>
    <row r="19" spans="1:28" x14ac:dyDescent="0.25">
      <c r="A19" s="6" t="s">
        <v>32</v>
      </c>
      <c r="B19" s="1">
        <v>2462617</v>
      </c>
      <c r="C19" s="1">
        <v>164511.5</v>
      </c>
      <c r="D19" s="1">
        <v>13194.2</v>
      </c>
      <c r="E19" s="1">
        <v>909.15</v>
      </c>
      <c r="F19" s="1">
        <v>5</v>
      </c>
      <c r="G19" s="1">
        <f t="shared" si="0"/>
        <v>2641236.85</v>
      </c>
      <c r="H19" s="1">
        <v>222892</v>
      </c>
      <c r="I19" s="1">
        <v>413117.44713156082</v>
      </c>
      <c r="J19" s="1">
        <v>13022</v>
      </c>
      <c r="K19" s="1">
        <f t="shared" ref="K19:K26" si="17">H19+I19+J19</f>
        <v>649031.44713156088</v>
      </c>
      <c r="L19" s="2">
        <v>83.23</v>
      </c>
      <c r="M19" s="3">
        <f t="shared" si="1"/>
        <v>1.0571107375511355</v>
      </c>
      <c r="N19" s="1">
        <f t="shared" ref="N19:N26" si="18">H19*M19</f>
        <v>235621.5265142477</v>
      </c>
      <c r="O19" s="1">
        <f t="shared" ref="O19:O26" si="19">I19*M19</f>
        <v>436710.88923248649</v>
      </c>
      <c r="P19" s="1">
        <f t="shared" si="16"/>
        <v>13765.696024390887</v>
      </c>
      <c r="Q19" s="1">
        <f t="shared" ref="Q19:Q26" si="20">N19+O19+P19</f>
        <v>686098.11177112511</v>
      </c>
      <c r="R19" s="1">
        <f t="shared" ref="R19:R25" si="21">Q19+G19</f>
        <v>3327334.961771125</v>
      </c>
      <c r="S19" s="15"/>
      <c r="T19" s="4">
        <f t="shared" ref="T19:T25" si="22">+B19/R19</f>
        <v>0.74011694893776503</v>
      </c>
      <c r="U19" s="4">
        <f t="shared" ref="U19:U25" si="23">+C19/R19</f>
        <v>4.9442422205797788E-2</v>
      </c>
      <c r="V19" s="4">
        <f t="shared" ref="V19:V25" si="24">+D19/R19</f>
        <v>3.965395775175214E-3</v>
      </c>
      <c r="W19" s="4">
        <f t="shared" ref="W19:W25" si="25">+E19/R19</f>
        <v>2.7323669256192458E-4</v>
      </c>
      <c r="X19" s="4">
        <f t="shared" ref="X19:X25" si="26">+F19/R19</f>
        <v>1.5027041333219194E-6</v>
      </c>
      <c r="Y19" s="4">
        <f t="shared" ref="Y19:Y24" si="27">+H19/R19</f>
        <v>6.6988145936877852E-2</v>
      </c>
      <c r="Z19" s="4">
        <f t="shared" ref="Z19:Z24" si="28">+I19/R19</f>
        <v>0.12415865907039919</v>
      </c>
      <c r="AA19" s="4">
        <f t="shared" ref="AA19:AA24" si="29">+P19/R19</f>
        <v>4.1371536627810594E-3</v>
      </c>
      <c r="AB19" s="4">
        <f t="shared" ref="AB19:AB24" si="30">SUM(Y19:AA19)</f>
        <v>0.1952839586700581</v>
      </c>
    </row>
    <row r="20" spans="1:28" x14ac:dyDescent="0.25">
      <c r="A20" s="6" t="s">
        <v>33</v>
      </c>
      <c r="B20" s="1">
        <v>4192226</v>
      </c>
      <c r="C20" s="1">
        <v>146922.79999999999</v>
      </c>
      <c r="D20" s="1">
        <v>27008.5</v>
      </c>
      <c r="E20" s="1">
        <v>2306.6</v>
      </c>
      <c r="F20" s="1">
        <v>408.5</v>
      </c>
      <c r="G20" s="1">
        <f t="shared" si="0"/>
        <v>4368872.3999999994</v>
      </c>
      <c r="H20" s="1">
        <v>189895</v>
      </c>
      <c r="I20" s="1">
        <v>478069.16891955194</v>
      </c>
      <c r="J20" s="1">
        <v>10862</v>
      </c>
      <c r="K20" s="1">
        <f t="shared" si="17"/>
        <v>678826.16891955188</v>
      </c>
      <c r="L20" s="2">
        <v>85.69</v>
      </c>
      <c r="M20" s="3">
        <f t="shared" si="1"/>
        <v>1.1470505181872579</v>
      </c>
      <c r="N20" s="1">
        <f t="shared" si="18"/>
        <v>217819.15815116934</v>
      </c>
      <c r="O20" s="1">
        <f t="shared" si="19"/>
        <v>548369.48793852376</v>
      </c>
      <c r="P20" s="1">
        <f t="shared" si="16"/>
        <v>12459.262728549995</v>
      </c>
      <c r="Q20" s="1">
        <f t="shared" si="20"/>
        <v>778647.90881824307</v>
      </c>
      <c r="R20" s="1">
        <f t="shared" si="21"/>
        <v>5147520.3088182425</v>
      </c>
      <c r="S20" s="15"/>
      <c r="T20" s="4">
        <f t="shared" si="22"/>
        <v>0.81441660226542023</v>
      </c>
      <c r="U20" s="4">
        <f t="shared" si="23"/>
        <v>2.8542442027534271E-2</v>
      </c>
      <c r="V20" s="4">
        <f t="shared" si="24"/>
        <v>5.2468952776605089E-3</v>
      </c>
      <c r="W20" s="4">
        <f t="shared" si="25"/>
        <v>4.4809925199295513E-4</v>
      </c>
      <c r="X20" s="4">
        <f t="shared" si="26"/>
        <v>7.9358598993810019E-5</v>
      </c>
      <c r="Y20" s="4">
        <f t="shared" si="27"/>
        <v>3.6890578105090707E-2</v>
      </c>
      <c r="Z20" s="4">
        <f t="shared" si="28"/>
        <v>9.2873682907198885E-2</v>
      </c>
      <c r="AA20" s="4">
        <f t="shared" si="29"/>
        <v>2.4204397420649259E-3</v>
      </c>
      <c r="AB20" s="4">
        <f t="shared" si="30"/>
        <v>0.13218470075435454</v>
      </c>
    </row>
    <row r="21" spans="1:28" x14ac:dyDescent="0.25">
      <c r="A21" s="6" t="s">
        <v>34</v>
      </c>
      <c r="B21" s="1">
        <v>3176535.7</v>
      </c>
      <c r="C21" s="1">
        <v>196377.05</v>
      </c>
      <c r="D21" s="1">
        <v>13689.95</v>
      </c>
      <c r="E21" s="1">
        <v>3.65</v>
      </c>
      <c r="F21" s="1">
        <v>575.70000000000005</v>
      </c>
      <c r="G21" s="1">
        <f t="shared" si="0"/>
        <v>3387182.0500000003</v>
      </c>
      <c r="H21" s="1">
        <v>235311</v>
      </c>
      <c r="I21" s="1">
        <v>517867.83846219664</v>
      </c>
      <c r="J21" s="1">
        <v>10827</v>
      </c>
      <c r="K21" s="1">
        <f t="shared" si="17"/>
        <v>764005.83846219664</v>
      </c>
      <c r="L21" s="2">
        <v>84.9</v>
      </c>
      <c r="M21" s="3">
        <f t="shared" si="1"/>
        <v>1.1176518074200168</v>
      </c>
      <c r="N21" s="1">
        <f t="shared" si="18"/>
        <v>262995.76445581159</v>
      </c>
      <c r="O21" s="1">
        <f t="shared" si="19"/>
        <v>578795.92566197133</v>
      </c>
      <c r="P21" s="1">
        <f t="shared" si="16"/>
        <v>12100.816118936522</v>
      </c>
      <c r="Q21" s="1">
        <f t="shared" si="20"/>
        <v>853892.50623671943</v>
      </c>
      <c r="R21" s="1">
        <f t="shared" si="21"/>
        <v>4241074.5562367197</v>
      </c>
      <c r="S21" s="15"/>
      <c r="T21" s="4">
        <f t="shared" si="22"/>
        <v>0.74899312848172872</v>
      </c>
      <c r="U21" s="4">
        <f t="shared" si="23"/>
        <v>4.6303607115611156E-2</v>
      </c>
      <c r="V21" s="4">
        <f t="shared" si="24"/>
        <v>3.2279437247497147E-3</v>
      </c>
      <c r="W21" s="4">
        <f t="shared" si="25"/>
        <v>8.6063094425739011E-7</v>
      </c>
      <c r="X21" s="4">
        <f t="shared" si="26"/>
        <v>1.3574389989287112E-4</v>
      </c>
      <c r="Y21" s="4">
        <f t="shared" si="27"/>
        <v>5.5483815924424862E-2</v>
      </c>
      <c r="Z21" s="4">
        <f t="shared" si="28"/>
        <v>0.12210769501815175</v>
      </c>
      <c r="AA21" s="4">
        <f t="shared" si="29"/>
        <v>2.8532429596507909E-3</v>
      </c>
      <c r="AB21" s="4">
        <f t="shared" si="30"/>
        <v>0.18044475390222739</v>
      </c>
    </row>
    <row r="22" spans="1:28" x14ac:dyDescent="0.25">
      <c r="A22" s="6" t="s">
        <v>35</v>
      </c>
      <c r="B22" s="1">
        <v>2594491</v>
      </c>
      <c r="C22" s="1">
        <v>140778</v>
      </c>
      <c r="D22" s="1">
        <v>11494.71</v>
      </c>
      <c r="E22" s="1">
        <v>174</v>
      </c>
      <c r="F22" s="1">
        <v>406.1</v>
      </c>
      <c r="G22" s="1">
        <f t="shared" si="0"/>
        <v>2747343.81</v>
      </c>
      <c r="H22" s="1">
        <v>252837</v>
      </c>
      <c r="I22" s="1">
        <v>468298.77359670843</v>
      </c>
      <c r="J22" s="1">
        <v>7761</v>
      </c>
      <c r="K22" s="1">
        <f t="shared" si="17"/>
        <v>728896.77359670843</v>
      </c>
      <c r="L22" s="2">
        <v>84.5</v>
      </c>
      <c r="M22" s="3">
        <f t="shared" si="1"/>
        <v>1.1029531629097129</v>
      </c>
      <c r="N22" s="1">
        <f t="shared" si="18"/>
        <v>278867.36885060306</v>
      </c>
      <c r="O22" s="1">
        <f t="shared" si="19"/>
        <v>516511.6135252291</v>
      </c>
      <c r="P22" s="1">
        <f t="shared" si="16"/>
        <v>8560.0194973422822</v>
      </c>
      <c r="Q22" s="1">
        <f t="shared" si="20"/>
        <v>803939.00187317445</v>
      </c>
      <c r="R22" s="1">
        <f t="shared" si="21"/>
        <v>3551282.8118731743</v>
      </c>
      <c r="S22" s="15"/>
      <c r="T22" s="4">
        <f t="shared" si="22"/>
        <v>0.73057853667010519</v>
      </c>
      <c r="U22" s="4">
        <f t="shared" si="23"/>
        <v>3.9641449993599538E-2</v>
      </c>
      <c r="V22" s="4">
        <f t="shared" si="24"/>
        <v>3.2367768518939645E-3</v>
      </c>
      <c r="W22" s="4">
        <f t="shared" si="25"/>
        <v>4.8996379397962181E-5</v>
      </c>
      <c r="X22" s="4">
        <f t="shared" si="26"/>
        <v>1.1435304410064622E-4</v>
      </c>
      <c r="Y22" s="4">
        <f t="shared" si="27"/>
        <v>7.1195963091049225E-2</v>
      </c>
      <c r="Z22" s="4">
        <f t="shared" si="28"/>
        <v>0.13186749645255585</v>
      </c>
      <c r="AA22" s="4">
        <f t="shared" si="29"/>
        <v>2.4104020858950344E-3</v>
      </c>
      <c r="AB22" s="4">
        <f t="shared" si="30"/>
        <v>0.20547386162950013</v>
      </c>
    </row>
    <row r="23" spans="1:28" x14ac:dyDescent="0.25">
      <c r="A23" s="6" t="s">
        <v>36</v>
      </c>
      <c r="B23" s="1">
        <v>3886795</v>
      </c>
      <c r="C23" s="1">
        <v>87903</v>
      </c>
      <c r="D23" s="1">
        <v>33152</v>
      </c>
      <c r="E23" s="1">
        <v>94</v>
      </c>
      <c r="F23" s="1">
        <v>1002</v>
      </c>
      <c r="G23" s="1">
        <f t="shared" si="0"/>
        <v>4008946</v>
      </c>
      <c r="H23" s="1">
        <v>203574</v>
      </c>
      <c r="I23" s="1">
        <v>478261.55883537687</v>
      </c>
      <c r="J23" s="1">
        <v>6245</v>
      </c>
      <c r="K23" s="1">
        <f t="shared" si="17"/>
        <v>688080.55883537687</v>
      </c>
      <c r="L23" s="2">
        <v>84.9</v>
      </c>
      <c r="M23" s="3">
        <f t="shared" si="1"/>
        <v>1.1176518074200168</v>
      </c>
      <c r="N23" s="1">
        <f t="shared" si="18"/>
        <v>227524.8490437225</v>
      </c>
      <c r="O23" s="1">
        <f t="shared" si="19"/>
        <v>534529.89565187367</v>
      </c>
      <c r="P23" s="1">
        <f t="shared" si="16"/>
        <v>6979.7355373380051</v>
      </c>
      <c r="Q23" s="1">
        <f t="shared" si="20"/>
        <v>769034.48023293412</v>
      </c>
      <c r="R23" s="1">
        <f t="shared" si="21"/>
        <v>4777980.4802329345</v>
      </c>
      <c r="S23" s="15"/>
      <c r="T23" s="4">
        <f t="shared" si="22"/>
        <v>0.81348071974762703</v>
      </c>
      <c r="U23" s="4">
        <f t="shared" si="23"/>
        <v>1.8397521790569263E-2</v>
      </c>
      <c r="V23" s="4">
        <f t="shared" si="24"/>
        <v>6.9384963243683626E-3</v>
      </c>
      <c r="W23" s="4">
        <f t="shared" si="25"/>
        <v>1.9673583931305083E-5</v>
      </c>
      <c r="X23" s="4">
        <f t="shared" si="26"/>
        <v>2.0971203296986908E-4</v>
      </c>
      <c r="Y23" s="4">
        <f t="shared" si="27"/>
        <v>4.2606703991824479E-2</v>
      </c>
      <c r="Z23" s="4">
        <f t="shared" si="28"/>
        <v>0.10009700977515522</v>
      </c>
      <c r="AA23" s="4">
        <f t="shared" si="29"/>
        <v>1.4608129033205535E-3</v>
      </c>
      <c r="AB23" s="4">
        <f t="shared" si="30"/>
        <v>0.14416452667030027</v>
      </c>
    </row>
    <row r="24" spans="1:28" x14ac:dyDescent="0.25">
      <c r="A24" s="6" t="s">
        <v>37</v>
      </c>
      <c r="B24" s="1">
        <v>5244958</v>
      </c>
      <c r="C24" s="1">
        <v>94149</v>
      </c>
      <c r="D24" s="1">
        <v>41059</v>
      </c>
      <c r="E24" s="1">
        <v>8607</v>
      </c>
      <c r="F24" s="1">
        <v>1559</v>
      </c>
      <c r="G24" s="1">
        <f t="shared" si="0"/>
        <v>5390332</v>
      </c>
      <c r="H24" s="1">
        <v>212636</v>
      </c>
      <c r="I24" s="1">
        <v>474265.0282</v>
      </c>
      <c r="J24" s="1">
        <v>4260</v>
      </c>
      <c r="K24" s="1">
        <f t="shared" si="17"/>
        <v>691161.02820000006</v>
      </c>
      <c r="L24" s="2">
        <v>84.25</v>
      </c>
      <c r="M24" s="3">
        <f t="shared" si="1"/>
        <v>1.0938299845464989</v>
      </c>
      <c r="N24" s="1">
        <f t="shared" si="18"/>
        <v>232587.63259402936</v>
      </c>
      <c r="O24" s="1">
        <f t="shared" si="19"/>
        <v>518765.3084669509</v>
      </c>
      <c r="P24" s="1">
        <f t="shared" si="16"/>
        <v>4659.7157341680859</v>
      </c>
      <c r="Q24" s="1">
        <f t="shared" si="20"/>
        <v>756012.65679514839</v>
      </c>
      <c r="R24" s="1">
        <f t="shared" si="21"/>
        <v>6146344.6567951487</v>
      </c>
      <c r="S24" s="15"/>
      <c r="T24" s="4">
        <f t="shared" si="22"/>
        <v>0.85334589790720372</v>
      </c>
      <c r="U24" s="4">
        <f t="shared" si="23"/>
        <v>1.5317884898614121E-2</v>
      </c>
      <c r="V24" s="4">
        <f t="shared" si="24"/>
        <v>6.6802306562172425E-3</v>
      </c>
      <c r="W24" s="4">
        <f t="shared" si="25"/>
        <v>1.4003445105351276E-3</v>
      </c>
      <c r="X24" s="4">
        <f t="shared" si="26"/>
        <v>2.5364669361267153E-4</v>
      </c>
      <c r="Y24" s="4">
        <f t="shared" si="27"/>
        <v>3.4595521708161658E-2</v>
      </c>
      <c r="Z24" s="4">
        <f t="shared" si="28"/>
        <v>7.7162127196312019E-2</v>
      </c>
      <c r="AA24" s="4">
        <f t="shared" si="29"/>
        <v>7.5812795968356475E-4</v>
      </c>
      <c r="AB24" s="4">
        <f t="shared" si="30"/>
        <v>0.11251577686415724</v>
      </c>
    </row>
    <row r="25" spans="1:28" x14ac:dyDescent="0.25">
      <c r="A25" s="6" t="s">
        <v>38</v>
      </c>
      <c r="B25" s="1">
        <v>5109455</v>
      </c>
      <c r="C25" s="1">
        <v>115609</v>
      </c>
      <c r="D25" s="1">
        <v>57860</v>
      </c>
      <c r="E25" s="1">
        <v>8011</v>
      </c>
      <c r="F25" s="1">
        <v>2522</v>
      </c>
      <c r="G25" s="1">
        <v>5293456</v>
      </c>
      <c r="H25" s="1">
        <v>201257.99400000001</v>
      </c>
      <c r="I25" s="1">
        <v>547995.19530000002</v>
      </c>
      <c r="K25" s="1">
        <f t="shared" si="17"/>
        <v>749253.18929999997</v>
      </c>
      <c r="L25" s="2">
        <v>84.8</v>
      </c>
      <c r="M25" s="3">
        <f t="shared" si="1"/>
        <v>1.1139654075237193</v>
      </c>
      <c r="N25" s="1">
        <f t="shared" si="18"/>
        <v>224194.44330361625</v>
      </c>
      <c r="O25" s="1">
        <f t="shared" si="19"/>
        <v>610447.69105340471</v>
      </c>
      <c r="P25" s="1"/>
      <c r="Q25" s="1">
        <f t="shared" si="20"/>
        <v>834642.13435702096</v>
      </c>
      <c r="R25" s="1">
        <f t="shared" si="21"/>
        <v>6128098.1343570212</v>
      </c>
      <c r="S25" s="15"/>
      <c r="T25" s="4">
        <f t="shared" si="22"/>
        <v>0.83377499641429942</v>
      </c>
      <c r="U25" s="4">
        <f t="shared" si="23"/>
        <v>1.8865396321224227E-2</v>
      </c>
      <c r="V25" s="4">
        <f t="shared" si="24"/>
        <v>9.4417548040899388E-3</v>
      </c>
      <c r="W25" s="4">
        <f t="shared" si="25"/>
        <v>1.3072571333488507E-3</v>
      </c>
      <c r="X25" s="4">
        <f t="shared" si="26"/>
        <v>4.1154693425362644E-4</v>
      </c>
      <c r="Y25" s="4"/>
      <c r="Z25" s="4"/>
      <c r="AA25" s="4"/>
      <c r="AB25" s="4"/>
    </row>
    <row r="26" spans="1:28" x14ac:dyDescent="0.25">
      <c r="A26" s="6" t="s">
        <v>39</v>
      </c>
      <c r="B26" s="1">
        <v>3612310</v>
      </c>
      <c r="C26" s="1">
        <v>55575</v>
      </c>
      <c r="D26" s="1">
        <v>42598</v>
      </c>
      <c r="E26" s="1">
        <v>16475</v>
      </c>
      <c r="F26" s="1">
        <v>702</v>
      </c>
      <c r="G26" s="1">
        <v>3727661</v>
      </c>
      <c r="H26" s="8">
        <v>224887.948</v>
      </c>
      <c r="I26" s="8">
        <v>678447.07869999995</v>
      </c>
      <c r="J26" s="12"/>
      <c r="K26" s="8">
        <f t="shared" si="17"/>
        <v>903335.02669999993</v>
      </c>
      <c r="L26" s="2">
        <v>85.4</v>
      </c>
      <c r="M26" s="13">
        <f t="shared" si="1"/>
        <v>1.1362015283095641</v>
      </c>
      <c r="N26" s="8">
        <f t="shared" si="18"/>
        <v>255518.03021600179</v>
      </c>
      <c r="O26" s="8">
        <f t="shared" si="19"/>
        <v>770852.60769609909</v>
      </c>
      <c r="P26" s="8"/>
      <c r="Q26" s="8">
        <f t="shared" si="20"/>
        <v>1026370.6379121009</v>
      </c>
      <c r="R26" s="8">
        <f>Q26+G26</f>
        <v>4754031.6379121011</v>
      </c>
      <c r="S26" s="15"/>
      <c r="T26" s="4" t="e">
        <f>+#REF!/R26</f>
        <v>#REF!</v>
      </c>
      <c r="U26" s="4" t="e">
        <f>+#REF!/R26</f>
        <v>#REF!</v>
      </c>
      <c r="V26" s="4" t="e">
        <f>+#REF!/R26</f>
        <v>#REF!</v>
      </c>
      <c r="W26" s="4" t="e">
        <f>+#REF!/R26</f>
        <v>#REF!</v>
      </c>
      <c r="X26" s="4" t="e">
        <f>+#REF!/R26</f>
        <v>#REF!</v>
      </c>
      <c r="Y26" s="4"/>
      <c r="Z26" s="4"/>
      <c r="AA26" s="4"/>
      <c r="AB26" s="4"/>
    </row>
    <row r="28" spans="1:28" x14ac:dyDescent="0.25">
      <c r="A28" s="6" t="s">
        <v>59</v>
      </c>
    </row>
  </sheetData>
  <mergeCells count="10">
    <mergeCell ref="T3:X3"/>
    <mergeCell ref="Y3:AB3"/>
    <mergeCell ref="A1:AB1"/>
    <mergeCell ref="A2:A3"/>
    <mergeCell ref="B2:G3"/>
    <mergeCell ref="H2:Q2"/>
    <mergeCell ref="R2:R3"/>
    <mergeCell ref="T2:AB2"/>
    <mergeCell ref="H3:K3"/>
    <mergeCell ref="N3:Q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workbookViewId="0">
      <selection activeCell="M10" sqref="M10"/>
    </sheetView>
  </sheetViews>
  <sheetFormatPr defaultRowHeight="15" x14ac:dyDescent="0.25"/>
  <cols>
    <col min="1" max="1" width="9.28515625" bestFit="1" customWidth="1"/>
    <col min="2" max="2" width="10.5703125" bestFit="1" customWidth="1"/>
    <col min="3" max="3" width="10.85546875" customWidth="1"/>
    <col min="4" max="4" width="9.7109375" customWidth="1"/>
    <col min="5" max="5" width="9" customWidth="1"/>
    <col min="6" max="6" width="8" customWidth="1"/>
    <col min="7" max="7" width="10.5703125" customWidth="1"/>
    <col min="8" max="8" width="11.42578125" customWidth="1"/>
    <col min="9" max="9" width="11.7109375" customWidth="1"/>
    <col min="10" max="10" width="10.42578125" customWidth="1"/>
    <col min="12" max="12" width="10.7109375" customWidth="1"/>
    <col min="13" max="13" width="12" customWidth="1"/>
    <col min="14" max="14" width="11.140625" customWidth="1"/>
    <col min="15" max="15" width="10.85546875" customWidth="1"/>
    <col min="16" max="16" width="10.5703125" bestFit="1" customWidth="1"/>
    <col min="18" max="18" width="11.5703125" bestFit="1" customWidth="1"/>
    <col min="20" max="20" width="10.5703125" customWidth="1"/>
    <col min="22" max="22" width="9.140625" customWidth="1"/>
    <col min="23" max="25" width="9.28515625" bestFit="1" customWidth="1"/>
    <col min="26" max="26" width="10.140625" bestFit="1" customWidth="1"/>
  </cols>
  <sheetData>
    <row r="1" spans="1:14" ht="15.75" thickBot="1" x14ac:dyDescent="0.3">
      <c r="A1" s="86"/>
      <c r="B1" s="86"/>
      <c r="C1" s="86"/>
      <c r="D1" s="86"/>
      <c r="E1" s="86"/>
      <c r="F1" s="86"/>
      <c r="G1" s="86"/>
      <c r="H1" s="86"/>
      <c r="I1" s="86"/>
      <c r="J1" s="86"/>
    </row>
    <row r="2" spans="1:14" ht="15" customHeight="1" x14ac:dyDescent="0.25">
      <c r="A2" s="87" t="s">
        <v>1</v>
      </c>
      <c r="B2" s="89" t="s">
        <v>2</v>
      </c>
      <c r="C2" s="90"/>
      <c r="D2" s="90"/>
      <c r="E2" s="90"/>
      <c r="F2" s="90"/>
      <c r="G2" s="90"/>
      <c r="H2" s="91"/>
      <c r="I2" s="89" t="s">
        <v>41</v>
      </c>
      <c r="J2" s="90"/>
      <c r="K2" s="90"/>
      <c r="L2" s="91"/>
      <c r="M2" s="84" t="s">
        <v>9</v>
      </c>
      <c r="N2" s="47"/>
    </row>
    <row r="3" spans="1:14" ht="33" customHeight="1" thickBot="1" x14ac:dyDescent="0.3">
      <c r="A3" s="88"/>
      <c r="B3" s="92"/>
      <c r="C3" s="93"/>
      <c r="D3" s="93"/>
      <c r="E3" s="93"/>
      <c r="F3" s="93"/>
      <c r="G3" s="93"/>
      <c r="H3" s="94"/>
      <c r="I3" s="92"/>
      <c r="J3" s="93"/>
      <c r="K3" s="93"/>
      <c r="L3" s="94"/>
      <c r="M3" s="85"/>
      <c r="N3" s="48"/>
    </row>
    <row r="4" spans="1:14" x14ac:dyDescent="0.25">
      <c r="A4" s="45"/>
      <c r="B4" s="50" t="s">
        <v>10</v>
      </c>
      <c r="C4" s="51" t="s">
        <v>11</v>
      </c>
      <c r="D4" s="51" t="s">
        <v>12</v>
      </c>
      <c r="E4" s="51" t="s">
        <v>13</v>
      </c>
      <c r="F4" s="51" t="s">
        <v>65</v>
      </c>
      <c r="G4" s="51" t="s">
        <v>17</v>
      </c>
      <c r="H4" s="52" t="s">
        <v>9</v>
      </c>
      <c r="I4" s="50" t="s">
        <v>14</v>
      </c>
      <c r="J4" s="51" t="s">
        <v>15</v>
      </c>
      <c r="K4" s="51" t="s">
        <v>16</v>
      </c>
      <c r="L4" s="52" t="s">
        <v>9</v>
      </c>
      <c r="M4" s="32"/>
    </row>
    <row r="5" spans="1:14" x14ac:dyDescent="0.25">
      <c r="A5" s="46" t="s">
        <v>18</v>
      </c>
      <c r="B5" s="54">
        <f>STATEWIDE!B5+STATEWIDE!C5</f>
        <v>3368834.9999999925</v>
      </c>
      <c r="C5" s="55">
        <f>STATEWIDE!D5</f>
        <v>91968.000000000073</v>
      </c>
      <c r="D5" s="55">
        <f>STATEWIDE!E5</f>
        <v>3180.0000000000005</v>
      </c>
      <c r="E5" s="55">
        <f>STATEWIDE!F5</f>
        <v>6335</v>
      </c>
      <c r="F5" s="55">
        <f>STATEWIDE!G5</f>
        <v>1238</v>
      </c>
      <c r="G5" s="55">
        <f>STATEWIDE!H5</f>
        <v>3364507.000000013</v>
      </c>
      <c r="H5" s="95">
        <f>STATEWIDE!I5</f>
        <v>6836063.0000000056</v>
      </c>
      <c r="I5" s="34">
        <v>459848.11913121154</v>
      </c>
      <c r="J5" s="35">
        <v>1355942.7412822754</v>
      </c>
      <c r="K5" s="35"/>
      <c r="L5" s="33">
        <v>1815790.8604134871</v>
      </c>
      <c r="M5" s="33">
        <v>8651853.8604134917</v>
      </c>
    </row>
    <row r="6" spans="1:14" x14ac:dyDescent="0.25">
      <c r="A6" s="46" t="s">
        <v>19</v>
      </c>
      <c r="B6" s="54">
        <f>STATEWIDE!B6+STATEWIDE!C6</f>
        <v>3931991.0000000102</v>
      </c>
      <c r="C6" s="55">
        <f>STATEWIDE!D6</f>
        <v>147879.00000000017</v>
      </c>
      <c r="D6" s="55">
        <f>STATEWIDE!E6</f>
        <v>1905</v>
      </c>
      <c r="E6" s="55">
        <f>STATEWIDE!F6</f>
        <v>6215.9999999999991</v>
      </c>
      <c r="F6" s="55">
        <f>STATEWIDE!G6</f>
        <v>4389.0000000000009</v>
      </c>
      <c r="G6" s="55">
        <f>STATEWIDE!H6</f>
        <v>1276719.0000000019</v>
      </c>
      <c r="H6" s="95">
        <f>STATEWIDE!I6</f>
        <v>5369099.0000000121</v>
      </c>
      <c r="I6" s="34">
        <v>543785.29234431533</v>
      </c>
      <c r="J6" s="35">
        <v>808657.83001379517</v>
      </c>
      <c r="K6" s="35"/>
      <c r="L6" s="33">
        <v>1352443.1223581105</v>
      </c>
      <c r="M6" s="33">
        <v>6721542.1223581228</v>
      </c>
    </row>
    <row r="7" spans="1:14" x14ac:dyDescent="0.25">
      <c r="A7" s="46" t="s">
        <v>20</v>
      </c>
      <c r="B7" s="54">
        <f>STATEWIDE!B7+STATEWIDE!C7</f>
        <v>4978674.0000000205</v>
      </c>
      <c r="C7" s="55">
        <f>STATEWIDE!D7</f>
        <v>168025.00000000003</v>
      </c>
      <c r="D7" s="55">
        <f>STATEWIDE!E7</f>
        <v>6133.9999999999973</v>
      </c>
      <c r="E7" s="55">
        <f>STATEWIDE!F7</f>
        <v>9583</v>
      </c>
      <c r="F7" s="55">
        <f>STATEWIDE!G7</f>
        <v>4898</v>
      </c>
      <c r="G7" s="55">
        <f>STATEWIDE!H7</f>
        <v>143229.99999999991</v>
      </c>
      <c r="H7" s="95">
        <f>STATEWIDE!I7</f>
        <v>5310544.0000000205</v>
      </c>
      <c r="I7" s="34">
        <v>356986.57467809092</v>
      </c>
      <c r="J7" s="35">
        <v>1526127.6075356</v>
      </c>
      <c r="K7" s="35"/>
      <c r="L7" s="33">
        <v>1883114.1822136908</v>
      </c>
      <c r="M7" s="33">
        <v>7193658.1822137116</v>
      </c>
    </row>
    <row r="8" spans="1:14" x14ac:dyDescent="0.25">
      <c r="A8" s="46" t="s">
        <v>21</v>
      </c>
      <c r="B8" s="54">
        <f>STATEWIDE!B8+STATEWIDE!C8</f>
        <v>6843717.999999987</v>
      </c>
      <c r="C8" s="55">
        <f>STATEWIDE!D8</f>
        <v>252027.99999999951</v>
      </c>
      <c r="D8" s="55">
        <f>STATEWIDE!E8</f>
        <v>20305.000000000018</v>
      </c>
      <c r="E8" s="55">
        <f>STATEWIDE!F8</f>
        <v>4673.9999999999991</v>
      </c>
      <c r="F8" s="55">
        <f>STATEWIDE!G8</f>
        <v>1237.9999999999998</v>
      </c>
      <c r="G8" s="55">
        <f>STATEWIDE!H8</f>
        <v>95614.000000000073</v>
      </c>
      <c r="H8" s="95">
        <f>STATEWIDE!I8</f>
        <v>7217576.999999986</v>
      </c>
      <c r="I8" s="34">
        <v>394394.97467770829</v>
      </c>
      <c r="J8" s="35">
        <v>1436709.857489011</v>
      </c>
      <c r="K8" s="35">
        <v>74890.301909375325</v>
      </c>
      <c r="L8" s="33">
        <v>1905995.1340760945</v>
      </c>
      <c r="M8" s="33">
        <v>9123572.1340760812</v>
      </c>
    </row>
    <row r="9" spans="1:14" x14ac:dyDescent="0.25">
      <c r="A9" s="46" t="s">
        <v>22</v>
      </c>
      <c r="B9" s="54">
        <f>STATEWIDE!B9+STATEWIDE!C9</f>
        <v>6639750.0000000345</v>
      </c>
      <c r="C9" s="55">
        <f>STATEWIDE!D9</f>
        <v>307251.00000000017</v>
      </c>
      <c r="D9" s="55">
        <f>STATEWIDE!E9</f>
        <v>19463.999999999993</v>
      </c>
      <c r="E9" s="55">
        <f>STATEWIDE!F9</f>
        <v>3581</v>
      </c>
      <c r="F9" s="55">
        <f>STATEWIDE!G9</f>
        <v>422</v>
      </c>
      <c r="G9" s="55">
        <f>STATEWIDE!H9</f>
        <v>50579.000000000051</v>
      </c>
      <c r="H9" s="95">
        <f>STATEWIDE!I9</f>
        <v>7021047.0000000345</v>
      </c>
      <c r="I9" s="34">
        <v>249394.24860421341</v>
      </c>
      <c r="J9" s="35">
        <v>1614178.3622282979</v>
      </c>
      <c r="K9" s="35">
        <v>67145.27105753767</v>
      </c>
      <c r="L9" s="33">
        <v>1930717.881890049</v>
      </c>
      <c r="M9" s="33">
        <v>8951764.8818900827</v>
      </c>
    </row>
    <row r="10" spans="1:14" x14ac:dyDescent="0.25">
      <c r="A10" s="46" t="s">
        <v>23</v>
      </c>
      <c r="B10" s="54">
        <f>STATEWIDE!B10+STATEWIDE!C10</f>
        <v>7319955.9999999059</v>
      </c>
      <c r="C10" s="55">
        <f>STATEWIDE!D10</f>
        <v>337388.00000000035</v>
      </c>
      <c r="D10" s="55">
        <f>STATEWIDE!E10</f>
        <v>29814.999999999996</v>
      </c>
      <c r="E10" s="55">
        <f>STATEWIDE!F10</f>
        <v>2620.0000000000005</v>
      </c>
      <c r="F10" s="55">
        <f>STATEWIDE!G10</f>
        <v>160</v>
      </c>
      <c r="G10" s="55">
        <f>STATEWIDE!H10</f>
        <v>56017.000000000022</v>
      </c>
      <c r="H10" s="95">
        <f>STATEWIDE!I10</f>
        <v>7745955.9999999059</v>
      </c>
      <c r="I10" s="34">
        <v>382534.92794541613</v>
      </c>
      <c r="J10" s="35">
        <v>1485449.5368654546</v>
      </c>
      <c r="K10" s="35">
        <v>54611.717981041853</v>
      </c>
      <c r="L10" s="33">
        <v>1922596.1827919127</v>
      </c>
      <c r="M10" s="33">
        <v>9668552.1827918179</v>
      </c>
    </row>
    <row r="11" spans="1:14" x14ac:dyDescent="0.25">
      <c r="A11" s="46" t="s">
        <v>24</v>
      </c>
      <c r="B11" s="54">
        <f>STATEWIDE!B11+STATEWIDE!C11</f>
        <v>7143582.9999999376</v>
      </c>
      <c r="C11" s="55">
        <f>STATEWIDE!D11</f>
        <v>395121.99999999983</v>
      </c>
      <c r="D11" s="55">
        <f>STATEWIDE!E11</f>
        <v>28129.000000000022</v>
      </c>
      <c r="E11" s="55">
        <f>STATEWIDE!F11</f>
        <v>12142.999999999998</v>
      </c>
      <c r="F11" s="55">
        <f>STATEWIDE!G11</f>
        <v>4733</v>
      </c>
      <c r="G11" s="55">
        <f>STATEWIDE!H11</f>
        <v>56581</v>
      </c>
      <c r="H11" s="95">
        <f>STATEWIDE!I11</f>
        <v>7640290.9999999376</v>
      </c>
      <c r="I11" s="34">
        <v>497296.72564973612</v>
      </c>
      <c r="J11" s="35">
        <v>1756794.2493623598</v>
      </c>
      <c r="K11" s="35">
        <v>50095.502464910984</v>
      </c>
      <c r="L11" s="33">
        <v>2304186.4774770066</v>
      </c>
      <c r="M11" s="33">
        <v>9944477.4774769433</v>
      </c>
    </row>
    <row r="12" spans="1:14" x14ac:dyDescent="0.25">
      <c r="A12" s="46" t="s">
        <v>25</v>
      </c>
      <c r="B12" s="54">
        <f>STATEWIDE!B12+STATEWIDE!C12</f>
        <v>5036340.9999999935</v>
      </c>
      <c r="C12" s="55">
        <f>STATEWIDE!D12</f>
        <v>351145.00000000052</v>
      </c>
      <c r="D12" s="55">
        <f>STATEWIDE!E12</f>
        <v>12146.999999999995</v>
      </c>
      <c r="E12" s="55">
        <f>STATEWIDE!F12</f>
        <v>3368.9999999999995</v>
      </c>
      <c r="F12" s="55">
        <f>STATEWIDE!G12</f>
        <v>2025.9999999999998</v>
      </c>
      <c r="G12" s="55">
        <f>STATEWIDE!H12</f>
        <v>42718.000000000029</v>
      </c>
      <c r="H12" s="95">
        <f>STATEWIDE!I12</f>
        <v>5447745.9999999944</v>
      </c>
      <c r="I12" s="34">
        <v>289298.9677301342</v>
      </c>
      <c r="J12" s="35">
        <v>963885.40959226852</v>
      </c>
      <c r="K12" s="35">
        <v>49492.596431718652</v>
      </c>
      <c r="L12" s="33">
        <v>1302676.9737541215</v>
      </c>
      <c r="M12" s="33">
        <v>6750422.9737541154</v>
      </c>
    </row>
    <row r="13" spans="1:14" x14ac:dyDescent="0.25">
      <c r="A13" s="46" t="s">
        <v>26</v>
      </c>
      <c r="B13" s="54">
        <f>STATEWIDE!B13+STATEWIDE!C13</f>
        <v>6994124.3899999401</v>
      </c>
      <c r="C13" s="55">
        <f>STATEWIDE!D13</f>
        <v>588104.5600000025</v>
      </c>
      <c r="D13" s="55">
        <f>STATEWIDE!E13</f>
        <v>17458.799999999985</v>
      </c>
      <c r="E13" s="55">
        <f>STATEWIDE!F13</f>
        <v>7498.4999999999982</v>
      </c>
      <c r="F13" s="55">
        <f>STATEWIDE!G13</f>
        <v>1766</v>
      </c>
      <c r="G13" s="55">
        <f>STATEWIDE!H13</f>
        <v>59312.500000000029</v>
      </c>
      <c r="H13" s="95">
        <f>STATEWIDE!I13</f>
        <v>7668264.7499999423</v>
      </c>
      <c r="I13" s="34">
        <v>567642.9943106568</v>
      </c>
      <c r="J13" s="35">
        <v>1832888.4991901396</v>
      </c>
      <c r="K13" s="35">
        <v>61449.212570353506</v>
      </c>
      <c r="L13" s="33">
        <v>2461980.7060711496</v>
      </c>
      <c r="M13" s="33">
        <v>10130245.456071092</v>
      </c>
    </row>
    <row r="14" spans="1:14" x14ac:dyDescent="0.25">
      <c r="A14" s="46" t="s">
        <v>27</v>
      </c>
      <c r="B14" s="54">
        <f>STATEWIDE!B14+STATEWIDE!C14</f>
        <v>4862623.7700000051</v>
      </c>
      <c r="C14" s="55">
        <f>STATEWIDE!D14</f>
        <v>634573.51000000071</v>
      </c>
      <c r="D14" s="55">
        <f>STATEWIDE!E14</f>
        <v>12193.129999999986</v>
      </c>
      <c r="E14" s="55">
        <f>STATEWIDE!F14</f>
        <v>3755.8500000000004</v>
      </c>
      <c r="F14" s="55">
        <f>STATEWIDE!G14</f>
        <v>317.58000000000004</v>
      </c>
      <c r="G14" s="55">
        <f>STATEWIDE!H14</f>
        <v>55842.55</v>
      </c>
      <c r="H14" s="95">
        <f>STATEWIDE!I14</f>
        <v>5569306.3900000053</v>
      </c>
      <c r="I14" s="34">
        <v>398618.46953093848</v>
      </c>
      <c r="J14" s="35">
        <v>1512347.650069522</v>
      </c>
      <c r="K14" s="35">
        <v>38095.976642868067</v>
      </c>
      <c r="L14" s="33">
        <v>1949062.0962433284</v>
      </c>
      <c r="M14" s="33">
        <v>7518368.4862433337</v>
      </c>
    </row>
    <row r="15" spans="1:14" x14ac:dyDescent="0.25">
      <c r="A15" s="46" t="s">
        <v>28</v>
      </c>
      <c r="B15" s="54">
        <f>STATEWIDE!B15+STATEWIDE!C15</f>
        <v>2621748.470000016</v>
      </c>
      <c r="C15" s="55">
        <f>STATEWIDE!D15</f>
        <v>446691.3200000003</v>
      </c>
      <c r="D15" s="55">
        <f>STATEWIDE!E15</f>
        <v>8561.4400000000132</v>
      </c>
      <c r="E15" s="55">
        <f>STATEWIDE!F15</f>
        <v>796.99999999999989</v>
      </c>
      <c r="F15" s="55">
        <f>STATEWIDE!G15</f>
        <v>1322.5</v>
      </c>
      <c r="G15" s="55">
        <f>STATEWIDE!H15</f>
        <v>0</v>
      </c>
      <c r="H15" s="95">
        <f>STATEWIDE!I15</f>
        <v>3079120.7300000163</v>
      </c>
      <c r="I15" s="34">
        <v>282860.7257051433</v>
      </c>
      <c r="J15" s="35">
        <v>935928.66377444379</v>
      </c>
      <c r="K15" s="35">
        <v>32291.131405845266</v>
      </c>
      <c r="L15" s="33">
        <v>1251080.5208854324</v>
      </c>
      <c r="M15" s="33">
        <v>4330201.2508854484</v>
      </c>
    </row>
    <row r="16" spans="1:14" x14ac:dyDescent="0.25">
      <c r="A16" s="46" t="s">
        <v>29</v>
      </c>
      <c r="B16" s="54">
        <f>STATEWIDE!B16+STATEWIDE!C16</f>
        <v>3989821.5600000117</v>
      </c>
      <c r="C16" s="55">
        <f>STATEWIDE!D16</f>
        <v>560739.09999999905</v>
      </c>
      <c r="D16" s="55">
        <f>STATEWIDE!E16</f>
        <v>19854.3</v>
      </c>
      <c r="E16" s="55">
        <f>STATEWIDE!F16</f>
        <v>1297.9500000000003</v>
      </c>
      <c r="F16" s="55">
        <f>STATEWIDE!G16</f>
        <v>602</v>
      </c>
      <c r="G16" s="55">
        <f>STATEWIDE!H16</f>
        <v>333</v>
      </c>
      <c r="H16" s="95">
        <f>STATEWIDE!I16</f>
        <v>4572647.9100000104</v>
      </c>
      <c r="I16" s="34">
        <v>355184.25224306685</v>
      </c>
      <c r="J16" s="35">
        <v>1055647.8380997765</v>
      </c>
      <c r="K16" s="35">
        <v>44465.777158205368</v>
      </c>
      <c r="L16" s="33">
        <v>1455297.8675010488</v>
      </c>
      <c r="M16" s="33">
        <v>6027945.7775010597</v>
      </c>
    </row>
    <row r="17" spans="1:18" x14ac:dyDescent="0.25">
      <c r="A17" s="46" t="s">
        <v>30</v>
      </c>
      <c r="B17" s="54">
        <f>STATEWIDE!B17+STATEWIDE!C17</f>
        <v>3726732.1199999959</v>
      </c>
      <c r="C17" s="55">
        <f>STATEWIDE!D17</f>
        <v>406587.83000000089</v>
      </c>
      <c r="D17" s="55">
        <f>STATEWIDE!E17</f>
        <v>21743.049999999988</v>
      </c>
      <c r="E17" s="55">
        <f>STATEWIDE!F17</f>
        <v>1002.7999999999998</v>
      </c>
      <c r="F17" s="55">
        <f>STATEWIDE!G17</f>
        <v>2632</v>
      </c>
      <c r="G17" s="55">
        <f>STATEWIDE!H17</f>
        <v>0</v>
      </c>
      <c r="H17" s="95">
        <f>STATEWIDE!I17</f>
        <v>4158697.7999999966</v>
      </c>
      <c r="I17" s="34">
        <v>375119.49169001647</v>
      </c>
      <c r="J17" s="35">
        <v>997407.63088021206</v>
      </c>
      <c r="K17" s="35">
        <v>38981.458246128364</v>
      </c>
      <c r="L17" s="33">
        <v>1411508.5808163569</v>
      </c>
      <c r="M17" s="33">
        <v>5570206.3808163535</v>
      </c>
    </row>
    <row r="18" spans="1:18" x14ac:dyDescent="0.25">
      <c r="A18" s="46" t="s">
        <v>31</v>
      </c>
      <c r="B18" s="54">
        <f>STATEWIDE!B18+STATEWIDE!C18</f>
        <v>5104913.4699999839</v>
      </c>
      <c r="C18" s="55">
        <f>STATEWIDE!D18</f>
        <v>310394.32999999978</v>
      </c>
      <c r="D18" s="55">
        <f>STATEWIDE!E18</f>
        <v>34110.840000000004</v>
      </c>
      <c r="E18" s="55">
        <f>STATEWIDE!F18</f>
        <v>1577.1000000000006</v>
      </c>
      <c r="F18" s="55">
        <f>STATEWIDE!G18</f>
        <v>395.3</v>
      </c>
      <c r="G18" s="55">
        <f>STATEWIDE!H18</f>
        <v>0</v>
      </c>
      <c r="H18" s="95">
        <f>STATEWIDE!I18</f>
        <v>5451391.0399999833</v>
      </c>
      <c r="I18" s="41" t="s">
        <v>49</v>
      </c>
      <c r="J18" s="42" t="s">
        <v>49</v>
      </c>
      <c r="K18" s="35">
        <v>34136.412121235524</v>
      </c>
      <c r="L18" s="43" t="s">
        <v>49</v>
      </c>
      <c r="M18" s="43" t="s">
        <v>49</v>
      </c>
    </row>
    <row r="19" spans="1:18" x14ac:dyDescent="0.25">
      <c r="A19" s="46" t="s">
        <v>32</v>
      </c>
      <c r="B19" s="54">
        <f>STATEWIDE!B19+STATEWIDE!C19</f>
        <v>2686701.4799999981</v>
      </c>
      <c r="C19" s="55">
        <f>STATEWIDE!D19</f>
        <v>266115.48000000062</v>
      </c>
      <c r="D19" s="55">
        <f>STATEWIDE!E19</f>
        <v>14760.130000000014</v>
      </c>
      <c r="E19" s="55">
        <f>STATEWIDE!F19</f>
        <v>1449.6500000000005</v>
      </c>
      <c r="F19" s="55">
        <f>STATEWIDE!G19</f>
        <v>94.2</v>
      </c>
      <c r="G19" s="55">
        <f>STATEWIDE!H19</f>
        <v>0</v>
      </c>
      <c r="H19" s="95">
        <f>STATEWIDE!I19</f>
        <v>2969120.9399999985</v>
      </c>
      <c r="I19" s="34">
        <v>331387.64839559712</v>
      </c>
      <c r="J19" s="35">
        <v>773198.74114553886</v>
      </c>
      <c r="K19" s="35">
        <v>26427.474776440191</v>
      </c>
      <c r="L19" s="33">
        <v>1131013.8643175764</v>
      </c>
      <c r="M19" s="33">
        <v>4100134.8043175749</v>
      </c>
    </row>
    <row r="20" spans="1:18" x14ac:dyDescent="0.25">
      <c r="A20" s="46" t="s">
        <v>33</v>
      </c>
      <c r="B20" s="54">
        <f>STATEWIDE!B20+STATEWIDE!C20</f>
        <v>4541461.7499999907</v>
      </c>
      <c r="C20" s="55">
        <f>STATEWIDE!D20</f>
        <v>251319.10999999958</v>
      </c>
      <c r="D20" s="55">
        <f>STATEWIDE!E20</f>
        <v>29764.250000000018</v>
      </c>
      <c r="E20" s="55">
        <f>STATEWIDE!F20</f>
        <v>812.5</v>
      </c>
      <c r="F20" s="55">
        <f>STATEWIDE!G20</f>
        <v>753.6</v>
      </c>
      <c r="G20" s="55">
        <f>STATEWIDE!H20</f>
        <v>0</v>
      </c>
      <c r="H20" s="95">
        <f>STATEWIDE!I20</f>
        <v>4824111.2099999897</v>
      </c>
      <c r="I20" s="34">
        <v>320474.44427633798</v>
      </c>
      <c r="J20" s="35">
        <v>957062.24675886601</v>
      </c>
      <c r="K20" s="35">
        <v>26974.039985691557</v>
      </c>
      <c r="L20" s="33">
        <v>1304510.7310208958</v>
      </c>
      <c r="M20" s="33">
        <v>6128621.9410208855</v>
      </c>
    </row>
    <row r="21" spans="1:18" x14ac:dyDescent="0.25">
      <c r="A21" s="46" t="s">
        <v>34</v>
      </c>
      <c r="B21" s="54">
        <f>STATEWIDE!B21+STATEWIDE!C21</f>
        <v>3467858.3000000129</v>
      </c>
      <c r="C21" s="55">
        <f>STATEWIDE!D21</f>
        <v>292531.24000000069</v>
      </c>
      <c r="D21" s="55">
        <f>STATEWIDE!E21</f>
        <v>29775.779999999984</v>
      </c>
      <c r="E21" s="55">
        <f>STATEWIDE!F21</f>
        <v>2875.2500000000005</v>
      </c>
      <c r="F21" s="55">
        <f>STATEWIDE!G21</f>
        <v>27</v>
      </c>
      <c r="G21" s="55">
        <f>STATEWIDE!H21</f>
        <v>0</v>
      </c>
      <c r="H21" s="95">
        <f>STATEWIDE!I21</f>
        <v>3793067.5700000133</v>
      </c>
      <c r="I21" s="34">
        <v>354668.62330277561</v>
      </c>
      <c r="J21" s="35">
        <v>839470.50785678951</v>
      </c>
      <c r="K21" s="35">
        <v>20929.147745747236</v>
      </c>
      <c r="L21" s="33">
        <v>1215068.2789053125</v>
      </c>
      <c r="M21" s="33">
        <v>5008135.8489053259</v>
      </c>
    </row>
    <row r="22" spans="1:18" x14ac:dyDescent="0.25">
      <c r="A22" s="46" t="s">
        <v>35</v>
      </c>
      <c r="B22" s="54">
        <f>STATEWIDE!B22+STATEWIDE!C22</f>
        <v>3007288.8899999936</v>
      </c>
      <c r="C22" s="55">
        <f>STATEWIDE!D22</f>
        <v>246089.24000000002</v>
      </c>
      <c r="D22" s="55">
        <f>STATEWIDE!E22</f>
        <v>29873.120000000024</v>
      </c>
      <c r="E22" s="55">
        <f>STATEWIDE!F22</f>
        <v>638.79999999999995</v>
      </c>
      <c r="F22" s="55">
        <f>STATEWIDE!G22</f>
        <v>67</v>
      </c>
      <c r="G22" s="55">
        <f>STATEWIDE!H22</f>
        <v>922.00000000000011</v>
      </c>
      <c r="H22" s="95">
        <f>STATEWIDE!I22</f>
        <v>3284879.0499999938</v>
      </c>
      <c r="I22" s="34">
        <v>422311.38929401984</v>
      </c>
      <c r="J22" s="35">
        <v>824585.43184190791</v>
      </c>
      <c r="K22" s="35">
        <v>16611.577586583186</v>
      </c>
      <c r="L22" s="33">
        <v>1263508.3987225108</v>
      </c>
      <c r="M22" s="33">
        <v>4548387.4487225041</v>
      </c>
    </row>
    <row r="23" spans="1:18" x14ac:dyDescent="0.25">
      <c r="A23" s="46" t="s">
        <v>36</v>
      </c>
      <c r="B23" s="54">
        <f>STATEWIDE!B23+STATEWIDE!C23</f>
        <v>4181282.3799999952</v>
      </c>
      <c r="C23" s="55">
        <f>STATEWIDE!D23</f>
        <v>156154.37000000014</v>
      </c>
      <c r="D23" s="55">
        <f>STATEWIDE!E23</f>
        <v>54833.33</v>
      </c>
      <c r="E23" s="55">
        <f>STATEWIDE!F23</f>
        <v>516.5</v>
      </c>
      <c r="F23" s="55">
        <f>STATEWIDE!G23</f>
        <v>136.5</v>
      </c>
      <c r="G23" s="55">
        <f>STATEWIDE!H23</f>
        <v>1046.5000000000002</v>
      </c>
      <c r="H23" s="95">
        <f>STATEWIDE!I23</f>
        <v>4393969.5799999954</v>
      </c>
      <c r="I23" s="34">
        <v>419794.67735145678</v>
      </c>
      <c r="J23" s="35">
        <v>835053.89769575943</v>
      </c>
      <c r="K23" s="35">
        <v>10727.222047617321</v>
      </c>
      <c r="L23" s="33">
        <v>1265575.7970948336</v>
      </c>
      <c r="M23" s="33">
        <v>5659545.3770948295</v>
      </c>
    </row>
    <row r="24" spans="1:18" x14ac:dyDescent="0.25">
      <c r="A24" s="46" t="s">
        <v>37</v>
      </c>
      <c r="B24" s="54">
        <f>STATEWIDE!B24+STATEWIDE!C24</f>
        <v>5739251.7399999741</v>
      </c>
      <c r="C24" s="55">
        <f>STATEWIDE!D24</f>
        <v>166159.53000000009</v>
      </c>
      <c r="D24" s="55">
        <f>STATEWIDE!E24</f>
        <v>58206.109999999957</v>
      </c>
      <c r="E24" s="55">
        <f>STATEWIDE!F24</f>
        <v>3606.5</v>
      </c>
      <c r="F24" s="55">
        <f>STATEWIDE!G24</f>
        <v>929.50000000000011</v>
      </c>
      <c r="G24" s="55">
        <f>STATEWIDE!H24</f>
        <v>1796.5</v>
      </c>
      <c r="H24" s="95">
        <f>STATEWIDE!I24</f>
        <v>5969949.8799999747</v>
      </c>
      <c r="I24" s="34">
        <v>437575</v>
      </c>
      <c r="J24" s="35">
        <v>971920</v>
      </c>
      <c r="K24" s="35">
        <v>6970.9784915148375</v>
      </c>
      <c r="L24" s="33">
        <v>1416465.9784915149</v>
      </c>
      <c r="M24" s="33">
        <v>7386415.8584914897</v>
      </c>
    </row>
    <row r="25" spans="1:18" x14ac:dyDescent="0.25">
      <c r="A25" s="46" t="s">
        <v>38</v>
      </c>
      <c r="B25" s="54">
        <f>STATEWIDE!B25+STATEWIDE!C25</f>
        <v>5580903.5700000264</v>
      </c>
      <c r="C25" s="55">
        <f>STATEWIDE!D25</f>
        <v>201517.13000000044</v>
      </c>
      <c r="D25" s="55">
        <f>STATEWIDE!E25</f>
        <v>67166.579999999987</v>
      </c>
      <c r="E25" s="55">
        <f>STATEWIDE!F25</f>
        <v>2982.9999999999995</v>
      </c>
      <c r="F25" s="55">
        <f>STATEWIDE!G25</f>
        <v>1064.8999999999999</v>
      </c>
      <c r="G25" s="55">
        <f>STATEWIDE!H25</f>
        <v>538.29999999999995</v>
      </c>
      <c r="H25" s="95">
        <f>STATEWIDE!I25</f>
        <v>5854173.4800000275</v>
      </c>
      <c r="I25" s="34">
        <v>324220.60446297575</v>
      </c>
      <c r="J25" s="35">
        <v>902522.51955623459</v>
      </c>
      <c r="K25" s="35">
        <v>3664.9461907530367</v>
      </c>
      <c r="L25" s="33">
        <v>1230408.0702099632</v>
      </c>
      <c r="M25" s="33">
        <v>7084581.5502099907</v>
      </c>
    </row>
    <row r="26" spans="1:18" x14ac:dyDescent="0.25">
      <c r="A26" s="46" t="s">
        <v>39</v>
      </c>
      <c r="B26" s="54">
        <f>STATEWIDE!B26+STATEWIDE!C26</f>
        <v>3899827.6500000218</v>
      </c>
      <c r="C26" s="55">
        <f>STATEWIDE!D26</f>
        <v>128539.16000000022</v>
      </c>
      <c r="D26" s="55">
        <f>STATEWIDE!E26</f>
        <v>47996.499999999978</v>
      </c>
      <c r="E26" s="55">
        <f>STATEWIDE!F26</f>
        <v>283.75</v>
      </c>
      <c r="F26" s="55">
        <f>STATEWIDE!G26</f>
        <v>0</v>
      </c>
      <c r="G26" s="55">
        <f>STATEWIDE!H26</f>
        <v>1546.2</v>
      </c>
      <c r="H26" s="95">
        <f>STATEWIDE!I26</f>
        <v>4064217</v>
      </c>
      <c r="I26" s="34">
        <v>384465.79591395403</v>
      </c>
      <c r="J26" s="35">
        <v>1174529.0693131047</v>
      </c>
      <c r="K26" s="49" t="s">
        <v>68</v>
      </c>
      <c r="L26" s="33">
        <v>1558994.8652270588</v>
      </c>
      <c r="M26" s="33">
        <v>5623211.8652270585</v>
      </c>
    </row>
    <row r="27" spans="1:18" s="16" customFormat="1" x14ac:dyDescent="0.25">
      <c r="A27" s="46" t="s">
        <v>56</v>
      </c>
      <c r="B27" s="54">
        <f>STATEWIDE!B27+STATEWIDE!C27</f>
        <v>5938765.9699999718</v>
      </c>
      <c r="C27" s="55">
        <f>STATEWIDE!D27</f>
        <v>214810.21999999977</v>
      </c>
      <c r="D27" s="55">
        <f>STATEWIDE!E27</f>
        <v>216060.18999999939</v>
      </c>
      <c r="E27" s="55">
        <f>STATEWIDE!F27</f>
        <v>1406.0000000000002</v>
      </c>
      <c r="F27" s="55">
        <f>STATEWIDE!G27</f>
        <v>1728.1000000000001</v>
      </c>
      <c r="G27" s="55">
        <f>STATEWIDE!H27</f>
        <v>235.00000000000003</v>
      </c>
      <c r="H27" s="95">
        <f>STATEWIDE!I27</f>
        <v>6373005.4799999706</v>
      </c>
      <c r="I27" s="34">
        <v>328421.95150697359</v>
      </c>
      <c r="J27" s="35">
        <v>1274231.8625311251</v>
      </c>
      <c r="K27" s="49" t="s">
        <v>68</v>
      </c>
      <c r="L27" s="33">
        <v>1602653.8140380988</v>
      </c>
      <c r="M27" s="33">
        <v>7975659.2940380694</v>
      </c>
    </row>
    <row r="28" spans="1:18" x14ac:dyDescent="0.25">
      <c r="A28" s="46" t="s">
        <v>57</v>
      </c>
      <c r="B28" s="54">
        <f>STATEWIDE!B28+STATEWIDE!C28</f>
        <v>5062422.08</v>
      </c>
      <c r="C28" s="55">
        <f>STATEWIDE!D28</f>
        <v>200467</v>
      </c>
      <c r="D28" s="55">
        <f>STATEWIDE!E28</f>
        <v>187969</v>
      </c>
      <c r="E28" s="55">
        <f>STATEWIDE!F28</f>
        <v>1654.85</v>
      </c>
      <c r="F28" s="55">
        <f>STATEWIDE!G28</f>
        <v>270.89</v>
      </c>
      <c r="G28" s="55">
        <f>STATEWIDE!H28</f>
        <v>481.80000000000007</v>
      </c>
      <c r="H28" s="95">
        <f>STATEWIDE!I28</f>
        <v>5436139.7000000039</v>
      </c>
      <c r="I28" s="34">
        <v>328136.28663777997</v>
      </c>
      <c r="J28" s="35">
        <v>1293046.0375840389</v>
      </c>
      <c r="K28" s="49" t="s">
        <v>68</v>
      </c>
      <c r="L28" s="33">
        <v>1621182.3242218189</v>
      </c>
      <c r="M28" s="33">
        <v>7057322.0242218226</v>
      </c>
      <c r="O28" s="16"/>
      <c r="P28" s="16"/>
      <c r="Q28" s="16"/>
      <c r="R28" s="16"/>
    </row>
    <row r="29" spans="1:18" ht="15.75" thickBot="1" x14ac:dyDescent="0.3">
      <c r="A29" s="40" t="s">
        <v>63</v>
      </c>
      <c r="B29" s="64">
        <f>STATEWIDE!B29</f>
        <v>5730261</v>
      </c>
      <c r="C29" s="96">
        <f>STATEWIDE!D29</f>
        <v>178599</v>
      </c>
      <c r="D29" s="96">
        <f>STATEWIDE!E29</f>
        <v>146731</v>
      </c>
      <c r="E29" s="96">
        <f>STATEWIDE!F29</f>
        <v>2497</v>
      </c>
      <c r="F29" s="96">
        <f>STATEWIDE!G29</f>
        <v>197</v>
      </c>
      <c r="G29" s="96">
        <f>STATEWIDE!H29</f>
        <v>2124</v>
      </c>
      <c r="H29" s="97">
        <f>STATEWIDE!I29</f>
        <v>6060409</v>
      </c>
      <c r="I29" s="65">
        <v>371945.58626855374</v>
      </c>
      <c r="J29" s="66">
        <v>1119541.5784798749</v>
      </c>
      <c r="K29" s="67" t="s">
        <v>68</v>
      </c>
      <c r="L29" s="68">
        <v>1491487.1647484286</v>
      </c>
      <c r="M29" s="69">
        <f>SUM(H29,L29)</f>
        <v>7551896.1647484284</v>
      </c>
      <c r="P29" s="53"/>
      <c r="Q29" s="1"/>
      <c r="R29" s="53"/>
    </row>
    <row r="30" spans="1:18" x14ac:dyDescent="0.25">
      <c r="A30" s="16" t="s">
        <v>70</v>
      </c>
    </row>
    <row r="31" spans="1:18" s="16" customFormat="1" x14ac:dyDescent="0.25">
      <c r="A31" s="44" t="s">
        <v>69</v>
      </c>
    </row>
    <row r="32" spans="1:18" x14ac:dyDescent="0.25">
      <c r="A32" s="16" t="s">
        <v>67</v>
      </c>
      <c r="B32" s="36"/>
      <c r="C32" s="37"/>
      <c r="D32" s="38"/>
      <c r="E32" s="38"/>
      <c r="F32" s="38"/>
      <c r="G32" s="38"/>
      <c r="H32" s="38"/>
      <c r="I32" s="28"/>
      <c r="M32" s="8"/>
      <c r="N32" s="8"/>
    </row>
    <row r="33" spans="1:9" x14ac:dyDescent="0.25">
      <c r="A33" s="16" t="s">
        <v>66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25">
      <c r="A34" s="16"/>
    </row>
  </sheetData>
  <mergeCells count="5">
    <mergeCell ref="M2:M3"/>
    <mergeCell ref="A1:J1"/>
    <mergeCell ref="A2:A3"/>
    <mergeCell ref="B2:H3"/>
    <mergeCell ref="I2:L3"/>
  </mergeCells>
  <pageMargins left="0.7" right="0.7" top="0.75" bottom="0.75" header="0.3" footer="0.3"/>
  <pageSetup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STATEWIDE</vt:lpstr>
      <vt:lpstr>MONROE COUNTY</vt:lpstr>
      <vt:lpstr>public format</vt:lpstr>
    </vt:vector>
  </TitlesOfParts>
  <Company>Florida Fish and Wildlife Conservation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bill.sharp</dc:creator>
  <cp:lastModifiedBy>tom.matthews</cp:lastModifiedBy>
  <cp:lastPrinted>2016-05-18T15:43:31Z</cp:lastPrinted>
  <dcterms:created xsi:type="dcterms:W3CDTF">2013-06-28T17:18:16Z</dcterms:created>
  <dcterms:modified xsi:type="dcterms:W3CDTF">2016-10-12T14:28:47Z</dcterms:modified>
</cp:coreProperties>
</file>