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charts/chart2.xml" ContentType="application/vnd.openxmlformats-officedocument.drawingml.chart+xml"/>
  <Override PartName="/xl/charts/chart3.xml" ContentType="application/vnd.openxmlformats-officedocument.drawingml.chart+xml"/>
  <Default Extension="jpeg" ContentType="image/jpeg"/>
  <Default Extension="wmf" ContentType="image/x-wmf"/>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96" yWindow="312" windowWidth="11856" windowHeight="5880"/>
  </bookViews>
  <sheets>
    <sheet name="User Interface (Start Here!)" sheetId="6" r:id="rId1"/>
    <sheet name="commercial" sheetId="8" state="veryHidden" r:id="rId2"/>
    <sheet name="rec private|charter" sheetId="10" state="veryHidden" r:id="rId3"/>
    <sheet name="rec headboat" sheetId="11" state="veryHidden" r:id="rId4"/>
    <sheet name="Bathymetric Closures" sheetId="9" r:id="rId5"/>
    <sheet name="Release Mortality" sheetId="13" r:id="rId6"/>
    <sheet name="Projected Reductions" sheetId="14" r:id="rId7"/>
    <sheet name="Reduction Targets" sheetId="12" state="veryHidden" r:id="rId8"/>
  </sheets>
  <calcPr calcId="125725"/>
</workbook>
</file>

<file path=xl/calcChain.xml><?xml version="1.0" encoding="utf-8"?>
<calcChain xmlns="http://schemas.openxmlformats.org/spreadsheetml/2006/main">
  <c r="G3" i="8"/>
  <c r="H3"/>
  <c r="I3"/>
  <c r="G4"/>
  <c r="H4"/>
  <c r="I4" s="1"/>
  <c r="G5"/>
  <c r="H5"/>
  <c r="I5" s="1"/>
  <c r="G6"/>
  <c r="H6"/>
  <c r="I6" s="1"/>
  <c r="G7"/>
  <c r="H7"/>
  <c r="I7" s="1"/>
  <c r="G8"/>
  <c r="H8"/>
  <c r="G9"/>
  <c r="H9"/>
  <c r="I9"/>
  <c r="G10"/>
  <c r="H10"/>
  <c r="I10" s="1"/>
  <c r="G11"/>
  <c r="H11"/>
  <c r="I11" s="1"/>
  <c r="G12"/>
  <c r="H12"/>
  <c r="G13"/>
  <c r="H13"/>
  <c r="I13"/>
  <c r="J15" i="6"/>
  <c r="G14" i="8"/>
  <c r="H14"/>
  <c r="I14"/>
  <c r="G15"/>
  <c r="H15"/>
  <c r="I15" s="1"/>
  <c r="C18" i="9"/>
  <c r="G16" i="8"/>
  <c r="H16"/>
  <c r="I16" s="1"/>
  <c r="G17"/>
  <c r="H17"/>
  <c r="I17" s="1"/>
  <c r="C20" i="9"/>
  <c r="G18" i="8"/>
  <c r="H18"/>
  <c r="I18" s="1"/>
  <c r="G19"/>
  <c r="H19"/>
  <c r="I19" s="1"/>
  <c r="G20"/>
  <c r="H20"/>
  <c r="C23" i="9"/>
  <c r="G21" i="8"/>
  <c r="H21"/>
  <c r="I21" s="1"/>
  <c r="G22"/>
  <c r="H22"/>
  <c r="I22" s="1"/>
  <c r="L22" s="1"/>
  <c r="G23"/>
  <c r="H23"/>
  <c r="G24"/>
  <c r="H24"/>
  <c r="I24"/>
  <c r="G25"/>
  <c r="H25"/>
  <c r="I25" s="1"/>
  <c r="G26"/>
  <c r="H26"/>
  <c r="I26" s="1"/>
  <c r="L26" s="1"/>
  <c r="G27"/>
  <c r="H27"/>
  <c r="C30" i="9"/>
  <c r="G28" i="8"/>
  <c r="H28"/>
  <c r="I28" s="1"/>
  <c r="C31" i="9"/>
  <c r="G29" i="8"/>
  <c r="H29"/>
  <c r="G30"/>
  <c r="H30"/>
  <c r="I30"/>
  <c r="G31"/>
  <c r="H31"/>
  <c r="I31" s="1"/>
  <c r="G32"/>
  <c r="H32"/>
  <c r="I32" s="1"/>
  <c r="C35" i="9"/>
  <c r="G33" i="8"/>
  <c r="H33"/>
  <c r="I33" s="1"/>
  <c r="C36" i="9"/>
  <c r="G34" i="8"/>
  <c r="H34"/>
  <c r="I34" s="1"/>
  <c r="G35"/>
  <c r="H35"/>
  <c r="G36"/>
  <c r="H36"/>
  <c r="I36"/>
  <c r="G37"/>
  <c r="H37"/>
  <c r="I37" s="1"/>
  <c r="G38"/>
  <c r="H38"/>
  <c r="I38" s="1"/>
  <c r="G39"/>
  <c r="H39"/>
  <c r="G40"/>
  <c r="H40"/>
  <c r="I40"/>
  <c r="G41"/>
  <c r="H41"/>
  <c r="I41" s="1"/>
  <c r="G42"/>
  <c r="H42"/>
  <c r="I42" s="1"/>
  <c r="G43"/>
  <c r="H43"/>
  <c r="G44"/>
  <c r="H44"/>
  <c r="I44"/>
  <c r="G45"/>
  <c r="H45"/>
  <c r="I45" s="1"/>
  <c r="G46"/>
  <c r="H46"/>
  <c r="I46" s="1"/>
  <c r="G47"/>
  <c r="H47"/>
  <c r="G48"/>
  <c r="H48"/>
  <c r="I48"/>
  <c r="G49"/>
  <c r="H49"/>
  <c r="I49" s="1"/>
  <c r="G50"/>
  <c r="H50"/>
  <c r="I50" s="1"/>
  <c r="G51"/>
  <c r="H51"/>
  <c r="G52"/>
  <c r="H52"/>
  <c r="I52"/>
  <c r="G53"/>
  <c r="H53"/>
  <c r="I53" s="1"/>
  <c r="J1" i="10"/>
  <c r="J3" s="1"/>
  <c r="K3" s="1"/>
  <c r="J1" i="11"/>
  <c r="J3" s="1"/>
  <c r="K3" s="1"/>
  <c r="J13"/>
  <c r="K13" s="1"/>
  <c r="J16"/>
  <c r="K16" s="1"/>
  <c r="J17"/>
  <c r="K17" s="1"/>
  <c r="J19"/>
  <c r="K19" s="1"/>
  <c r="J20"/>
  <c r="K20" s="1"/>
  <c r="J22"/>
  <c r="K22" s="1"/>
  <c r="J23"/>
  <c r="K23" s="1"/>
  <c r="J24"/>
  <c r="K24" s="1"/>
  <c r="J25"/>
  <c r="K25" s="1"/>
  <c r="J26"/>
  <c r="K26" s="1"/>
  <c r="J27"/>
  <c r="K27" s="1"/>
  <c r="J28"/>
  <c r="K28" s="1"/>
  <c r="J29"/>
  <c r="K29" s="1"/>
  <c r="DP16" i="6"/>
  <c r="DP43"/>
  <c r="DP44"/>
  <c r="DP35"/>
  <c r="DP36"/>
  <c r="DP28"/>
  <c r="L16" i="11" s="1"/>
  <c r="M16" s="1"/>
  <c r="DP21" i="6"/>
  <c r="DQ43"/>
  <c r="DQ35"/>
  <c r="DQ28"/>
  <c r="DQ16"/>
  <c r="DQ21"/>
  <c r="DQ36"/>
  <c r="AP96" i="9"/>
  <c r="AQ96"/>
  <c r="BL17"/>
  <c r="AP98"/>
  <c r="AQ98"/>
  <c r="BL19"/>
  <c r="AP101"/>
  <c r="AQ101" s="1"/>
  <c r="BL22" s="1"/>
  <c r="AP108"/>
  <c r="AQ108"/>
  <c r="BL29"/>
  <c r="AP109"/>
  <c r="AQ109" s="1"/>
  <c r="BL30" s="1"/>
  <c r="AP113"/>
  <c r="AQ113"/>
  <c r="BL34"/>
  <c r="AP114"/>
  <c r="AQ114" s="1"/>
  <c r="BL35" s="1"/>
  <c r="G48" i="6"/>
  <c r="AP81" i="9"/>
  <c r="AO81"/>
  <c r="AQ81"/>
  <c r="BL2" s="1"/>
  <c r="C3"/>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C53" i="6"/>
  <c r="D53"/>
  <c r="E53" s="1"/>
  <c r="C54"/>
  <c r="D54"/>
  <c r="E54" s="1"/>
  <c r="G66"/>
  <c r="G46"/>
  <c r="Y15"/>
  <c r="AP103" i="9"/>
  <c r="AO103"/>
  <c r="AQ103"/>
  <c r="BL24"/>
  <c r="C25"/>
  <c r="AP104"/>
  <c r="AO104"/>
  <c r="AQ104" s="1"/>
  <c r="BL25" s="1"/>
  <c r="C26"/>
  <c r="AP105"/>
  <c r="AO105"/>
  <c r="AQ105"/>
  <c r="BL26"/>
  <c r="C27"/>
  <c r="AP106"/>
  <c r="AO106"/>
  <c r="AQ106" s="1"/>
  <c r="BL27" s="1"/>
  <c r="C28"/>
  <c r="AP107"/>
  <c r="AO107"/>
  <c r="AQ107"/>
  <c r="BL28"/>
  <c r="C29"/>
  <c r="AP110"/>
  <c r="AO110"/>
  <c r="AQ110" s="1"/>
  <c r="BL31" s="1"/>
  <c r="C32"/>
  <c r="AP111"/>
  <c r="AO111"/>
  <c r="AQ111"/>
  <c r="BL32"/>
  <c r="C33"/>
  <c r="AP112"/>
  <c r="AO112"/>
  <c r="AQ112" s="1"/>
  <c r="BL33" s="1"/>
  <c r="C34"/>
  <c r="AP115"/>
  <c r="AO115"/>
  <c r="AQ115"/>
  <c r="BL36" s="1"/>
  <c r="C37"/>
  <c r="AP116"/>
  <c r="AO116"/>
  <c r="AQ116" s="1"/>
  <c r="BL37" s="1"/>
  <c r="C38"/>
  <c r="AP117"/>
  <c r="AO117"/>
  <c r="AQ117"/>
  <c r="BL38" s="1"/>
  <c r="C39"/>
  <c r="AP118"/>
  <c r="AO118"/>
  <c r="AQ118" s="1"/>
  <c r="BL39" s="1"/>
  <c r="C40"/>
  <c r="AP119"/>
  <c r="AQ119" s="1"/>
  <c r="BL40" s="1"/>
  <c r="C41"/>
  <c r="AP120"/>
  <c r="AQ120" s="1"/>
  <c r="BL41" s="1"/>
  <c r="C42"/>
  <c r="AP121"/>
  <c r="AQ121" s="1"/>
  <c r="BL42" s="1"/>
  <c r="C43"/>
  <c r="AP122"/>
  <c r="AO122"/>
  <c r="AQ122"/>
  <c r="BL43" s="1"/>
  <c r="C44"/>
  <c r="AP123"/>
  <c r="AO123"/>
  <c r="AQ123" s="1"/>
  <c r="BL44" s="1"/>
  <c r="C45"/>
  <c r="AP124"/>
  <c r="AO124"/>
  <c r="AQ124"/>
  <c r="BL45" s="1"/>
  <c r="C46"/>
  <c r="AP125"/>
  <c r="AO125"/>
  <c r="AQ125" s="1"/>
  <c r="BL46" s="1"/>
  <c r="C47"/>
  <c r="AP126"/>
  <c r="AO126"/>
  <c r="AQ126"/>
  <c r="BL47" s="1"/>
  <c r="C48"/>
  <c r="AP127"/>
  <c r="AQ127"/>
  <c r="BL48" s="1"/>
  <c r="C49"/>
  <c r="AP128"/>
  <c r="AQ128"/>
  <c r="BL49" s="1"/>
  <c r="C50"/>
  <c r="AP129"/>
  <c r="AQ129"/>
  <c r="BL50" s="1"/>
  <c r="C51"/>
  <c r="AP130"/>
  <c r="AO130"/>
  <c r="AQ130" s="1"/>
  <c r="BL51" s="1"/>
  <c r="C52"/>
  <c r="AP131"/>
  <c r="AO131"/>
  <c r="AQ131"/>
  <c r="BL52" s="1"/>
  <c r="C53"/>
  <c r="AP132"/>
  <c r="AO132"/>
  <c r="AQ132" s="1"/>
  <c r="BL53" s="1"/>
  <c r="C54"/>
  <c r="AP133"/>
  <c r="AQ133" s="1"/>
  <c r="BL54" s="1"/>
  <c r="C55"/>
  <c r="AP134"/>
  <c r="AO134"/>
  <c r="AQ134"/>
  <c r="BL55" s="1"/>
  <c r="C56"/>
  <c r="AP135"/>
  <c r="AO135"/>
  <c r="AQ135" s="1"/>
  <c r="BL56" s="1"/>
  <c r="C57"/>
  <c r="AP82"/>
  <c r="AO82"/>
  <c r="AQ82"/>
  <c r="BL3" s="1"/>
  <c r="C4"/>
  <c r="AP83"/>
  <c r="AO83"/>
  <c r="AQ83" s="1"/>
  <c r="BL4" s="1"/>
  <c r="C5"/>
  <c r="AP84"/>
  <c r="AO84"/>
  <c r="AQ84"/>
  <c r="BL5" s="1"/>
  <c r="C6"/>
  <c r="AP85"/>
  <c r="AO85"/>
  <c r="AQ85" s="1"/>
  <c r="BL6" s="1"/>
  <c r="C7"/>
  <c r="AP86"/>
  <c r="AO86"/>
  <c r="AQ86"/>
  <c r="BL7" s="1"/>
  <c r="C8"/>
  <c r="AP87"/>
  <c r="AO87"/>
  <c r="AQ87" s="1"/>
  <c r="BL8" s="1"/>
  <c r="C9"/>
  <c r="AP88"/>
  <c r="AO88"/>
  <c r="AQ88"/>
  <c r="BL9" s="1"/>
  <c r="C10"/>
  <c r="AP89"/>
  <c r="AO89"/>
  <c r="AQ89" s="1"/>
  <c r="BL10" s="1"/>
  <c r="C11"/>
  <c r="AP90"/>
  <c r="AO90"/>
  <c r="AQ90"/>
  <c r="BL11" s="1"/>
  <c r="C12"/>
  <c r="AP91"/>
  <c r="AO91"/>
  <c r="AQ91" s="1"/>
  <c r="BL12" s="1"/>
  <c r="C13"/>
  <c r="AP92"/>
  <c r="AQ92" s="1"/>
  <c r="BL13" s="1"/>
  <c r="C14"/>
  <c r="AP93"/>
  <c r="AQ93" s="1"/>
  <c r="BL14" s="1"/>
  <c r="C15"/>
  <c r="AP94"/>
  <c r="AO94"/>
  <c r="AQ94"/>
  <c r="BL15" s="1"/>
  <c r="C16"/>
  <c r="AP95"/>
  <c r="AO95"/>
  <c r="AQ95" s="1"/>
  <c r="BL16" s="1"/>
  <c r="C17"/>
  <c r="AP97"/>
  <c r="AO97"/>
  <c r="AQ97"/>
  <c r="BL18" s="1"/>
  <c r="C19"/>
  <c r="AP99"/>
  <c r="AO99"/>
  <c r="AQ99" s="1"/>
  <c r="BL20" s="1"/>
  <c r="C21"/>
  <c r="AP100"/>
  <c r="AO100"/>
  <c r="AQ100"/>
  <c r="BL21" s="1"/>
  <c r="C22"/>
  <c r="AP102"/>
  <c r="AO102"/>
  <c r="AQ102" s="1"/>
  <c r="BL23" s="1"/>
  <c r="C24"/>
  <c r="L17" i="6"/>
  <c r="DP12"/>
  <c r="DP29"/>
  <c r="DQ29" s="1"/>
  <c r="DP59"/>
  <c r="DQ59"/>
  <c r="DP52"/>
  <c r="DQ12"/>
  <c r="DQ52"/>
  <c r="DP15"/>
  <c r="DP20"/>
  <c r="J17" i="8" s="1"/>
  <c r="K17" s="1"/>
  <c r="DP27" i="6"/>
  <c r="J20" i="8" s="1"/>
  <c r="K20" s="1"/>
  <c r="DP26" i="6"/>
  <c r="DP34"/>
  <c r="J27" i="8"/>
  <c r="DP51" i="6"/>
  <c r="DQ15"/>
  <c r="DQ26"/>
  <c r="DQ34"/>
  <c r="DQ51"/>
  <c r="M8"/>
  <c r="M10"/>
  <c r="M30"/>
  <c r="DP73"/>
  <c r="J53" i="8" s="1"/>
  <c r="K53" s="1"/>
  <c r="DP72" i="6"/>
  <c r="J52" i="8" s="1"/>
  <c r="K52" s="1"/>
  <c r="DP71" i="6"/>
  <c r="DP70"/>
  <c r="DP69"/>
  <c r="DP68"/>
  <c r="DP67"/>
  <c r="DP66"/>
  <c r="DP65"/>
  <c r="J50" i="8" s="1"/>
  <c r="K50" s="1"/>
  <c r="DP64" i="6"/>
  <c r="J49" i="8"/>
  <c r="DP63" i="6"/>
  <c r="J48" i="8"/>
  <c r="DP62" i="6"/>
  <c r="DP61"/>
  <c r="DP60"/>
  <c r="DP58"/>
  <c r="DP57"/>
  <c r="J44" i="8"/>
  <c r="DP56" i="6"/>
  <c r="J43" i="8"/>
  <c r="DP55" i="6"/>
  <c r="J42" i="8"/>
  <c r="DP54" i="6"/>
  <c r="DP53"/>
  <c r="J41" i="8" s="1"/>
  <c r="K41" s="1"/>
  <c r="DP50" i="6"/>
  <c r="J38" i="8" s="1"/>
  <c r="DP49" i="6"/>
  <c r="J37" i="8" s="1"/>
  <c r="K37" s="1"/>
  <c r="DP48" i="6"/>
  <c r="J36" i="8" s="1"/>
  <c r="K36" s="1"/>
  <c r="DP47" i="6"/>
  <c r="DP46"/>
  <c r="DP45"/>
  <c r="DP42"/>
  <c r="DP41"/>
  <c r="J31" i="8"/>
  <c r="DP40" i="6"/>
  <c r="DP39"/>
  <c r="J30" i="8"/>
  <c r="DP38" i="6"/>
  <c r="DP37"/>
  <c r="DP33"/>
  <c r="J26" i="8"/>
  <c r="DP32" i="6"/>
  <c r="J25" i="8"/>
  <c r="DP31" i="6"/>
  <c r="J24" i="8"/>
  <c r="DP30" i="6"/>
  <c r="J23" i="8"/>
  <c r="DP25" i="6"/>
  <c r="DP24"/>
  <c r="DP23"/>
  <c r="DP22"/>
  <c r="DP19"/>
  <c r="DP18"/>
  <c r="DP17"/>
  <c r="DP14"/>
  <c r="J14" i="8" s="1"/>
  <c r="K14" s="1"/>
  <c r="DP13" i="6"/>
  <c r="DP11"/>
  <c r="DP10"/>
  <c r="J11" i="8" s="1"/>
  <c r="K11" s="1"/>
  <c r="DP9" i="6"/>
  <c r="DP8"/>
  <c r="M32"/>
  <c r="M35"/>
  <c r="DQ73"/>
  <c r="DQ72"/>
  <c r="DQ71"/>
  <c r="DQ70"/>
  <c r="DQ69"/>
  <c r="DQ68"/>
  <c r="DQ67"/>
  <c r="DQ66"/>
  <c r="DQ65"/>
  <c r="DQ64"/>
  <c r="DQ63"/>
  <c r="DQ62"/>
  <c r="DQ61"/>
  <c r="DQ60"/>
  <c r="DQ58"/>
  <c r="DQ57"/>
  <c r="DQ56"/>
  <c r="DQ55"/>
  <c r="DQ54"/>
  <c r="DQ53"/>
  <c r="DQ50"/>
  <c r="DQ49"/>
  <c r="DQ48"/>
  <c r="DQ47"/>
  <c r="DQ46"/>
  <c r="DQ45"/>
  <c r="DQ42"/>
  <c r="DQ41"/>
  <c r="DQ40"/>
  <c r="DQ39"/>
  <c r="DQ38"/>
  <c r="DQ37"/>
  <c r="DQ33"/>
  <c r="DQ32"/>
  <c r="DQ31"/>
  <c r="DQ30"/>
  <c r="DQ25"/>
  <c r="DQ24"/>
  <c r="DQ23"/>
  <c r="DQ22"/>
  <c r="DQ19"/>
  <c r="DQ18"/>
  <c r="DQ17"/>
  <c r="DQ14"/>
  <c r="DQ13"/>
  <c r="DQ11"/>
  <c r="DQ10"/>
  <c r="DQ9"/>
  <c r="DQ8"/>
  <c r="DP7"/>
  <c r="DQ7"/>
  <c r="DP6"/>
  <c r="DQ6"/>
  <c r="DP5"/>
  <c r="DQ5"/>
  <c r="DP4"/>
  <c r="DQ4"/>
  <c r="DP3"/>
  <c r="DQ3"/>
  <c r="DP2"/>
  <c r="J3" i="8"/>
  <c r="BK56" i="9"/>
  <c r="BK55"/>
  <c r="BK54"/>
  <c r="BK53"/>
  <c r="BK52"/>
  <c r="BK51"/>
  <c r="BK50"/>
  <c r="BK49"/>
  <c r="BK48"/>
  <c r="BK47"/>
  <c r="BK46"/>
  <c r="BK45"/>
  <c r="BK44"/>
  <c r="BK43"/>
  <c r="BK42"/>
  <c r="BK41"/>
  <c r="BK40"/>
  <c r="BK39"/>
  <c r="BK38"/>
  <c r="BK37"/>
  <c r="BK36"/>
  <c r="BK35"/>
  <c r="BK34"/>
  <c r="BK33"/>
  <c r="BK32"/>
  <c r="BK31"/>
  <c r="BK30"/>
  <c r="BK29"/>
  <c r="BK28"/>
  <c r="BK27"/>
  <c r="BK26"/>
  <c r="BK25"/>
  <c r="BK24"/>
  <c r="BK23"/>
  <c r="BK22"/>
  <c r="BK21"/>
  <c r="BK20"/>
  <c r="BK19"/>
  <c r="BK18"/>
  <c r="BK17"/>
  <c r="BK16"/>
  <c r="BK15"/>
  <c r="BK14"/>
  <c r="BK13"/>
  <c r="BK12"/>
  <c r="BK11"/>
  <c r="BK10"/>
  <c r="BK9"/>
  <c r="BK8"/>
  <c r="BK7"/>
  <c r="BK6"/>
  <c r="BK5"/>
  <c r="BK4"/>
  <c r="BK3"/>
  <c r="BK2"/>
  <c r="BJ56"/>
  <c r="BJ55"/>
  <c r="BJ54"/>
  <c r="BJ53"/>
  <c r="BJ52"/>
  <c r="BJ51"/>
  <c r="BJ50"/>
  <c r="BJ49"/>
  <c r="BJ48"/>
  <c r="BJ47"/>
  <c r="BJ46"/>
  <c r="BJ45"/>
  <c r="BJ44"/>
  <c r="BJ43"/>
  <c r="BJ42"/>
  <c r="BJ41"/>
  <c r="BJ40"/>
  <c r="BJ39"/>
  <c r="BJ38"/>
  <c r="BJ37"/>
  <c r="BJ36"/>
  <c r="BJ35"/>
  <c r="BJ34"/>
  <c r="BJ33"/>
  <c r="BJ32"/>
  <c r="BJ31"/>
  <c r="BJ30"/>
  <c r="BJ29"/>
  <c r="BJ28"/>
  <c r="BJ27"/>
  <c r="BJ26"/>
  <c r="BJ25"/>
  <c r="BJ24"/>
  <c r="BJ23"/>
  <c r="BJ22"/>
  <c r="BJ21"/>
  <c r="BJ20"/>
  <c r="BJ19"/>
  <c r="BJ18"/>
  <c r="BJ17"/>
  <c r="BJ16"/>
  <c r="BJ15"/>
  <c r="BJ14"/>
  <c r="BJ13"/>
  <c r="BJ12"/>
  <c r="BJ11"/>
  <c r="BJ10"/>
  <c r="BJ9"/>
  <c r="BJ8"/>
  <c r="BJ7"/>
  <c r="BJ6"/>
  <c r="BJ5"/>
  <c r="BJ4"/>
  <c r="BJ3"/>
  <c r="BJ2"/>
  <c r="AO133"/>
  <c r="AO129"/>
  <c r="AO128"/>
  <c r="AO127"/>
  <c r="AO121"/>
  <c r="AO120"/>
  <c r="AO119"/>
  <c r="AO114"/>
  <c r="AO113"/>
  <c r="AO109"/>
  <c r="AO108"/>
  <c r="AO101"/>
  <c r="AO98"/>
  <c r="AO96"/>
  <c r="AO93"/>
  <c r="AO92"/>
  <c r="U53" i="6"/>
  <c r="V53"/>
  <c r="U54"/>
  <c r="V54"/>
  <c r="U55"/>
  <c r="V55"/>
  <c r="S56"/>
  <c r="T56"/>
  <c r="U56"/>
  <c r="V56"/>
  <c r="DR35"/>
  <c r="DR34"/>
  <c r="DR33"/>
  <c r="DR32"/>
  <c r="DR31"/>
  <c r="DR30"/>
  <c r="DR29"/>
  <c r="DR28"/>
  <c r="DR27"/>
  <c r="DR26"/>
  <c r="DR25"/>
  <c r="DR24"/>
  <c r="DR23"/>
  <c r="DR22"/>
  <c r="DR21"/>
  <c r="DR20"/>
  <c r="DR19"/>
  <c r="DR18"/>
  <c r="DR17"/>
  <c r="DR16"/>
  <c r="DR15"/>
  <c r="DR14"/>
  <c r="DR13"/>
  <c r="DR12"/>
  <c r="DR11"/>
  <c r="DR10"/>
  <c r="DR9"/>
  <c r="DR8"/>
  <c r="DR7"/>
  <c r="DR6"/>
  <c r="DR5"/>
  <c r="DR4"/>
  <c r="DR3"/>
  <c r="DR2"/>
  <c r="DT2" s="1"/>
  <c r="DT3" s="1"/>
  <c r="DT4" s="1"/>
  <c r="DT5" s="1"/>
  <c r="DT6" s="1"/>
  <c r="DT7" s="1"/>
  <c r="DT8" s="1"/>
  <c r="DT9" s="1"/>
  <c r="DT10" s="1"/>
  <c r="DT11" s="1"/>
  <c r="DT12" s="1"/>
  <c r="DT13" s="1"/>
  <c r="DT14" s="1"/>
  <c r="DT15" s="1"/>
  <c r="DT16" s="1"/>
  <c r="DT17" s="1"/>
  <c r="DT18" s="1"/>
  <c r="DT19" s="1"/>
  <c r="DT20" s="1"/>
  <c r="DT21" s="1"/>
  <c r="DT22" s="1"/>
  <c r="DT23" s="1"/>
  <c r="DT24" s="1"/>
  <c r="DT25" s="1"/>
  <c r="DT26" s="1"/>
  <c r="DT27" s="1"/>
  <c r="DT28" s="1"/>
  <c r="DT29" s="1"/>
  <c r="DT30" s="1"/>
  <c r="DT31" s="1"/>
  <c r="DT32" s="1"/>
  <c r="DT33" s="1"/>
  <c r="DT34" s="1"/>
  <c r="DT35" s="1"/>
  <c r="DT36" s="1"/>
  <c r="DT37" s="1"/>
  <c r="DT38" s="1"/>
  <c r="DT39" s="1"/>
  <c r="DT40" s="1"/>
  <c r="DT41" s="1"/>
  <c r="DT42" s="1"/>
  <c r="DT43" s="1"/>
  <c r="DT44" s="1"/>
  <c r="DT45" s="1"/>
  <c r="DT46" s="1"/>
  <c r="DT47" s="1"/>
  <c r="DT48" s="1"/>
  <c r="DT49" s="1"/>
  <c r="DT50" s="1"/>
  <c r="DT51" s="1"/>
  <c r="DT52" s="1"/>
  <c r="DT53" s="1"/>
  <c r="DT54" s="1"/>
  <c r="DT55" s="1"/>
  <c r="DT56" s="1"/>
  <c r="DT57" s="1"/>
  <c r="DT58" s="1"/>
  <c r="DT59" s="1"/>
  <c r="DT60" s="1"/>
  <c r="DT61" s="1"/>
  <c r="DT62" s="1"/>
  <c r="DT63" s="1"/>
  <c r="DT64" s="1"/>
  <c r="DT65" s="1"/>
  <c r="DT66" s="1"/>
  <c r="DT67" s="1"/>
  <c r="DT68" s="1"/>
  <c r="DT69" s="1"/>
  <c r="DT70" s="1"/>
  <c r="DT71" s="1"/>
  <c r="DT72" s="1"/>
  <c r="DT73" s="1"/>
  <c r="DR36"/>
  <c r="DR37"/>
  <c r="DR38"/>
  <c r="DR39"/>
  <c r="DR40"/>
  <c r="DR41"/>
  <c r="DR42"/>
  <c r="DR43"/>
  <c r="DR44"/>
  <c r="DR45"/>
  <c r="DR46"/>
  <c r="DR47"/>
  <c r="B59"/>
  <c r="L68"/>
  <c r="K68"/>
  <c r="J68"/>
  <c r="I68"/>
  <c r="H68"/>
  <c r="G68"/>
  <c r="F68"/>
  <c r="E68"/>
  <c r="L67"/>
  <c r="K67"/>
  <c r="J67"/>
  <c r="I67"/>
  <c r="H67"/>
  <c r="G67"/>
  <c r="F67"/>
  <c r="E67"/>
  <c r="L66"/>
  <c r="K66"/>
  <c r="J66"/>
  <c r="I66"/>
  <c r="H66"/>
  <c r="F66"/>
  <c r="E66"/>
  <c r="L65"/>
  <c r="K65"/>
  <c r="J65"/>
  <c r="I65"/>
  <c r="H65"/>
  <c r="G65"/>
  <c r="F65"/>
  <c r="E65"/>
  <c r="L64"/>
  <c r="K64"/>
  <c r="J64"/>
  <c r="I64"/>
  <c r="H64"/>
  <c r="G64"/>
  <c r="F64"/>
  <c r="E64"/>
  <c r="DR48"/>
  <c r="DR49"/>
  <c r="DR50"/>
  <c r="DR51"/>
  <c r="DR52"/>
  <c r="DR53"/>
  <c r="DR54"/>
  <c r="DR55"/>
  <c r="DR56"/>
  <c r="DR57"/>
  <c r="DR58"/>
  <c r="DR59"/>
  <c r="DR60"/>
  <c r="DR61"/>
  <c r="DR62"/>
  <c r="DR63"/>
  <c r="DR64"/>
  <c r="DR65"/>
  <c r="DR66"/>
  <c r="DR67"/>
  <c r="DR68"/>
  <c r="DR69"/>
  <c r="DR70"/>
  <c r="DR71"/>
  <c r="DR72"/>
  <c r="DR73"/>
  <c r="I29" i="11"/>
  <c r="I28"/>
  <c r="I27"/>
  <c r="I26"/>
  <c r="I25"/>
  <c r="I24"/>
  <c r="I23"/>
  <c r="I22"/>
  <c r="I21"/>
  <c r="I20"/>
  <c r="I19"/>
  <c r="I18"/>
  <c r="I17"/>
  <c r="I16"/>
  <c r="I15"/>
  <c r="I14"/>
  <c r="I13"/>
  <c r="I12"/>
  <c r="I11"/>
  <c r="I10"/>
  <c r="I9"/>
  <c r="I8"/>
  <c r="I7"/>
  <c r="I6"/>
  <c r="I5"/>
  <c r="I4"/>
  <c r="I3"/>
  <c r="E29"/>
  <c r="E28"/>
  <c r="E27"/>
  <c r="E26"/>
  <c r="E25"/>
  <c r="E24"/>
  <c r="E23"/>
  <c r="E22"/>
  <c r="E21"/>
  <c r="E20"/>
  <c r="E19"/>
  <c r="E18"/>
  <c r="E17"/>
  <c r="E16"/>
  <c r="E15"/>
  <c r="E14"/>
  <c r="E13"/>
  <c r="E12"/>
  <c r="E11"/>
  <c r="E10"/>
  <c r="E9"/>
  <c r="E8"/>
  <c r="E7"/>
  <c r="E6"/>
  <c r="E5"/>
  <c r="E4"/>
  <c r="E3"/>
  <c r="E30" s="1"/>
  <c r="BE29"/>
  <c r="BE30"/>
  <c r="BE31"/>
  <c r="BE32"/>
  <c r="BE33"/>
  <c r="BE34"/>
  <c r="BE35"/>
  <c r="BE36"/>
  <c r="BE37"/>
  <c r="BE38"/>
  <c r="BE39"/>
  <c r="BE40"/>
  <c r="BE41"/>
  <c r="BE42"/>
  <c r="BE43"/>
  <c r="BE44"/>
  <c r="BE45"/>
  <c r="BE46"/>
  <c r="BE47"/>
  <c r="BE48"/>
  <c r="BE49"/>
  <c r="BE50"/>
  <c r="I30"/>
  <c r="H30"/>
  <c r="G30"/>
  <c r="F30"/>
  <c r="D30"/>
  <c r="D55" i="6" s="1"/>
  <c r="D56" s="1"/>
  <c r="C30" i="11"/>
  <c r="C55" i="6" s="1"/>
  <c r="AS16" i="11"/>
  <c r="AT16" s="1"/>
  <c r="AU16"/>
  <c r="AV16" s="1"/>
  <c r="AW16"/>
  <c r="AX16" s="1"/>
  <c r="AY16"/>
  <c r="AZ16" s="1"/>
  <c r="BA16"/>
  <c r="BB16" s="1"/>
  <c r="BC16"/>
  <c r="BD16" s="1"/>
  <c r="AS17"/>
  <c r="AT17" s="1"/>
  <c r="BE17" s="1"/>
  <c r="AU17"/>
  <c r="AV17"/>
  <c r="AW17"/>
  <c r="AX17"/>
  <c r="AY17"/>
  <c r="AZ17"/>
  <c r="BA17"/>
  <c r="BB17"/>
  <c r="BC17"/>
  <c r="BD17"/>
  <c r="AS19"/>
  <c r="AT19"/>
  <c r="AU19"/>
  <c r="AV19"/>
  <c r="AW19"/>
  <c r="AX19"/>
  <c r="AY19"/>
  <c r="AZ19"/>
  <c r="BA19"/>
  <c r="BB19"/>
  <c r="BC19"/>
  <c r="BD19"/>
  <c r="AS18"/>
  <c r="AT18"/>
  <c r="AU18"/>
  <c r="AV18" s="1"/>
  <c r="AW18"/>
  <c r="AX18" s="1"/>
  <c r="AY18"/>
  <c r="AZ18" s="1"/>
  <c r="BA18"/>
  <c r="BB18" s="1"/>
  <c r="BC18"/>
  <c r="BD18" s="1"/>
  <c r="BE28"/>
  <c r="BE27"/>
  <c r="BE26"/>
  <c r="BE24"/>
  <c r="BE25"/>
  <c r="AS20"/>
  <c r="AT20"/>
  <c r="AU20"/>
  <c r="AV20" s="1"/>
  <c r="AW20"/>
  <c r="AX20" s="1"/>
  <c r="AY20"/>
  <c r="AZ20" s="1"/>
  <c r="BA20"/>
  <c r="BB20" s="1"/>
  <c r="BC20"/>
  <c r="BD20" s="1"/>
  <c r="J2"/>
  <c r="J25" i="10"/>
  <c r="K25" s="1"/>
  <c r="J2"/>
  <c r="AS11"/>
  <c r="AT11"/>
  <c r="AU11"/>
  <c r="AV11" s="1"/>
  <c r="AW11"/>
  <c r="AX11" s="1"/>
  <c r="AY11"/>
  <c r="AZ11" s="1"/>
  <c r="BA11"/>
  <c r="BB11" s="1"/>
  <c r="BC11"/>
  <c r="BD11" s="1"/>
  <c r="AS12"/>
  <c r="AT12" s="1"/>
  <c r="AU12"/>
  <c r="AV12" s="1"/>
  <c r="AW12"/>
  <c r="AX12" s="1"/>
  <c r="AY12"/>
  <c r="AZ12" s="1"/>
  <c r="BA12"/>
  <c r="BB12" s="1"/>
  <c r="BC12"/>
  <c r="BD12" s="1"/>
  <c r="AS14"/>
  <c r="AT14" s="1"/>
  <c r="AU14"/>
  <c r="AV14"/>
  <c r="AW14"/>
  <c r="AX14" s="1"/>
  <c r="AY14"/>
  <c r="AZ14"/>
  <c r="BA14"/>
  <c r="BB14" s="1"/>
  <c r="BC14"/>
  <c r="BD14"/>
  <c r="AS13"/>
  <c r="AT13" s="1"/>
  <c r="AU13"/>
  <c r="AV13" s="1"/>
  <c r="AW13"/>
  <c r="AX13" s="1"/>
  <c r="AY13"/>
  <c r="AZ13" s="1"/>
  <c r="BA13"/>
  <c r="BB13" s="1"/>
  <c r="BC13"/>
  <c r="BD13" s="1"/>
  <c r="AS15"/>
  <c r="AT15" s="1"/>
  <c r="AU15"/>
  <c r="AV15" s="1"/>
  <c r="AW15"/>
  <c r="AX15" s="1"/>
  <c r="AY15"/>
  <c r="AZ15" s="1"/>
  <c r="BA15"/>
  <c r="BB15" s="1"/>
  <c r="BC15"/>
  <c r="BD15" s="1"/>
  <c r="M6" i="6"/>
  <c r="H2" i="8"/>
  <c r="E3" i="10"/>
  <c r="E4"/>
  <c r="E5"/>
  <c r="E6"/>
  <c r="E25" s="1"/>
  <c r="E7"/>
  <c r="E8"/>
  <c r="E9"/>
  <c r="E10"/>
  <c r="E11"/>
  <c r="E12"/>
  <c r="E13"/>
  <c r="E14"/>
  <c r="E15"/>
  <c r="E16"/>
  <c r="E17"/>
  <c r="E18"/>
  <c r="E19"/>
  <c r="E20"/>
  <c r="E21"/>
  <c r="E22"/>
  <c r="E23"/>
  <c r="E24"/>
  <c r="G54" i="8"/>
  <c r="H54"/>
  <c r="Z53" i="6"/>
  <c r="G55" i="8"/>
  <c r="H55"/>
  <c r="G1"/>
  <c r="D57" i="9"/>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D5"/>
  <c r="D4"/>
  <c r="D3"/>
  <c r="G2" i="8"/>
  <c r="CF6"/>
  <c r="CF7"/>
  <c r="CF8"/>
  <c r="CF9"/>
  <c r="CF10"/>
  <c r="CF11"/>
  <c r="CF12"/>
  <c r="CF13"/>
  <c r="CF14"/>
  <c r="CF15"/>
  <c r="CF16"/>
  <c r="CF17"/>
  <c r="CF18"/>
  <c r="CF19"/>
  <c r="CF20"/>
  <c r="CF21"/>
  <c r="CF22"/>
  <c r="CF23"/>
  <c r="CF24"/>
  <c r="CF25"/>
  <c r="CF26"/>
  <c r="CF27"/>
  <c r="CF28"/>
  <c r="CF29"/>
  <c r="CF30"/>
  <c r="CF31"/>
  <c r="CF32"/>
  <c r="CF33"/>
  <c r="CF34"/>
  <c r="CF35"/>
  <c r="CF36"/>
  <c r="CF37"/>
  <c r="CF38"/>
  <c r="CF39"/>
  <c r="CF40"/>
  <c r="CF41"/>
  <c r="CF42"/>
  <c r="CF43"/>
  <c r="CF44"/>
  <c r="CF45"/>
  <c r="CF46"/>
  <c r="CF47"/>
  <c r="CF48"/>
  <c r="CF49"/>
  <c r="CF50"/>
  <c r="CF51"/>
  <c r="CF52"/>
  <c r="CF53"/>
  <c r="CF54"/>
  <c r="CF55"/>
  <c r="CF56"/>
  <c r="CF57"/>
  <c r="CF58"/>
  <c r="CF59"/>
  <c r="CF60"/>
  <c r="CE6"/>
  <c r="CG6"/>
  <c r="CH6"/>
  <c r="CI6"/>
  <c r="CJ6"/>
  <c r="CK6"/>
  <c r="CL6"/>
  <c r="CM6"/>
  <c r="CN6"/>
  <c r="CO6"/>
  <c r="CP6"/>
  <c r="CE7"/>
  <c r="CG7"/>
  <c r="CH7"/>
  <c r="CH61" s="1"/>
  <c r="CI7"/>
  <c r="CJ7"/>
  <c r="CK7"/>
  <c r="CL7"/>
  <c r="CL61" s="1"/>
  <c r="CM7"/>
  <c r="CN7"/>
  <c r="CO7"/>
  <c r="CP7"/>
  <c r="CP61" s="1"/>
  <c r="CE8"/>
  <c r="CG8"/>
  <c r="CH8"/>
  <c r="CI8"/>
  <c r="CJ8"/>
  <c r="CK8"/>
  <c r="CL8"/>
  <c r="CM8"/>
  <c r="CN8"/>
  <c r="CO8"/>
  <c r="CP8"/>
  <c r="CE9"/>
  <c r="CG9"/>
  <c r="CH9"/>
  <c r="CI9"/>
  <c r="CJ9"/>
  <c r="CK9"/>
  <c r="CL9"/>
  <c r="CM9"/>
  <c r="CN9"/>
  <c r="CO9"/>
  <c r="CP9"/>
  <c r="CE10"/>
  <c r="CG10"/>
  <c r="CH10"/>
  <c r="CI10"/>
  <c r="CJ10"/>
  <c r="CK10"/>
  <c r="CL10"/>
  <c r="CM10"/>
  <c r="CN10"/>
  <c r="CO10"/>
  <c r="CP10"/>
  <c r="CE11"/>
  <c r="CG11"/>
  <c r="CH11"/>
  <c r="CI11"/>
  <c r="CJ11"/>
  <c r="CK11"/>
  <c r="CL11"/>
  <c r="CM11"/>
  <c r="CN11"/>
  <c r="CO11"/>
  <c r="CP11"/>
  <c r="CE12"/>
  <c r="CG12"/>
  <c r="CH12"/>
  <c r="CI12"/>
  <c r="CI61" s="1"/>
  <c r="CJ12"/>
  <c r="CK12"/>
  <c r="CL12"/>
  <c r="CM12"/>
  <c r="CM61" s="1"/>
  <c r="CN12"/>
  <c r="CO12"/>
  <c r="CP12"/>
  <c r="CE13"/>
  <c r="CE61" s="1"/>
  <c r="CG13"/>
  <c r="CH13"/>
  <c r="CI13"/>
  <c r="CJ13"/>
  <c r="CK13"/>
  <c r="CL13"/>
  <c r="CM13"/>
  <c r="CN13"/>
  <c r="CO13"/>
  <c r="CP13"/>
  <c r="CE14"/>
  <c r="CG14"/>
  <c r="CH14"/>
  <c r="CI14"/>
  <c r="CJ14"/>
  <c r="CK14"/>
  <c r="CL14"/>
  <c r="CM14"/>
  <c r="CN14"/>
  <c r="CO14"/>
  <c r="CP14"/>
  <c r="CE15"/>
  <c r="CG15"/>
  <c r="CH15"/>
  <c r="CI15"/>
  <c r="CJ15"/>
  <c r="CK15"/>
  <c r="CL15"/>
  <c r="CM15"/>
  <c r="CN15"/>
  <c r="CO15"/>
  <c r="CP15"/>
  <c r="CE16"/>
  <c r="CG16"/>
  <c r="CH16"/>
  <c r="CI16"/>
  <c r="CJ16"/>
  <c r="CK16"/>
  <c r="CL16"/>
  <c r="CM16"/>
  <c r="CN16"/>
  <c r="CO16"/>
  <c r="CP16"/>
  <c r="CE17"/>
  <c r="CG17"/>
  <c r="CH17"/>
  <c r="CI17"/>
  <c r="CJ17"/>
  <c r="CK17"/>
  <c r="CL17"/>
  <c r="CM17"/>
  <c r="CN17"/>
  <c r="CO17"/>
  <c r="CP17"/>
  <c r="CE18"/>
  <c r="CG18"/>
  <c r="CH18"/>
  <c r="CI18"/>
  <c r="CJ18"/>
  <c r="CK18"/>
  <c r="CL18"/>
  <c r="CM18"/>
  <c r="CN18"/>
  <c r="CO18"/>
  <c r="CP18"/>
  <c r="CE19"/>
  <c r="CG19"/>
  <c r="CH19"/>
  <c r="CI19"/>
  <c r="CJ19"/>
  <c r="CK19"/>
  <c r="CL19"/>
  <c r="CM19"/>
  <c r="CN19"/>
  <c r="CO19"/>
  <c r="CP19"/>
  <c r="CE20"/>
  <c r="CG20"/>
  <c r="CH20"/>
  <c r="CI20"/>
  <c r="CJ20"/>
  <c r="CK20"/>
  <c r="CL20"/>
  <c r="CM20"/>
  <c r="CN20"/>
  <c r="CO20"/>
  <c r="CP20"/>
  <c r="CE21"/>
  <c r="CG21"/>
  <c r="CH21"/>
  <c r="CI21"/>
  <c r="CJ21"/>
  <c r="CK21"/>
  <c r="CL21"/>
  <c r="CM21"/>
  <c r="CN21"/>
  <c r="CO21"/>
  <c r="CP21"/>
  <c r="CE22"/>
  <c r="CG22"/>
  <c r="CH22"/>
  <c r="CI22"/>
  <c r="CJ22"/>
  <c r="CK22"/>
  <c r="CL22"/>
  <c r="CM22"/>
  <c r="CN22"/>
  <c r="CO22"/>
  <c r="CP22"/>
  <c r="CE23"/>
  <c r="CG23"/>
  <c r="CH23"/>
  <c r="CI23"/>
  <c r="CJ23"/>
  <c r="CK23"/>
  <c r="CL23"/>
  <c r="CM23"/>
  <c r="CN23"/>
  <c r="CO23"/>
  <c r="CP23"/>
  <c r="CE24"/>
  <c r="CG24"/>
  <c r="CH24"/>
  <c r="CI24"/>
  <c r="CJ24"/>
  <c r="CK24"/>
  <c r="CL24"/>
  <c r="CM24"/>
  <c r="CN24"/>
  <c r="CO24"/>
  <c r="CP24"/>
  <c r="CE25"/>
  <c r="CG25"/>
  <c r="CH25"/>
  <c r="CI25"/>
  <c r="CJ25"/>
  <c r="CK25"/>
  <c r="CL25"/>
  <c r="CM25"/>
  <c r="CN25"/>
  <c r="CO25"/>
  <c r="CP25"/>
  <c r="CE26"/>
  <c r="CG26"/>
  <c r="CH26"/>
  <c r="CI26"/>
  <c r="CJ26"/>
  <c r="CK26"/>
  <c r="CL26"/>
  <c r="CM26"/>
  <c r="CN26"/>
  <c r="CO26"/>
  <c r="CP26"/>
  <c r="CE27"/>
  <c r="CG27"/>
  <c r="CH27"/>
  <c r="CI27"/>
  <c r="CJ27"/>
  <c r="CK27"/>
  <c r="CL27"/>
  <c r="CM27"/>
  <c r="CN27"/>
  <c r="CO27"/>
  <c r="CP27"/>
  <c r="CE28"/>
  <c r="CG28"/>
  <c r="CH28"/>
  <c r="CI28"/>
  <c r="CJ28"/>
  <c r="CK28"/>
  <c r="CL28"/>
  <c r="CM28"/>
  <c r="CN28"/>
  <c r="CO28"/>
  <c r="CP28"/>
  <c r="CE29"/>
  <c r="CG29"/>
  <c r="CH29"/>
  <c r="CI29"/>
  <c r="CJ29"/>
  <c r="CK29"/>
  <c r="CL29"/>
  <c r="CM29"/>
  <c r="CN29"/>
  <c r="CO29"/>
  <c r="CP29"/>
  <c r="CE30"/>
  <c r="CG30"/>
  <c r="CH30"/>
  <c r="CI30"/>
  <c r="CJ30"/>
  <c r="CK30"/>
  <c r="CL30"/>
  <c r="CM30"/>
  <c r="CN30"/>
  <c r="CO30"/>
  <c r="CP30"/>
  <c r="CE31"/>
  <c r="CG31"/>
  <c r="CH31"/>
  <c r="CI31"/>
  <c r="CJ31"/>
  <c r="CK31"/>
  <c r="CL31"/>
  <c r="CM31"/>
  <c r="CN31"/>
  <c r="CO31"/>
  <c r="CP31"/>
  <c r="CE32"/>
  <c r="CG32"/>
  <c r="CH32"/>
  <c r="CI32"/>
  <c r="CJ32"/>
  <c r="CK32"/>
  <c r="CL32"/>
  <c r="CM32"/>
  <c r="CN32"/>
  <c r="CO32"/>
  <c r="CP32"/>
  <c r="CE33"/>
  <c r="CG33"/>
  <c r="CH33"/>
  <c r="CI33"/>
  <c r="CJ33"/>
  <c r="CK33"/>
  <c r="CL33"/>
  <c r="CM33"/>
  <c r="CN33"/>
  <c r="CO33"/>
  <c r="CP33"/>
  <c r="CE34"/>
  <c r="CG34"/>
  <c r="CH34"/>
  <c r="CI34"/>
  <c r="CJ34"/>
  <c r="CK34"/>
  <c r="CL34"/>
  <c r="CM34"/>
  <c r="CN34"/>
  <c r="CO34"/>
  <c r="CP34"/>
  <c r="CE35"/>
  <c r="CG35"/>
  <c r="CH35"/>
  <c r="CI35"/>
  <c r="CJ35"/>
  <c r="CK35"/>
  <c r="CL35"/>
  <c r="CM35"/>
  <c r="CN35"/>
  <c r="CO35"/>
  <c r="CP35"/>
  <c r="CE36"/>
  <c r="CG36"/>
  <c r="CH36"/>
  <c r="CI36"/>
  <c r="CJ36"/>
  <c r="CK36"/>
  <c r="CL36"/>
  <c r="CM36"/>
  <c r="CN36"/>
  <c r="CO36"/>
  <c r="CP36"/>
  <c r="CE37"/>
  <c r="CG37"/>
  <c r="CH37"/>
  <c r="CI37"/>
  <c r="CJ37"/>
  <c r="CK37"/>
  <c r="CL37"/>
  <c r="CM37"/>
  <c r="CN37"/>
  <c r="CO37"/>
  <c r="CP37"/>
  <c r="CE38"/>
  <c r="CG38"/>
  <c r="CH38"/>
  <c r="CI38"/>
  <c r="CJ38"/>
  <c r="CK38"/>
  <c r="CL38"/>
  <c r="CM38"/>
  <c r="CN38"/>
  <c r="CO38"/>
  <c r="CP38"/>
  <c r="CE39"/>
  <c r="CG39"/>
  <c r="CH39"/>
  <c r="CI39"/>
  <c r="CJ39"/>
  <c r="CK39"/>
  <c r="CL39"/>
  <c r="CM39"/>
  <c r="CN39"/>
  <c r="CO39"/>
  <c r="CP39"/>
  <c r="CE40"/>
  <c r="CG40"/>
  <c r="CH40"/>
  <c r="CI40"/>
  <c r="CJ40"/>
  <c r="CK40"/>
  <c r="CL40"/>
  <c r="CM40"/>
  <c r="CN40"/>
  <c r="CO40"/>
  <c r="CP40"/>
  <c r="CE41"/>
  <c r="CG41"/>
  <c r="CH41"/>
  <c r="CI41"/>
  <c r="CJ41"/>
  <c r="CK41"/>
  <c r="CL41"/>
  <c r="CM41"/>
  <c r="CN41"/>
  <c r="CO41"/>
  <c r="CP41"/>
  <c r="CE42"/>
  <c r="CG42"/>
  <c r="CH42"/>
  <c r="CI42"/>
  <c r="CJ42"/>
  <c r="CK42"/>
  <c r="CL42"/>
  <c r="CM42"/>
  <c r="CN42"/>
  <c r="CO42"/>
  <c r="CP42"/>
  <c r="CE43"/>
  <c r="CG43"/>
  <c r="CH43"/>
  <c r="CI43"/>
  <c r="CJ43"/>
  <c r="CK43"/>
  <c r="CL43"/>
  <c r="CM43"/>
  <c r="CN43"/>
  <c r="CO43"/>
  <c r="CP43"/>
  <c r="CE44"/>
  <c r="CG44"/>
  <c r="CH44"/>
  <c r="CI44"/>
  <c r="CJ44"/>
  <c r="CK44"/>
  <c r="CL44"/>
  <c r="CM44"/>
  <c r="CN44"/>
  <c r="CO44"/>
  <c r="CP44"/>
  <c r="CE45"/>
  <c r="CG45"/>
  <c r="CH45"/>
  <c r="CI45"/>
  <c r="CJ45"/>
  <c r="CK45"/>
  <c r="CL45"/>
  <c r="CM45"/>
  <c r="CN45"/>
  <c r="CO45"/>
  <c r="CP45"/>
  <c r="CE46"/>
  <c r="CG46"/>
  <c r="CH46"/>
  <c r="CI46"/>
  <c r="CJ46"/>
  <c r="CK46"/>
  <c r="CL46"/>
  <c r="CM46"/>
  <c r="CN46"/>
  <c r="CO46"/>
  <c r="CP46"/>
  <c r="CE47"/>
  <c r="CG47"/>
  <c r="CH47"/>
  <c r="CI47"/>
  <c r="CJ47"/>
  <c r="CK47"/>
  <c r="CL47"/>
  <c r="CM47"/>
  <c r="CN47"/>
  <c r="CO47"/>
  <c r="CP47"/>
  <c r="CE48"/>
  <c r="CG48"/>
  <c r="CH48"/>
  <c r="CI48"/>
  <c r="CJ48"/>
  <c r="CK48"/>
  <c r="CL48"/>
  <c r="CM48"/>
  <c r="CN48"/>
  <c r="CO48"/>
  <c r="CP48"/>
  <c r="CE49"/>
  <c r="CG49"/>
  <c r="CH49"/>
  <c r="CI49"/>
  <c r="CJ49"/>
  <c r="CK49"/>
  <c r="CL49"/>
  <c r="CM49"/>
  <c r="CN49"/>
  <c r="CO49"/>
  <c r="CP49"/>
  <c r="CE50"/>
  <c r="CG50"/>
  <c r="CH50"/>
  <c r="CI50"/>
  <c r="CJ50"/>
  <c r="CK50"/>
  <c r="CL50"/>
  <c r="CM50"/>
  <c r="CN50"/>
  <c r="CO50"/>
  <c r="CP50"/>
  <c r="CE51"/>
  <c r="CG51"/>
  <c r="CH51"/>
  <c r="CI51"/>
  <c r="CJ51"/>
  <c r="CK51"/>
  <c r="CL51"/>
  <c r="CM51"/>
  <c r="CN51"/>
  <c r="CO51"/>
  <c r="CP51"/>
  <c r="CE52"/>
  <c r="CG52"/>
  <c r="CH52"/>
  <c r="CI52"/>
  <c r="CJ52"/>
  <c r="CF61" s="1"/>
  <c r="CK52"/>
  <c r="CL52"/>
  <c r="CM52"/>
  <c r="CN52"/>
  <c r="CO52"/>
  <c r="CP52"/>
  <c r="CE53"/>
  <c r="CG53"/>
  <c r="CH53"/>
  <c r="CI53"/>
  <c r="CJ53"/>
  <c r="CK53"/>
  <c r="CL53"/>
  <c r="CM53"/>
  <c r="CN53"/>
  <c r="CO53"/>
  <c r="CP53"/>
  <c r="CE54"/>
  <c r="CG54"/>
  <c r="CH54"/>
  <c r="CI54"/>
  <c r="CJ54"/>
  <c r="CK54"/>
  <c r="CL54"/>
  <c r="CM54"/>
  <c r="CN54"/>
  <c r="CO54"/>
  <c r="CP54"/>
  <c r="CE55"/>
  <c r="CG55"/>
  <c r="CH55"/>
  <c r="CI55"/>
  <c r="CJ55"/>
  <c r="CJ61" s="1"/>
  <c r="CK55"/>
  <c r="CL55"/>
  <c r="CM55"/>
  <c r="CN55"/>
  <c r="CO55"/>
  <c r="CP55"/>
  <c r="CE56"/>
  <c r="CG56"/>
  <c r="CH56"/>
  <c r="CI56"/>
  <c r="CJ56"/>
  <c r="CK56"/>
  <c r="CL56"/>
  <c r="CM56"/>
  <c r="CN56"/>
  <c r="CO56"/>
  <c r="CP56"/>
  <c r="CE57"/>
  <c r="CG57"/>
  <c r="CH57"/>
  <c r="CI57"/>
  <c r="CJ57"/>
  <c r="CK57"/>
  <c r="CL57"/>
  <c r="CM57"/>
  <c r="CN57"/>
  <c r="CN61" s="1"/>
  <c r="CO57"/>
  <c r="CP57"/>
  <c r="CE58"/>
  <c r="CG58"/>
  <c r="CH58"/>
  <c r="CI58"/>
  <c r="CJ58"/>
  <c r="CK58"/>
  <c r="CL58"/>
  <c r="CM58"/>
  <c r="CN58"/>
  <c r="CO58"/>
  <c r="CP58"/>
  <c r="CE59"/>
  <c r="CG59"/>
  <c r="CH59"/>
  <c r="CI59"/>
  <c r="CJ59"/>
  <c r="CK59"/>
  <c r="CL59"/>
  <c r="CM59"/>
  <c r="CN59"/>
  <c r="CO59"/>
  <c r="CP59"/>
  <c r="CE60"/>
  <c r="CG60"/>
  <c r="CH60"/>
  <c r="CI60"/>
  <c r="CJ60"/>
  <c r="CK60"/>
  <c r="CL60"/>
  <c r="CM60"/>
  <c r="CN60"/>
  <c r="CO60"/>
  <c r="CP60"/>
  <c r="CG61"/>
  <c r="CK61"/>
  <c r="CO61"/>
  <c r="BM60"/>
  <c r="BL60"/>
  <c r="BK60"/>
  <c r="BJ60"/>
  <c r="BI60"/>
  <c r="BH60"/>
  <c r="BG60"/>
  <c r="BF60"/>
  <c r="BE60"/>
  <c r="BD60"/>
  <c r="BC60"/>
  <c r="BM59"/>
  <c r="BL59"/>
  <c r="BK59"/>
  <c r="BJ59"/>
  <c r="BI59"/>
  <c r="BH59"/>
  <c r="BG59"/>
  <c r="BF59"/>
  <c r="BE59"/>
  <c r="BD59"/>
  <c r="BC59"/>
  <c r="BM58"/>
  <c r="BL58"/>
  <c r="BK58"/>
  <c r="BJ58"/>
  <c r="BI58"/>
  <c r="BH58"/>
  <c r="BG58"/>
  <c r="BF58"/>
  <c r="BE58"/>
  <c r="BD58"/>
  <c r="BC58"/>
  <c r="BM57"/>
  <c r="BL57"/>
  <c r="BK57"/>
  <c r="BJ57"/>
  <c r="BI57"/>
  <c r="BH57"/>
  <c r="BG57"/>
  <c r="BF57"/>
  <c r="BE57"/>
  <c r="BD57"/>
  <c r="BC57"/>
  <c r="BM56"/>
  <c r="BL56"/>
  <c r="BK56"/>
  <c r="BJ56"/>
  <c r="BI56"/>
  <c r="BH56"/>
  <c r="BG56"/>
  <c r="BF56"/>
  <c r="BE56"/>
  <c r="BD56"/>
  <c r="BC56"/>
  <c r="BM55"/>
  <c r="BL55"/>
  <c r="BK55"/>
  <c r="BJ55"/>
  <c r="BI55"/>
  <c r="BH55"/>
  <c r="BG55"/>
  <c r="BF55"/>
  <c r="BE55"/>
  <c r="BD55"/>
  <c r="BC55"/>
  <c r="BM54"/>
  <c r="BL54"/>
  <c r="BK54"/>
  <c r="BJ54"/>
  <c r="BI54"/>
  <c r="BH54"/>
  <c r="BG54"/>
  <c r="BF54"/>
  <c r="BE54"/>
  <c r="BD54"/>
  <c r="BC54"/>
  <c r="BM53"/>
  <c r="BL53"/>
  <c r="BK53"/>
  <c r="BJ53"/>
  <c r="BI53"/>
  <c r="BH53"/>
  <c r="BG53"/>
  <c r="BF53"/>
  <c r="BE53"/>
  <c r="BD53"/>
  <c r="BC53"/>
  <c r="BM52"/>
  <c r="BL52"/>
  <c r="BK52"/>
  <c r="BJ52"/>
  <c r="BI52"/>
  <c r="BH52"/>
  <c r="BG52"/>
  <c r="BF52"/>
  <c r="BE52"/>
  <c r="BD52"/>
  <c r="BC52"/>
  <c r="BM51"/>
  <c r="BL51"/>
  <c r="BK51"/>
  <c r="BJ51"/>
  <c r="BI51"/>
  <c r="BH51"/>
  <c r="BG51"/>
  <c r="BF51"/>
  <c r="BE51"/>
  <c r="BD51"/>
  <c r="BC51"/>
  <c r="BM50"/>
  <c r="BL50"/>
  <c r="BK50"/>
  <c r="BJ50"/>
  <c r="BI50"/>
  <c r="BH50"/>
  <c r="BG50"/>
  <c r="BF50"/>
  <c r="BE50"/>
  <c r="BD50"/>
  <c r="BC50"/>
  <c r="BM49"/>
  <c r="BL49"/>
  <c r="BK49"/>
  <c r="BJ49"/>
  <c r="BI49"/>
  <c r="BH49"/>
  <c r="BG49"/>
  <c r="BF49"/>
  <c r="BE49"/>
  <c r="BD49"/>
  <c r="BC49"/>
  <c r="BM48"/>
  <c r="BL48"/>
  <c r="BK48"/>
  <c r="BJ48"/>
  <c r="BI48"/>
  <c r="BH48"/>
  <c r="BG48"/>
  <c r="BF48"/>
  <c r="BE48"/>
  <c r="BD48"/>
  <c r="BC48"/>
  <c r="BM47"/>
  <c r="BL47"/>
  <c r="BK47"/>
  <c r="BJ47"/>
  <c r="BI47"/>
  <c r="BH47"/>
  <c r="BG47"/>
  <c r="BF47"/>
  <c r="BE47"/>
  <c r="BD47"/>
  <c r="BC47"/>
  <c r="BM46"/>
  <c r="BL46"/>
  <c r="BK46"/>
  <c r="BJ46"/>
  <c r="BI46"/>
  <c r="BH46"/>
  <c r="BG46"/>
  <c r="BF46"/>
  <c r="BE46"/>
  <c r="BD46"/>
  <c r="BC46"/>
  <c r="BM45"/>
  <c r="BL45"/>
  <c r="BK45"/>
  <c r="BJ45"/>
  <c r="BI45"/>
  <c r="BH45"/>
  <c r="BG45"/>
  <c r="BF45"/>
  <c r="BE45"/>
  <c r="BD45"/>
  <c r="BC45"/>
  <c r="BM44"/>
  <c r="BL44"/>
  <c r="BK44"/>
  <c r="BJ44"/>
  <c r="BI44"/>
  <c r="BH44"/>
  <c r="BG44"/>
  <c r="BF44"/>
  <c r="BE44"/>
  <c r="BD44"/>
  <c r="BC44"/>
  <c r="BM43"/>
  <c r="BL43"/>
  <c r="BK43"/>
  <c r="BJ43"/>
  <c r="BI43"/>
  <c r="BH43"/>
  <c r="BG43"/>
  <c r="BF43"/>
  <c r="BE43"/>
  <c r="BD43"/>
  <c r="BC43"/>
  <c r="BM42"/>
  <c r="BL42"/>
  <c r="BK42"/>
  <c r="BJ42"/>
  <c r="BI42"/>
  <c r="BH42"/>
  <c r="BG42"/>
  <c r="BF42"/>
  <c r="BE42"/>
  <c r="BD42"/>
  <c r="BC42"/>
  <c r="BM41"/>
  <c r="BL41"/>
  <c r="BK41"/>
  <c r="BJ41"/>
  <c r="BI41"/>
  <c r="BH41"/>
  <c r="BG41"/>
  <c r="BF41"/>
  <c r="BE41"/>
  <c r="BD41"/>
  <c r="BC41"/>
  <c r="BM40"/>
  <c r="BL40"/>
  <c r="BK40"/>
  <c r="BJ40"/>
  <c r="BI40"/>
  <c r="BH40"/>
  <c r="BG40"/>
  <c r="BF40"/>
  <c r="BE40"/>
  <c r="BD40"/>
  <c r="BC40"/>
  <c r="BM39"/>
  <c r="BL39"/>
  <c r="BK39"/>
  <c r="BJ39"/>
  <c r="BI39"/>
  <c r="BH39"/>
  <c r="BG39"/>
  <c r="BF39"/>
  <c r="BE39"/>
  <c r="BD39"/>
  <c r="BC39"/>
  <c r="BM38"/>
  <c r="BL38"/>
  <c r="BK38"/>
  <c r="BJ38"/>
  <c r="BI38"/>
  <c r="BH38"/>
  <c r="BG38"/>
  <c r="BF38"/>
  <c r="BE38"/>
  <c r="BD38"/>
  <c r="BC38"/>
  <c r="BM37"/>
  <c r="BL37"/>
  <c r="BK37"/>
  <c r="BJ37"/>
  <c r="BI37"/>
  <c r="BH37"/>
  <c r="BG37"/>
  <c r="BF37"/>
  <c r="BE37"/>
  <c r="BD37"/>
  <c r="BC37"/>
  <c r="BM36"/>
  <c r="BL36"/>
  <c r="BK36"/>
  <c r="BJ36"/>
  <c r="BI36"/>
  <c r="BH36"/>
  <c r="BG36"/>
  <c r="BF36"/>
  <c r="BE36"/>
  <c r="BD36"/>
  <c r="BC36"/>
  <c r="BM35"/>
  <c r="BL35"/>
  <c r="BK35"/>
  <c r="BJ35"/>
  <c r="BI35"/>
  <c r="BH35"/>
  <c r="BG35"/>
  <c r="BF35"/>
  <c r="BE35"/>
  <c r="BD35"/>
  <c r="BC35"/>
  <c r="BM34"/>
  <c r="BL34"/>
  <c r="BK34"/>
  <c r="BJ34"/>
  <c r="BI34"/>
  <c r="BH34"/>
  <c r="BG34"/>
  <c r="BF34"/>
  <c r="BE34"/>
  <c r="BD34"/>
  <c r="BC34"/>
  <c r="BM33"/>
  <c r="BL33"/>
  <c r="BK33"/>
  <c r="BJ33"/>
  <c r="BI33"/>
  <c r="BH33"/>
  <c r="BG33"/>
  <c r="BF33"/>
  <c r="BE33"/>
  <c r="BD33"/>
  <c r="BC33"/>
  <c r="BM32"/>
  <c r="BL32"/>
  <c r="BK32"/>
  <c r="BJ32"/>
  <c r="BI32"/>
  <c r="BH32"/>
  <c r="BG32"/>
  <c r="BF32"/>
  <c r="BE32"/>
  <c r="BD32"/>
  <c r="BC32"/>
  <c r="BM31"/>
  <c r="BL31"/>
  <c r="BK31"/>
  <c r="BJ31"/>
  <c r="BI31"/>
  <c r="BH31"/>
  <c r="BG31"/>
  <c r="BF31"/>
  <c r="BE31"/>
  <c r="BD31"/>
  <c r="BC31"/>
  <c r="BM30"/>
  <c r="BL30"/>
  <c r="BK30"/>
  <c r="BJ30"/>
  <c r="BI30"/>
  <c r="BH30"/>
  <c r="BG30"/>
  <c r="BF30"/>
  <c r="BE30"/>
  <c r="BD30"/>
  <c r="BC30"/>
  <c r="BM29"/>
  <c r="BL29"/>
  <c r="BK29"/>
  <c r="BJ29"/>
  <c r="BI29"/>
  <c r="BH29"/>
  <c r="BG29"/>
  <c r="BF29"/>
  <c r="BE29"/>
  <c r="BD29"/>
  <c r="BC29"/>
  <c r="BM28"/>
  <c r="BL28"/>
  <c r="BK28"/>
  <c r="BJ28"/>
  <c r="BI28"/>
  <c r="BH28"/>
  <c r="BG28"/>
  <c r="BF28"/>
  <c r="BE28"/>
  <c r="BD28"/>
  <c r="BC28"/>
  <c r="BM27"/>
  <c r="BL27"/>
  <c r="BK27"/>
  <c r="BJ27"/>
  <c r="BI27"/>
  <c r="BH27"/>
  <c r="BG27"/>
  <c r="BF27"/>
  <c r="BE27"/>
  <c r="BD27"/>
  <c r="BC27"/>
  <c r="BM26"/>
  <c r="BL26"/>
  <c r="BK26"/>
  <c r="BJ26"/>
  <c r="BI26"/>
  <c r="BH26"/>
  <c r="BG26"/>
  <c r="BF26"/>
  <c r="BE26"/>
  <c r="BD26"/>
  <c r="BC26"/>
  <c r="BM25"/>
  <c r="BL25"/>
  <c r="BK25"/>
  <c r="BJ25"/>
  <c r="BI25"/>
  <c r="BH25"/>
  <c r="BG25"/>
  <c r="BF25"/>
  <c r="BE25"/>
  <c r="BD25"/>
  <c r="BC25"/>
  <c r="BM24"/>
  <c r="BL24"/>
  <c r="BK24"/>
  <c r="BJ24"/>
  <c r="BI24"/>
  <c r="BH24"/>
  <c r="BG24"/>
  <c r="BF24"/>
  <c r="BE24"/>
  <c r="BD24"/>
  <c r="BC24"/>
  <c r="BM23"/>
  <c r="BL23"/>
  <c r="BK23"/>
  <c r="BJ23"/>
  <c r="BI23"/>
  <c r="BH23"/>
  <c r="BG23"/>
  <c r="BF23"/>
  <c r="BE23"/>
  <c r="BD23"/>
  <c r="BC23"/>
  <c r="BM22"/>
  <c r="BL22"/>
  <c r="BK22"/>
  <c r="BJ22"/>
  <c r="BI22"/>
  <c r="BH22"/>
  <c r="BG22"/>
  <c r="BF22"/>
  <c r="BE22"/>
  <c r="BD22"/>
  <c r="BC22"/>
  <c r="BM21"/>
  <c r="BL21"/>
  <c r="BK21"/>
  <c r="BJ21"/>
  <c r="BI21"/>
  <c r="BH21"/>
  <c r="BG21"/>
  <c r="BF21"/>
  <c r="BE21"/>
  <c r="BD21"/>
  <c r="BC21"/>
  <c r="BM20"/>
  <c r="BL20"/>
  <c r="BK20"/>
  <c r="BJ20"/>
  <c r="BI20"/>
  <c r="BH20"/>
  <c r="BG20"/>
  <c r="BF20"/>
  <c r="BE20"/>
  <c r="BD20"/>
  <c r="BC20"/>
  <c r="BM19"/>
  <c r="BL19"/>
  <c r="BK19"/>
  <c r="BJ19"/>
  <c r="BI19"/>
  <c r="BH19"/>
  <c r="BG19"/>
  <c r="BF19"/>
  <c r="BE19"/>
  <c r="BD19"/>
  <c r="BC19"/>
  <c r="BM18"/>
  <c r="BL18"/>
  <c r="BK18"/>
  <c r="BJ18"/>
  <c r="BI18"/>
  <c r="BH18"/>
  <c r="BG18"/>
  <c r="BF18"/>
  <c r="BE18"/>
  <c r="BD18"/>
  <c r="BC18"/>
  <c r="BM17"/>
  <c r="BL17"/>
  <c r="BK17"/>
  <c r="BJ17"/>
  <c r="BI17"/>
  <c r="BH17"/>
  <c r="BG17"/>
  <c r="BF17"/>
  <c r="BE17"/>
  <c r="BD17"/>
  <c r="BC17"/>
  <c r="BM16"/>
  <c r="BL16"/>
  <c r="BK16"/>
  <c r="BJ16"/>
  <c r="BI16"/>
  <c r="BH16"/>
  <c r="BG16"/>
  <c r="BF16"/>
  <c r="BE16"/>
  <c r="BD16"/>
  <c r="BC16"/>
  <c r="BM15"/>
  <c r="BL15"/>
  <c r="BK15"/>
  <c r="BJ15"/>
  <c r="BI15"/>
  <c r="BH15"/>
  <c r="BG15"/>
  <c r="BF15"/>
  <c r="BE15"/>
  <c r="BD15"/>
  <c r="BC15"/>
  <c r="BM14"/>
  <c r="BL14"/>
  <c r="BK14"/>
  <c r="BJ14"/>
  <c r="BI14"/>
  <c r="BH14"/>
  <c r="BG14"/>
  <c r="BF14"/>
  <c r="BE14"/>
  <c r="BD14"/>
  <c r="BC14"/>
  <c r="BM13"/>
  <c r="BL13"/>
  <c r="BK13"/>
  <c r="BJ13"/>
  <c r="BI13"/>
  <c r="BH13"/>
  <c r="BG13"/>
  <c r="BF13"/>
  <c r="BE13"/>
  <c r="BD13"/>
  <c r="BC13"/>
  <c r="BM12"/>
  <c r="BL12"/>
  <c r="BK12"/>
  <c r="BJ12"/>
  <c r="BI12"/>
  <c r="BH12"/>
  <c r="BG12"/>
  <c r="BF12"/>
  <c r="BE12"/>
  <c r="BD12"/>
  <c r="BC12"/>
  <c r="BM11"/>
  <c r="BL11"/>
  <c r="BK11"/>
  <c r="BJ11"/>
  <c r="BI11"/>
  <c r="BH11"/>
  <c r="BG11"/>
  <c r="BF11"/>
  <c r="BE11"/>
  <c r="BD11"/>
  <c r="BC11"/>
  <c r="BM10"/>
  <c r="BL10"/>
  <c r="BK10"/>
  <c r="BJ10"/>
  <c r="BI10"/>
  <c r="BH10"/>
  <c r="BG10"/>
  <c r="BF10"/>
  <c r="BE10"/>
  <c r="BD10"/>
  <c r="BC10"/>
  <c r="BM9"/>
  <c r="BL9"/>
  <c r="BK9"/>
  <c r="BJ9"/>
  <c r="BI9"/>
  <c r="BH9"/>
  <c r="BG9"/>
  <c r="BF9"/>
  <c r="BE9"/>
  <c r="BD9"/>
  <c r="BC9"/>
  <c r="BM8"/>
  <c r="BL8"/>
  <c r="BK8"/>
  <c r="BJ8"/>
  <c r="BI8"/>
  <c r="BH8"/>
  <c r="BG8"/>
  <c r="BF8"/>
  <c r="BE8"/>
  <c r="BD8"/>
  <c r="BC8"/>
  <c r="BM7"/>
  <c r="BL7"/>
  <c r="BK7"/>
  <c r="BJ7"/>
  <c r="BJ61" s="1"/>
  <c r="BI7"/>
  <c r="BH7"/>
  <c r="BG7"/>
  <c r="BF7"/>
  <c r="BF61" s="1"/>
  <c r="BE7"/>
  <c r="BD7"/>
  <c r="BC7"/>
  <c r="BM6"/>
  <c r="BM61" s="1"/>
  <c r="BL6"/>
  <c r="BK6"/>
  <c r="BK61" s="1"/>
  <c r="BJ6"/>
  <c r="BI6"/>
  <c r="BI61" s="1"/>
  <c r="BH6"/>
  <c r="BG6"/>
  <c r="BG61" s="1"/>
  <c r="BF6"/>
  <c r="BE6"/>
  <c r="BE61" s="1"/>
  <c r="BD6"/>
  <c r="BC6"/>
  <c r="BC61" s="1"/>
  <c r="CD4"/>
  <c r="CE2"/>
  <c r="BB6"/>
  <c r="BB7"/>
  <c r="BB61" s="1"/>
  <c r="BB8"/>
  <c r="BB9"/>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B48"/>
  <c r="BB49"/>
  <c r="BB50"/>
  <c r="BB51"/>
  <c r="BB52"/>
  <c r="BB53"/>
  <c r="BB54"/>
  <c r="BB55"/>
  <c r="BB56"/>
  <c r="BB57"/>
  <c r="BB58"/>
  <c r="BB59"/>
  <c r="BB60"/>
  <c r="BD61"/>
  <c r="BH61"/>
  <c r="BL61"/>
  <c r="BS1" i="6"/>
  <c r="BV1"/>
  <c r="BQ1"/>
  <c r="BR1"/>
  <c r="BT1"/>
  <c r="BU1"/>
  <c r="BW1"/>
  <c r="BX1"/>
  <c r="BY1"/>
  <c r="BZ1"/>
  <c r="CA1"/>
  <c r="BR2"/>
  <c r="BS2"/>
  <c r="BQ2"/>
  <c r="G42" s="1"/>
  <c r="AF44"/>
  <c r="AE44"/>
  <c r="AD44"/>
  <c r="AC44"/>
  <c r="AB44"/>
  <c r="AA44"/>
  <c r="Z44"/>
  <c r="AE45"/>
  <c r="AD45"/>
  <c r="AC45"/>
  <c r="AB45"/>
  <c r="AA45"/>
  <c r="Z45"/>
  <c r="AD46"/>
  <c r="AC46"/>
  <c r="AB46"/>
  <c r="AA46"/>
  <c r="Z46"/>
  <c r="Y46"/>
  <c r="X46"/>
  <c r="AC47"/>
  <c r="AB47"/>
  <c r="AA47"/>
  <c r="Z47"/>
  <c r="Y47"/>
  <c r="X47"/>
  <c r="W47"/>
  <c r="AB48"/>
  <c r="AA48"/>
  <c r="Z48"/>
  <c r="Y48"/>
  <c r="X48"/>
  <c r="W48"/>
  <c r="V48"/>
  <c r="U48"/>
  <c r="AA49"/>
  <c r="Z49"/>
  <c r="Y49"/>
  <c r="X49"/>
  <c r="W49"/>
  <c r="V49"/>
  <c r="U49"/>
  <c r="T49"/>
  <c r="Z50"/>
  <c r="Y50"/>
  <c r="X50"/>
  <c r="W50"/>
  <c r="V50"/>
  <c r="U50"/>
  <c r="T50"/>
  <c r="Y51"/>
  <c r="X51"/>
  <c r="W51"/>
  <c r="V51"/>
  <c r="U51"/>
  <c r="T51"/>
  <c r="W52"/>
  <c r="V52"/>
  <c r="U52"/>
  <c r="W53"/>
  <c r="BE19" i="11"/>
  <c r="J9" i="8"/>
  <c r="L3" i="10"/>
  <c r="B29" i="6"/>
  <c r="L8" i="11"/>
  <c r="K24" i="8"/>
  <c r="K26"/>
  <c r="J32"/>
  <c r="L15" i="10"/>
  <c r="L20" i="11"/>
  <c r="K43" i="8"/>
  <c r="J45"/>
  <c r="L21" i="10"/>
  <c r="L26" i="11"/>
  <c r="K48" i="8"/>
  <c r="J39"/>
  <c r="L20" i="10"/>
  <c r="L24" i="11"/>
  <c r="J40" i="8"/>
  <c r="L19" i="10"/>
  <c r="L25" i="11"/>
  <c r="J22" i="8"/>
  <c r="L12" i="10"/>
  <c r="L17" i="11"/>
  <c r="DQ2" i="6"/>
  <c r="DS2"/>
  <c r="DS3" s="1"/>
  <c r="DS4" s="1"/>
  <c r="DS5" s="1"/>
  <c r="DS6" s="1"/>
  <c r="DS7" s="1"/>
  <c r="DS8" s="1"/>
  <c r="DS9" s="1"/>
  <c r="DS10" s="1"/>
  <c r="DS11" s="1"/>
  <c r="DS12" s="1"/>
  <c r="DS13" s="1"/>
  <c r="DS14" s="1"/>
  <c r="DS15" s="1"/>
  <c r="DS16" s="1"/>
  <c r="DS17" s="1"/>
  <c r="DS18" s="1"/>
  <c r="DS19" s="1"/>
  <c r="DQ27"/>
  <c r="K3" i="8"/>
  <c r="J4"/>
  <c r="L3" i="11"/>
  <c r="J5" i="8"/>
  <c r="L4" i="11"/>
  <c r="J6" i="8"/>
  <c r="L5" i="11"/>
  <c r="J7" i="8"/>
  <c r="L6" i="11"/>
  <c r="J8" i="8"/>
  <c r="L7" i="11"/>
  <c r="J10" i="8"/>
  <c r="L4" i="10"/>
  <c r="L9" i="11"/>
  <c r="J12" i="8"/>
  <c r="L5" i="10"/>
  <c r="L10" i="11"/>
  <c r="J19" i="8"/>
  <c r="L10" i="10"/>
  <c r="L15" i="11"/>
  <c r="K23" i="8"/>
  <c r="K25"/>
  <c r="K30"/>
  <c r="K31"/>
  <c r="J35"/>
  <c r="L18" i="10"/>
  <c r="L23" i="11"/>
  <c r="K42" i="8"/>
  <c r="K44"/>
  <c r="J47"/>
  <c r="L23" i="10"/>
  <c r="L28" i="11"/>
  <c r="K49" i="8"/>
  <c r="J51"/>
  <c r="L24" i="10"/>
  <c r="L29" i="11"/>
  <c r="K27" i="8"/>
  <c r="J15"/>
  <c r="L7" i="10"/>
  <c r="L12" i="11"/>
  <c r="J46" i="8"/>
  <c r="L22" i="10"/>
  <c r="L27" i="11"/>
  <c r="J13" i="8"/>
  <c r="L6" i="10"/>
  <c r="L11" i="11"/>
  <c r="J18" i="8"/>
  <c r="L9" i="10"/>
  <c r="J29" i="8"/>
  <c r="L14" i="10"/>
  <c r="J34" i="8"/>
  <c r="L17" i="10"/>
  <c r="J16" i="8"/>
  <c r="L8" i="10"/>
  <c r="L22" i="11"/>
  <c r="L19"/>
  <c r="L13"/>
  <c r="J21" i="8"/>
  <c r="L11" i="10"/>
  <c r="J28" i="8"/>
  <c r="L13" i="10"/>
  <c r="J33" i="8"/>
  <c r="L16" i="10"/>
  <c r="L49" i="8"/>
  <c r="X49" s="1"/>
  <c r="M49"/>
  <c r="Y49" s="1"/>
  <c r="N49"/>
  <c r="Z49" s="1"/>
  <c r="O49"/>
  <c r="AA49" s="1"/>
  <c r="P49"/>
  <c r="AB49" s="1"/>
  <c r="Q49"/>
  <c r="AC49" s="1"/>
  <c r="R49"/>
  <c r="AD49" s="1"/>
  <c r="S49"/>
  <c r="AE49" s="1"/>
  <c r="T49"/>
  <c r="AF49" s="1"/>
  <c r="U49"/>
  <c r="AG49" s="1"/>
  <c r="V49"/>
  <c r="AH49" s="1"/>
  <c r="W49"/>
  <c r="AI49" s="1"/>
  <c r="L45"/>
  <c r="M45"/>
  <c r="N45"/>
  <c r="O45"/>
  <c r="P45"/>
  <c r="Q45"/>
  <c r="R45"/>
  <c r="S45"/>
  <c r="T45"/>
  <c r="U45"/>
  <c r="V45"/>
  <c r="W45"/>
  <c r="L41"/>
  <c r="M41"/>
  <c r="N41"/>
  <c r="O41"/>
  <c r="P41"/>
  <c r="Q41"/>
  <c r="R41"/>
  <c r="S41"/>
  <c r="T41"/>
  <c r="U41"/>
  <c r="V41"/>
  <c r="W41"/>
  <c r="AI41" s="1"/>
  <c r="DQ44" i="6"/>
  <c r="J21" i="11"/>
  <c r="K21" s="1"/>
  <c r="L21"/>
  <c r="J18"/>
  <c r="K18" s="1"/>
  <c r="L18"/>
  <c r="J15"/>
  <c r="K15"/>
  <c r="J14"/>
  <c r="K14"/>
  <c r="L14"/>
  <c r="J12"/>
  <c r="K12" s="1"/>
  <c r="J11"/>
  <c r="K11" s="1"/>
  <c r="J10"/>
  <c r="K10" s="1"/>
  <c r="J9"/>
  <c r="K9" s="1"/>
  <c r="J8"/>
  <c r="K8" s="1"/>
  <c r="J7"/>
  <c r="K7" s="1"/>
  <c r="J6"/>
  <c r="K6" s="1"/>
  <c r="J5"/>
  <c r="K5" s="1"/>
  <c r="J4"/>
  <c r="L52" i="8"/>
  <c r="X52"/>
  <c r="L48"/>
  <c r="X48"/>
  <c r="L44"/>
  <c r="X44"/>
  <c r="L40"/>
  <c r="M40"/>
  <c r="N40"/>
  <c r="O40"/>
  <c r="P40"/>
  <c r="Q40"/>
  <c r="R40"/>
  <c r="S40"/>
  <c r="T40"/>
  <c r="U40"/>
  <c r="V40"/>
  <c r="W40"/>
  <c r="M33"/>
  <c r="O33"/>
  <c r="Q33"/>
  <c r="S33"/>
  <c r="U33"/>
  <c r="W33"/>
  <c r="L31"/>
  <c r="X31"/>
  <c r="M31"/>
  <c r="Y31"/>
  <c r="N31"/>
  <c r="Z31"/>
  <c r="O31"/>
  <c r="AA31"/>
  <c r="P31"/>
  <c r="AB31"/>
  <c r="Q31"/>
  <c r="AC31"/>
  <c r="R31"/>
  <c r="AD31"/>
  <c r="S31"/>
  <c r="AE31"/>
  <c r="T31"/>
  <c r="AF31"/>
  <c r="U31"/>
  <c r="AG31"/>
  <c r="V31"/>
  <c r="AH31"/>
  <c r="W31"/>
  <c r="AI31"/>
  <c r="J9" i="10"/>
  <c r="K9"/>
  <c r="J7"/>
  <c r="K7"/>
  <c r="J6"/>
  <c r="K6"/>
  <c r="J5"/>
  <c r="K5"/>
  <c r="J4"/>
  <c r="K4"/>
  <c r="W52" i="8"/>
  <c r="AI52"/>
  <c r="V52"/>
  <c r="U52"/>
  <c r="AG52" s="1"/>
  <c r="T52"/>
  <c r="S52"/>
  <c r="AE52" s="1"/>
  <c r="R52"/>
  <c r="Q52"/>
  <c r="AC52" s="1"/>
  <c r="P52"/>
  <c r="O52"/>
  <c r="AA52" s="1"/>
  <c r="N52"/>
  <c r="M52"/>
  <c r="Y52" s="1"/>
  <c r="V50"/>
  <c r="AH50" s="1"/>
  <c r="T50"/>
  <c r="AF50" s="1"/>
  <c r="R50"/>
  <c r="AD50" s="1"/>
  <c r="P50"/>
  <c r="AB50" s="1"/>
  <c r="N50"/>
  <c r="Z50" s="1"/>
  <c r="W48"/>
  <c r="AI48" s="1"/>
  <c r="V48"/>
  <c r="AH48" s="1"/>
  <c r="U48"/>
  <c r="AG48" s="1"/>
  <c r="T48"/>
  <c r="AF48" s="1"/>
  <c r="S48"/>
  <c r="AE48" s="1"/>
  <c r="R48"/>
  <c r="AD48" s="1"/>
  <c r="Q48"/>
  <c r="AC48" s="1"/>
  <c r="P48"/>
  <c r="AB48" s="1"/>
  <c r="O48"/>
  <c r="AA48" s="1"/>
  <c r="N48"/>
  <c r="Z48" s="1"/>
  <c r="M48"/>
  <c r="Y48" s="1"/>
  <c r="V46"/>
  <c r="T46"/>
  <c r="R46"/>
  <c r="P46"/>
  <c r="N46"/>
  <c r="W44"/>
  <c r="AI44" s="1"/>
  <c r="V44"/>
  <c r="AH44" s="1"/>
  <c r="U44"/>
  <c r="AG44" s="1"/>
  <c r="T44"/>
  <c r="AF44" s="1"/>
  <c r="S44"/>
  <c r="AE44" s="1"/>
  <c r="R44"/>
  <c r="AD44" s="1"/>
  <c r="Q44"/>
  <c r="AC44" s="1"/>
  <c r="P44"/>
  <c r="AB44" s="1"/>
  <c r="O44"/>
  <c r="AA44" s="1"/>
  <c r="N44"/>
  <c r="Z44" s="1"/>
  <c r="M44"/>
  <c r="Y44" s="1"/>
  <c r="L38"/>
  <c r="L34"/>
  <c r="L30"/>
  <c r="X30" s="1"/>
  <c r="L28"/>
  <c r="X26"/>
  <c r="L37"/>
  <c r="X37" s="1"/>
  <c r="M37"/>
  <c r="N37"/>
  <c r="Z37" s="1"/>
  <c r="O37"/>
  <c r="P37"/>
  <c r="AB37" s="1"/>
  <c r="Q37"/>
  <c r="R37"/>
  <c r="AD37" s="1"/>
  <c r="S37"/>
  <c r="AE37" s="1"/>
  <c r="T37"/>
  <c r="AF37" s="1"/>
  <c r="U37"/>
  <c r="AG37" s="1"/>
  <c r="V37"/>
  <c r="AH37" s="1"/>
  <c r="W37"/>
  <c r="AI37" s="1"/>
  <c r="L25"/>
  <c r="X25" s="1"/>
  <c r="M25"/>
  <c r="Y25" s="1"/>
  <c r="N25"/>
  <c r="Z25" s="1"/>
  <c r="O25"/>
  <c r="AA25" s="1"/>
  <c r="P25"/>
  <c r="AB25" s="1"/>
  <c r="Q25"/>
  <c r="AC25" s="1"/>
  <c r="R25"/>
  <c r="AD25" s="1"/>
  <c r="S25"/>
  <c r="AE25" s="1"/>
  <c r="T25"/>
  <c r="AF25" s="1"/>
  <c r="U25"/>
  <c r="AG25" s="1"/>
  <c r="V25"/>
  <c r="AH25" s="1"/>
  <c r="W25"/>
  <c r="AI25" s="1"/>
  <c r="L36"/>
  <c r="X36" s="1"/>
  <c r="L32"/>
  <c r="L24"/>
  <c r="X24" s="1"/>
  <c r="L21"/>
  <c r="M21"/>
  <c r="N21"/>
  <c r="O21"/>
  <c r="P21"/>
  <c r="Q21"/>
  <c r="R21"/>
  <c r="S21"/>
  <c r="T21"/>
  <c r="U21"/>
  <c r="V21"/>
  <c r="W21"/>
  <c r="L18"/>
  <c r="M18"/>
  <c r="N18"/>
  <c r="O18"/>
  <c r="P18"/>
  <c r="Q18"/>
  <c r="R18"/>
  <c r="S18"/>
  <c r="T18"/>
  <c r="U18"/>
  <c r="V18"/>
  <c r="W18"/>
  <c r="L16"/>
  <c r="M16"/>
  <c r="N16"/>
  <c r="O16"/>
  <c r="P16"/>
  <c r="Q16"/>
  <c r="R16"/>
  <c r="S16"/>
  <c r="T16"/>
  <c r="U16"/>
  <c r="V16"/>
  <c r="W16"/>
  <c r="L13"/>
  <c r="M13"/>
  <c r="N13"/>
  <c r="O13"/>
  <c r="P13"/>
  <c r="Q13"/>
  <c r="R13"/>
  <c r="S13"/>
  <c r="T13"/>
  <c r="U13"/>
  <c r="V13"/>
  <c r="W13"/>
  <c r="L9"/>
  <c r="M9"/>
  <c r="N9"/>
  <c r="O9"/>
  <c r="P9"/>
  <c r="Q9"/>
  <c r="R9"/>
  <c r="S9"/>
  <c r="T9"/>
  <c r="U9"/>
  <c r="V9"/>
  <c r="W9"/>
  <c r="L5"/>
  <c r="M5"/>
  <c r="N5"/>
  <c r="O5"/>
  <c r="P5"/>
  <c r="Q5"/>
  <c r="R5"/>
  <c r="S5"/>
  <c r="T5"/>
  <c r="U5"/>
  <c r="V5"/>
  <c r="W5"/>
  <c r="W38"/>
  <c r="AI38" s="1"/>
  <c r="V38"/>
  <c r="AH38" s="1"/>
  <c r="U38"/>
  <c r="AG38" s="1"/>
  <c r="T38"/>
  <c r="AF38" s="1"/>
  <c r="S38"/>
  <c r="AE38" s="1"/>
  <c r="R38"/>
  <c r="AD38" s="1"/>
  <c r="Q38"/>
  <c r="AC38" s="1"/>
  <c r="P38"/>
  <c r="AB38" s="1"/>
  <c r="O38"/>
  <c r="AA38" s="1"/>
  <c r="N38"/>
  <c r="Z38" s="1"/>
  <c r="M38"/>
  <c r="Y38" s="1"/>
  <c r="W36"/>
  <c r="AI36" s="1"/>
  <c r="V36"/>
  <c r="AH36" s="1"/>
  <c r="U36"/>
  <c r="AG36" s="1"/>
  <c r="T36"/>
  <c r="AF36" s="1"/>
  <c r="S36"/>
  <c r="AE36" s="1"/>
  <c r="R36"/>
  <c r="AD36" s="1"/>
  <c r="Q36"/>
  <c r="AC36" s="1"/>
  <c r="P36"/>
  <c r="AB36" s="1"/>
  <c r="O36"/>
  <c r="AA36" s="1"/>
  <c r="N36"/>
  <c r="Z36" s="1"/>
  <c r="M36"/>
  <c r="Y36" s="1"/>
  <c r="AJ36" s="1"/>
  <c r="W34"/>
  <c r="V34"/>
  <c r="U34"/>
  <c r="T34"/>
  <c r="S34"/>
  <c r="R34"/>
  <c r="Q34"/>
  <c r="P34"/>
  <c r="O34"/>
  <c r="N34"/>
  <c r="M34"/>
  <c r="W32"/>
  <c r="V32"/>
  <c r="U32"/>
  <c r="T32"/>
  <c r="S32"/>
  <c r="R32"/>
  <c r="Q32"/>
  <c r="P32"/>
  <c r="O32"/>
  <c r="N32"/>
  <c r="M32"/>
  <c r="W30"/>
  <c r="AI30" s="1"/>
  <c r="V30"/>
  <c r="AH30" s="1"/>
  <c r="U30"/>
  <c r="AG30" s="1"/>
  <c r="T30"/>
  <c r="AF30" s="1"/>
  <c r="S30"/>
  <c r="AE30" s="1"/>
  <c r="R30"/>
  <c r="AD30" s="1"/>
  <c r="Q30"/>
  <c r="AC30" s="1"/>
  <c r="P30"/>
  <c r="AB30" s="1"/>
  <c r="O30"/>
  <c r="AA30" s="1"/>
  <c r="N30"/>
  <c r="Z30" s="1"/>
  <c r="M30"/>
  <c r="Y30" s="1"/>
  <c r="W28"/>
  <c r="V28"/>
  <c r="U28"/>
  <c r="T28"/>
  <c r="S28"/>
  <c r="R28"/>
  <c r="Q28"/>
  <c r="P28"/>
  <c r="O28"/>
  <c r="N28"/>
  <c r="M28"/>
  <c r="W26"/>
  <c r="AI26" s="1"/>
  <c r="V26"/>
  <c r="AH26" s="1"/>
  <c r="U26"/>
  <c r="AG26" s="1"/>
  <c r="T26"/>
  <c r="AF26" s="1"/>
  <c r="S26"/>
  <c r="AE26" s="1"/>
  <c r="R26"/>
  <c r="AD26" s="1"/>
  <c r="Q26"/>
  <c r="AC26" s="1"/>
  <c r="P26"/>
  <c r="AB26" s="1"/>
  <c r="O26"/>
  <c r="AA26" s="1"/>
  <c r="N26"/>
  <c r="Z26" s="1"/>
  <c r="M26"/>
  <c r="Y26" s="1"/>
  <c r="W24"/>
  <c r="AI24" s="1"/>
  <c r="V24"/>
  <c r="AH24" s="1"/>
  <c r="U24"/>
  <c r="AG24" s="1"/>
  <c r="T24"/>
  <c r="AF24" s="1"/>
  <c r="S24"/>
  <c r="AE24" s="1"/>
  <c r="R24"/>
  <c r="AD24" s="1"/>
  <c r="Q24"/>
  <c r="AC24" s="1"/>
  <c r="P24"/>
  <c r="AB24" s="1"/>
  <c r="O24"/>
  <c r="AA24" s="1"/>
  <c r="N24"/>
  <c r="Z24" s="1"/>
  <c r="M24"/>
  <c r="Y24" s="1"/>
  <c r="W22"/>
  <c r="V22"/>
  <c r="U22"/>
  <c r="T22"/>
  <c r="S22"/>
  <c r="R22"/>
  <c r="Q22"/>
  <c r="P22"/>
  <c r="O22"/>
  <c r="N22"/>
  <c r="M22"/>
  <c r="L4"/>
  <c r="L15"/>
  <c r="M15"/>
  <c r="N15"/>
  <c r="O15"/>
  <c r="P15"/>
  <c r="Q15"/>
  <c r="R15"/>
  <c r="S15"/>
  <c r="T15"/>
  <c r="U15"/>
  <c r="V15"/>
  <c r="W15"/>
  <c r="L11"/>
  <c r="X11" s="1"/>
  <c r="M11"/>
  <c r="Y11" s="1"/>
  <c r="N11"/>
  <c r="Z11" s="1"/>
  <c r="O11"/>
  <c r="AA11" s="1"/>
  <c r="P11"/>
  <c r="AB11" s="1"/>
  <c r="Q11"/>
  <c r="AC11" s="1"/>
  <c r="R11"/>
  <c r="AD11" s="1"/>
  <c r="S11"/>
  <c r="AE11" s="1"/>
  <c r="T11"/>
  <c r="AF11" s="1"/>
  <c r="U11"/>
  <c r="AG11" s="1"/>
  <c r="V11"/>
  <c r="AH11" s="1"/>
  <c r="W11"/>
  <c r="AI11" s="1"/>
  <c r="L7"/>
  <c r="M7"/>
  <c r="N7"/>
  <c r="O7"/>
  <c r="P7"/>
  <c r="Q7"/>
  <c r="R7"/>
  <c r="S7"/>
  <c r="T7"/>
  <c r="U7"/>
  <c r="V7"/>
  <c r="W7"/>
  <c r="L3"/>
  <c r="X3" s="1"/>
  <c r="M3"/>
  <c r="Y3" s="1"/>
  <c r="AJ3" s="1"/>
  <c r="N3"/>
  <c r="Z3" s="1"/>
  <c r="O3"/>
  <c r="AA3" s="1"/>
  <c r="P3"/>
  <c r="AB3" s="1"/>
  <c r="Q3"/>
  <c r="AC3" s="1"/>
  <c r="R3"/>
  <c r="AD3" s="1"/>
  <c r="S3"/>
  <c r="AE3" s="1"/>
  <c r="T3"/>
  <c r="AF3" s="1"/>
  <c r="U3"/>
  <c r="AG3" s="1"/>
  <c r="V3"/>
  <c r="AH3" s="1"/>
  <c r="W3"/>
  <c r="AI3" s="1"/>
  <c r="L19"/>
  <c r="L17"/>
  <c r="X17" s="1"/>
  <c r="AJ17" s="1"/>
  <c r="L14"/>
  <c r="X14" s="1"/>
  <c r="M14"/>
  <c r="Y14" s="1"/>
  <c r="L10"/>
  <c r="L6"/>
  <c r="W19"/>
  <c r="AI19" s="1"/>
  <c r="V19"/>
  <c r="U19"/>
  <c r="AG19" s="1"/>
  <c r="T19"/>
  <c r="S19"/>
  <c r="AE19" s="1"/>
  <c r="R19"/>
  <c r="Q19"/>
  <c r="AC19" s="1"/>
  <c r="P19"/>
  <c r="O19"/>
  <c r="AA19" s="1"/>
  <c r="N19"/>
  <c r="M19"/>
  <c r="Y19" s="1"/>
  <c r="W17"/>
  <c r="AI17" s="1"/>
  <c r="V17"/>
  <c r="AH17" s="1"/>
  <c r="U17"/>
  <c r="AG17" s="1"/>
  <c r="T17"/>
  <c r="AF17" s="1"/>
  <c r="S17"/>
  <c r="AE17" s="1"/>
  <c r="R17"/>
  <c r="AD17" s="1"/>
  <c r="Q17"/>
  <c r="AC17" s="1"/>
  <c r="P17"/>
  <c r="AB17" s="1"/>
  <c r="O17"/>
  <c r="AA17" s="1"/>
  <c r="N17"/>
  <c r="Z17" s="1"/>
  <c r="M17"/>
  <c r="Y17" s="1"/>
  <c r="W14"/>
  <c r="AI14" s="1"/>
  <c r="V14"/>
  <c r="AH14" s="1"/>
  <c r="U14"/>
  <c r="AG14" s="1"/>
  <c r="T14"/>
  <c r="AF14" s="1"/>
  <c r="S14"/>
  <c r="AE14" s="1"/>
  <c r="R14"/>
  <c r="AD14" s="1"/>
  <c r="Q14"/>
  <c r="AC14" s="1"/>
  <c r="P14"/>
  <c r="AB14" s="1"/>
  <c r="O14"/>
  <c r="AA14" s="1"/>
  <c r="N14"/>
  <c r="Z14" s="1"/>
  <c r="W10"/>
  <c r="V10"/>
  <c r="U10"/>
  <c r="T10"/>
  <c r="S10"/>
  <c r="R10"/>
  <c r="Q10"/>
  <c r="P10"/>
  <c r="O10"/>
  <c r="N10"/>
  <c r="M10"/>
  <c r="W6"/>
  <c r="V6"/>
  <c r="U6"/>
  <c r="T6"/>
  <c r="S6"/>
  <c r="R6"/>
  <c r="Q6"/>
  <c r="P6"/>
  <c r="O6"/>
  <c r="N6"/>
  <c r="M6"/>
  <c r="W4"/>
  <c r="V4"/>
  <c r="U4"/>
  <c r="T4"/>
  <c r="S4"/>
  <c r="R4"/>
  <c r="Q4"/>
  <c r="P4"/>
  <c r="O4"/>
  <c r="N4"/>
  <c r="M4"/>
  <c r="AJ31"/>
  <c r="AJ49"/>
  <c r="AJ44"/>
  <c r="O5" i="11"/>
  <c r="AA5" s="1"/>
  <c r="Q5"/>
  <c r="S5"/>
  <c r="AE5" s="1"/>
  <c r="U5"/>
  <c r="W5"/>
  <c r="AI5" s="1"/>
  <c r="Y5"/>
  <c r="O7"/>
  <c r="AA7" s="1"/>
  <c r="Q7"/>
  <c r="S7"/>
  <c r="AE7" s="1"/>
  <c r="U7"/>
  <c r="W7"/>
  <c r="AI7" s="1"/>
  <c r="Y7"/>
  <c r="O9"/>
  <c r="Q9"/>
  <c r="S9"/>
  <c r="U9"/>
  <c r="W9"/>
  <c r="Y9"/>
  <c r="O11"/>
  <c r="Q11"/>
  <c r="S11"/>
  <c r="U11"/>
  <c r="W11"/>
  <c r="Y11"/>
  <c r="M14"/>
  <c r="N15"/>
  <c r="O15"/>
  <c r="AA15" s="1"/>
  <c r="P15"/>
  <c r="Q15"/>
  <c r="AC15" s="1"/>
  <c r="R15"/>
  <c r="S15"/>
  <c r="AE15" s="1"/>
  <c r="T15"/>
  <c r="U15"/>
  <c r="AG15" s="1"/>
  <c r="V15"/>
  <c r="W15"/>
  <c r="AI15" s="1"/>
  <c r="X15"/>
  <c r="Y15"/>
  <c r="AK15" s="1"/>
  <c r="N18"/>
  <c r="P18"/>
  <c r="R18"/>
  <c r="T18"/>
  <c r="V18"/>
  <c r="X18"/>
  <c r="N21"/>
  <c r="O21"/>
  <c r="P21"/>
  <c r="Q21"/>
  <c r="R21"/>
  <c r="S21"/>
  <c r="T21"/>
  <c r="U21"/>
  <c r="V21"/>
  <c r="W21"/>
  <c r="X21"/>
  <c r="Y21"/>
  <c r="M16" i="10"/>
  <c r="M13"/>
  <c r="M11"/>
  <c r="M19" i="11"/>
  <c r="M8" i="10"/>
  <c r="M17"/>
  <c r="M14"/>
  <c r="M9"/>
  <c r="M11" i="11"/>
  <c r="AA11"/>
  <c r="AC11"/>
  <c r="AE11"/>
  <c r="AG11"/>
  <c r="AI11"/>
  <c r="AK11"/>
  <c r="X13" i="8"/>
  <c r="Y13"/>
  <c r="Z13"/>
  <c r="AA13"/>
  <c r="AB13"/>
  <c r="AC13"/>
  <c r="AD13"/>
  <c r="AE13"/>
  <c r="AF13"/>
  <c r="AG13"/>
  <c r="AH13"/>
  <c r="AI13"/>
  <c r="K13"/>
  <c r="M22" i="10"/>
  <c r="M12" i="11"/>
  <c r="X15" i="8"/>
  <c r="Y15"/>
  <c r="Z15"/>
  <c r="AA15"/>
  <c r="AB15"/>
  <c r="AC15"/>
  <c r="AD15"/>
  <c r="AE15"/>
  <c r="AF15"/>
  <c r="AG15"/>
  <c r="AH15"/>
  <c r="AI15"/>
  <c r="K15"/>
  <c r="M29" i="11"/>
  <c r="K51" i="8"/>
  <c r="M28" i="11"/>
  <c r="K47" i="8"/>
  <c r="M18" i="10"/>
  <c r="M15" i="11"/>
  <c r="Z15"/>
  <c r="AB15"/>
  <c r="AD15"/>
  <c r="AF15"/>
  <c r="AH15"/>
  <c r="AJ15"/>
  <c r="X19" i="8"/>
  <c r="Z19"/>
  <c r="AB19"/>
  <c r="AD19"/>
  <c r="AF19"/>
  <c r="AH19"/>
  <c r="K19"/>
  <c r="M10" i="11"/>
  <c r="K12" i="8"/>
  <c r="M4" i="10"/>
  <c r="M7" i="11"/>
  <c r="AC7"/>
  <c r="AG7"/>
  <c r="AK7"/>
  <c r="M6"/>
  <c r="M5"/>
  <c r="AC5"/>
  <c r="AG5"/>
  <c r="AK5"/>
  <c r="M4"/>
  <c r="M3"/>
  <c r="M12" i="10"/>
  <c r="M25" i="11"/>
  <c r="X40" i="8"/>
  <c r="Z40"/>
  <c r="AB40"/>
  <c r="AD40"/>
  <c r="AF40"/>
  <c r="AH40"/>
  <c r="Y40"/>
  <c r="AA40"/>
  <c r="AC40"/>
  <c r="AE40"/>
  <c r="AG40"/>
  <c r="AI40"/>
  <c r="K40"/>
  <c r="M24" i="11"/>
  <c r="K39" i="8"/>
  <c r="M26" i="11"/>
  <c r="X45" i="8"/>
  <c r="Y45"/>
  <c r="Z45"/>
  <c r="AA45"/>
  <c r="AB45"/>
  <c r="AC45"/>
  <c r="AD45"/>
  <c r="AE45"/>
  <c r="AF45"/>
  <c r="AG45"/>
  <c r="AH45"/>
  <c r="AI45"/>
  <c r="K45"/>
  <c r="M20" i="11"/>
  <c r="X32" i="8"/>
  <c r="Y32"/>
  <c r="Z32"/>
  <c r="AA32"/>
  <c r="AB32"/>
  <c r="AC32"/>
  <c r="AD32"/>
  <c r="AE32"/>
  <c r="AF32"/>
  <c r="AG32"/>
  <c r="AH32"/>
  <c r="AI32"/>
  <c r="K32"/>
  <c r="M8" i="11"/>
  <c r="M3" i="10"/>
  <c r="K4" i="11"/>
  <c r="J30"/>
  <c r="N6"/>
  <c r="Z6" s="1"/>
  <c r="O6"/>
  <c r="AA6" s="1"/>
  <c r="P6"/>
  <c r="AB6" s="1"/>
  <c r="Q6"/>
  <c r="AC6" s="1"/>
  <c r="R6"/>
  <c r="AD6" s="1"/>
  <c r="S6"/>
  <c r="AE6" s="1"/>
  <c r="T6"/>
  <c r="AF6" s="1"/>
  <c r="U6"/>
  <c r="AG6" s="1"/>
  <c r="V6"/>
  <c r="AH6" s="1"/>
  <c r="W6"/>
  <c r="AI6" s="1"/>
  <c r="X6"/>
  <c r="AJ6" s="1"/>
  <c r="Y6"/>
  <c r="AK6" s="1"/>
  <c r="N8"/>
  <c r="Z8" s="1"/>
  <c r="O8"/>
  <c r="AA8" s="1"/>
  <c r="P8"/>
  <c r="AB8" s="1"/>
  <c r="Q8"/>
  <c r="AC8" s="1"/>
  <c r="R8"/>
  <c r="AD8" s="1"/>
  <c r="S8"/>
  <c r="AE8" s="1"/>
  <c r="T8"/>
  <c r="AF8" s="1"/>
  <c r="U8"/>
  <c r="AG8" s="1"/>
  <c r="V8"/>
  <c r="AH8" s="1"/>
  <c r="W8"/>
  <c r="AI8" s="1"/>
  <c r="X8"/>
  <c r="AJ8" s="1"/>
  <c r="Y8"/>
  <c r="AK8" s="1"/>
  <c r="N10"/>
  <c r="Z10" s="1"/>
  <c r="O10"/>
  <c r="AA10" s="1"/>
  <c r="P10"/>
  <c r="AB10" s="1"/>
  <c r="Q10"/>
  <c r="AC10" s="1"/>
  <c r="R10"/>
  <c r="AD10" s="1"/>
  <c r="S10"/>
  <c r="AE10" s="1"/>
  <c r="T10"/>
  <c r="AF10" s="1"/>
  <c r="U10"/>
  <c r="AG10" s="1"/>
  <c r="V10"/>
  <c r="AH10" s="1"/>
  <c r="W10"/>
  <c r="AI10" s="1"/>
  <c r="X10"/>
  <c r="AJ10" s="1"/>
  <c r="Y10"/>
  <c r="AK10" s="1"/>
  <c r="N12"/>
  <c r="Z12" s="1"/>
  <c r="O12"/>
  <c r="AA12" s="1"/>
  <c r="P12"/>
  <c r="AB12" s="1"/>
  <c r="Q12"/>
  <c r="AC12" s="1"/>
  <c r="R12"/>
  <c r="AD12" s="1"/>
  <c r="S12"/>
  <c r="AE12" s="1"/>
  <c r="T12"/>
  <c r="AF12" s="1"/>
  <c r="U12"/>
  <c r="AG12" s="1"/>
  <c r="V12"/>
  <c r="AH12" s="1"/>
  <c r="W12"/>
  <c r="AI12" s="1"/>
  <c r="X12"/>
  <c r="AJ12" s="1"/>
  <c r="Y12"/>
  <c r="AK12" s="1"/>
  <c r="N14"/>
  <c r="O14"/>
  <c r="P14"/>
  <c r="Q14"/>
  <c r="R14"/>
  <c r="S14"/>
  <c r="T14"/>
  <c r="U14"/>
  <c r="V14"/>
  <c r="W14"/>
  <c r="X14"/>
  <c r="Y14"/>
  <c r="M18"/>
  <c r="M21"/>
  <c r="K33" i="8"/>
  <c r="K28"/>
  <c r="K21"/>
  <c r="M13" i="11"/>
  <c r="M22"/>
  <c r="K16" i="8"/>
  <c r="K34"/>
  <c r="K29"/>
  <c r="K18"/>
  <c r="M6" i="10"/>
  <c r="M27" i="11"/>
  <c r="Z46" i="8"/>
  <c r="AB46"/>
  <c r="AD46"/>
  <c r="AF46"/>
  <c r="AH46"/>
  <c r="K46"/>
  <c r="M7" i="10"/>
  <c r="M24"/>
  <c r="M23"/>
  <c r="M23" i="11"/>
  <c r="K35" i="8"/>
  <c r="M10" i="10"/>
  <c r="M5"/>
  <c r="M9" i="11"/>
  <c r="AA9"/>
  <c r="AC9"/>
  <c r="AE9"/>
  <c r="AG9"/>
  <c r="AI9"/>
  <c r="AK9"/>
  <c r="X10" i="8"/>
  <c r="Y10"/>
  <c r="Z10"/>
  <c r="AA10"/>
  <c r="AB10"/>
  <c r="AC10"/>
  <c r="AD10"/>
  <c r="AE10"/>
  <c r="AF10"/>
  <c r="AG10"/>
  <c r="AH10"/>
  <c r="AI10"/>
  <c r="K10"/>
  <c r="K8"/>
  <c r="X7"/>
  <c r="Y7"/>
  <c r="Z7"/>
  <c r="AA7"/>
  <c r="AB7"/>
  <c r="AC7"/>
  <c r="AD7"/>
  <c r="AE7"/>
  <c r="AF7"/>
  <c r="AG7"/>
  <c r="AH7"/>
  <c r="AI7"/>
  <c r="K7"/>
  <c r="X6"/>
  <c r="Y6"/>
  <c r="Z6"/>
  <c r="AA6"/>
  <c r="AB6"/>
  <c r="AC6"/>
  <c r="AD6"/>
  <c r="AE6"/>
  <c r="AF6"/>
  <c r="AG6"/>
  <c r="AH6"/>
  <c r="AI6"/>
  <c r="K6"/>
  <c r="X5"/>
  <c r="Y5"/>
  <c r="Z5"/>
  <c r="AA5"/>
  <c r="AB5"/>
  <c r="AC5"/>
  <c r="AD5"/>
  <c r="AE5"/>
  <c r="AF5"/>
  <c r="AG5"/>
  <c r="AH5"/>
  <c r="AI5"/>
  <c r="K5"/>
  <c r="X4"/>
  <c r="Y4"/>
  <c r="Z4"/>
  <c r="AA4"/>
  <c r="AB4"/>
  <c r="AC4"/>
  <c r="AD4"/>
  <c r="AE4"/>
  <c r="AF4"/>
  <c r="AG4"/>
  <c r="AH4"/>
  <c r="AI4"/>
  <c r="K4"/>
  <c r="M17" i="11"/>
  <c r="X22" i="8"/>
  <c r="Y22"/>
  <c r="Z22"/>
  <c r="AA22"/>
  <c r="AB22"/>
  <c r="AC22"/>
  <c r="AD22"/>
  <c r="AE22"/>
  <c r="AF22"/>
  <c r="AG22"/>
  <c r="AH22"/>
  <c r="AI22"/>
  <c r="K22"/>
  <c r="M19" i="10"/>
  <c r="M20"/>
  <c r="M21"/>
  <c r="M15"/>
  <c r="B18" i="6"/>
  <c r="B81"/>
  <c r="C18"/>
  <c r="BP1" s="1"/>
  <c r="X9" i="8"/>
  <c r="Y9"/>
  <c r="Z9"/>
  <c r="AA9"/>
  <c r="AB9"/>
  <c r="AC9"/>
  <c r="AD9"/>
  <c r="AE9"/>
  <c r="AF9"/>
  <c r="AG9"/>
  <c r="AH9"/>
  <c r="AI9"/>
  <c r="K9"/>
  <c r="AJ22"/>
  <c r="AJ6"/>
  <c r="AJ32"/>
  <c r="AJ45"/>
  <c r="AJ40"/>
  <c r="AJ15"/>
  <c r="N4" i="11"/>
  <c r="Z4" s="1"/>
  <c r="O4"/>
  <c r="AA4" s="1"/>
  <c r="P4"/>
  <c r="AB4" s="1"/>
  <c r="Q4"/>
  <c r="AC4" s="1"/>
  <c r="R4"/>
  <c r="AD4" s="1"/>
  <c r="S4"/>
  <c r="AE4" s="1"/>
  <c r="T4"/>
  <c r="AF4" s="1"/>
  <c r="U4"/>
  <c r="AG4" s="1"/>
  <c r="V4"/>
  <c r="AH4" s="1"/>
  <c r="W4"/>
  <c r="AI4" s="1"/>
  <c r="X4"/>
  <c r="AJ4" s="1"/>
  <c r="Y4"/>
  <c r="AK4" s="1"/>
  <c r="K30"/>
  <c r="AJ5" i="8"/>
  <c r="AJ7"/>
  <c r="AJ10"/>
  <c r="AJ19"/>
  <c r="AL15" i="11"/>
  <c r="AJ13" i="8"/>
  <c r="AL4" i="11" l="1"/>
  <c r="AJ4" i="8"/>
  <c r="AJ30"/>
  <c r="BE14" i="10"/>
  <c r="AT23"/>
  <c r="BE12"/>
  <c r="AT21"/>
  <c r="X38" i="8"/>
  <c r="AJ38" s="1"/>
  <c r="K38"/>
  <c r="L46"/>
  <c r="X46" s="1"/>
  <c r="W46"/>
  <c r="AI46" s="1"/>
  <c r="U46"/>
  <c r="AG46" s="1"/>
  <c r="S46"/>
  <c r="AE46" s="1"/>
  <c r="Q46"/>
  <c r="AC46" s="1"/>
  <c r="O46"/>
  <c r="AA46" s="1"/>
  <c r="M46"/>
  <c r="Y46" s="1"/>
  <c r="L33"/>
  <c r="N33"/>
  <c r="P33"/>
  <c r="R33"/>
  <c r="T33"/>
  <c r="V33"/>
  <c r="AJ26"/>
  <c r="AZ22" i="10"/>
  <c r="BD23"/>
  <c r="BB23"/>
  <c r="AV23"/>
  <c r="BB21"/>
  <c r="AX21"/>
  <c r="AX19"/>
  <c r="BE11"/>
  <c r="BE20" i="11"/>
  <c r="BE18"/>
  <c r="BE16"/>
  <c r="BE13" i="10"/>
  <c r="AT22"/>
  <c r="C56" i="6"/>
  <c r="E55"/>
  <c r="W50" i="8"/>
  <c r="AI50" s="1"/>
  <c r="U50"/>
  <c r="AG50" s="1"/>
  <c r="S50"/>
  <c r="AE50" s="1"/>
  <c r="Q50"/>
  <c r="AC50" s="1"/>
  <c r="O50"/>
  <c r="AA50" s="1"/>
  <c r="M50"/>
  <c r="Y50" s="1"/>
  <c r="L50"/>
  <c r="X50" s="1"/>
  <c r="L42"/>
  <c r="X42" s="1"/>
  <c r="N42"/>
  <c r="Z42" s="1"/>
  <c r="P42"/>
  <c r="AB42" s="1"/>
  <c r="R42"/>
  <c r="AD42" s="1"/>
  <c r="T42"/>
  <c r="AF42" s="1"/>
  <c r="V42"/>
  <c r="AH42" s="1"/>
  <c r="M42"/>
  <c r="Y42" s="1"/>
  <c r="O42"/>
  <c r="AA42" s="1"/>
  <c r="Q42"/>
  <c r="AC42" s="1"/>
  <c r="S42"/>
  <c r="AE42" s="1"/>
  <c r="U42"/>
  <c r="AG42" s="1"/>
  <c r="W42"/>
  <c r="AI42" s="1"/>
  <c r="BE15" i="10"/>
  <c r="BB22"/>
  <c r="AX22"/>
  <c r="AZ23"/>
  <c r="AX23"/>
  <c r="BD21"/>
  <c r="AZ21"/>
  <c r="AV21"/>
  <c r="BD19"/>
  <c r="AZ19"/>
  <c r="AV19"/>
  <c r="AG41" i="8"/>
  <c r="AE41"/>
  <c r="AC41"/>
  <c r="AA41"/>
  <c r="Y41"/>
  <c r="I51"/>
  <c r="I47"/>
  <c r="I43"/>
  <c r="I39"/>
  <c r="I35"/>
  <c r="I29"/>
  <c r="I27"/>
  <c r="I23"/>
  <c r="I20"/>
  <c r="AC37"/>
  <c r="AA37"/>
  <c r="Y37"/>
  <c r="Z52"/>
  <c r="AB52"/>
  <c r="AD52"/>
  <c r="AF52"/>
  <c r="AH52"/>
  <c r="AH41"/>
  <c r="AF41"/>
  <c r="AD41"/>
  <c r="AB41"/>
  <c r="Z41"/>
  <c r="X41"/>
  <c r="AJ41" s="1"/>
  <c r="DQ20" i="6"/>
  <c r="DS20" s="1"/>
  <c r="DS21" s="1"/>
  <c r="DS22" s="1"/>
  <c r="DS23" s="1"/>
  <c r="DS24" s="1"/>
  <c r="DS25" s="1"/>
  <c r="DS26" s="1"/>
  <c r="DS27" s="1"/>
  <c r="DS28" s="1"/>
  <c r="DS29" s="1"/>
  <c r="DS30" s="1"/>
  <c r="DS31" s="1"/>
  <c r="DS32" s="1"/>
  <c r="DS33" s="1"/>
  <c r="DS34" s="1"/>
  <c r="DS35" s="1"/>
  <c r="DS36" s="1"/>
  <c r="DS37" s="1"/>
  <c r="DS38" s="1"/>
  <c r="DS39" s="1"/>
  <c r="DS40" s="1"/>
  <c r="DS41" s="1"/>
  <c r="DS42" s="1"/>
  <c r="DS43" s="1"/>
  <c r="DS44" s="1"/>
  <c r="DS45" s="1"/>
  <c r="DS46" s="1"/>
  <c r="DS47" s="1"/>
  <c r="DS48" s="1"/>
  <c r="DS49" s="1"/>
  <c r="DS50" s="1"/>
  <c r="DS51" s="1"/>
  <c r="DS52" s="1"/>
  <c r="DS53" s="1"/>
  <c r="DS54" s="1"/>
  <c r="DS55" s="1"/>
  <c r="DS56" s="1"/>
  <c r="DS57" s="1"/>
  <c r="DS58" s="1"/>
  <c r="DS59" s="1"/>
  <c r="DS60" s="1"/>
  <c r="DS61" s="1"/>
  <c r="DS62" s="1"/>
  <c r="DS63" s="1"/>
  <c r="DS64" s="1"/>
  <c r="DS65" s="1"/>
  <c r="DS66" s="1"/>
  <c r="DS67" s="1"/>
  <c r="DS68" s="1"/>
  <c r="DS69" s="1"/>
  <c r="DS70" s="1"/>
  <c r="DS71" s="1"/>
  <c r="DS72" s="1"/>
  <c r="DS73" s="1"/>
  <c r="E56"/>
  <c r="I12" i="8"/>
  <c r="I8"/>
  <c r="AJ9"/>
  <c r="AJ50"/>
  <c r="AL12" i="11"/>
  <c r="AL10"/>
  <c r="AL8"/>
  <c r="AL6"/>
  <c r="AJ24" i="8"/>
  <c r="AJ25"/>
  <c r="AJ48"/>
  <c r="AJ52"/>
  <c r="N5" i="11"/>
  <c r="Z5" s="1"/>
  <c r="P5"/>
  <c r="AB5" s="1"/>
  <c r="R5"/>
  <c r="AD5" s="1"/>
  <c r="T5"/>
  <c r="AF5" s="1"/>
  <c r="V5"/>
  <c r="AH5" s="1"/>
  <c r="X5"/>
  <c r="AJ5" s="1"/>
  <c r="N7"/>
  <c r="Z7" s="1"/>
  <c r="P7"/>
  <c r="AB7" s="1"/>
  <c r="R7"/>
  <c r="AD7" s="1"/>
  <c r="T7"/>
  <c r="AF7" s="1"/>
  <c r="V7"/>
  <c r="AH7" s="1"/>
  <c r="X7"/>
  <c r="AJ7" s="1"/>
  <c r="N9"/>
  <c r="Z9" s="1"/>
  <c r="P9"/>
  <c r="AB9" s="1"/>
  <c r="R9"/>
  <c r="AD9" s="1"/>
  <c r="T9"/>
  <c r="AF9" s="1"/>
  <c r="V9"/>
  <c r="AH9" s="1"/>
  <c r="X9"/>
  <c r="AJ9" s="1"/>
  <c r="N11"/>
  <c r="Z11" s="1"/>
  <c r="P11"/>
  <c r="AB11" s="1"/>
  <c r="R11"/>
  <c r="AD11" s="1"/>
  <c r="T11"/>
  <c r="AF11" s="1"/>
  <c r="V11"/>
  <c r="AH11" s="1"/>
  <c r="X11"/>
  <c r="AJ11" s="1"/>
  <c r="O18"/>
  <c r="Q18"/>
  <c r="S18"/>
  <c r="U18"/>
  <c r="W18"/>
  <c r="Y18"/>
  <c r="AJ14" i="8"/>
  <c r="AJ11"/>
  <c r="AJ42"/>
  <c r="N29" i="11"/>
  <c r="Z29" s="1"/>
  <c r="P29"/>
  <c r="AB29" s="1"/>
  <c r="R29"/>
  <c r="AD29" s="1"/>
  <c r="T29"/>
  <c r="AF29" s="1"/>
  <c r="V29"/>
  <c r="AH29" s="1"/>
  <c r="X29"/>
  <c r="AJ29" s="1"/>
  <c r="O29"/>
  <c r="AA29" s="1"/>
  <c r="Q29"/>
  <c r="AC29" s="1"/>
  <c r="S29"/>
  <c r="AE29" s="1"/>
  <c r="U29"/>
  <c r="AG29" s="1"/>
  <c r="W29"/>
  <c r="AI29" s="1"/>
  <c r="Y29"/>
  <c r="AK29" s="1"/>
  <c r="N27"/>
  <c r="Z27" s="1"/>
  <c r="P27"/>
  <c r="AB27" s="1"/>
  <c r="R27"/>
  <c r="AD27" s="1"/>
  <c r="T27"/>
  <c r="AF27" s="1"/>
  <c r="V27"/>
  <c r="AH27" s="1"/>
  <c r="X27"/>
  <c r="AJ27" s="1"/>
  <c r="O27"/>
  <c r="AA27" s="1"/>
  <c r="Q27"/>
  <c r="AC27" s="1"/>
  <c r="S27"/>
  <c r="AE27" s="1"/>
  <c r="U27"/>
  <c r="AG27" s="1"/>
  <c r="W27"/>
  <c r="AI27" s="1"/>
  <c r="Y27"/>
  <c r="AK27" s="1"/>
  <c r="N25"/>
  <c r="Z25" s="1"/>
  <c r="P25"/>
  <c r="AB25" s="1"/>
  <c r="R25"/>
  <c r="AD25" s="1"/>
  <c r="T25"/>
  <c r="AF25" s="1"/>
  <c r="V25"/>
  <c r="AH25" s="1"/>
  <c r="X25"/>
  <c r="AJ25" s="1"/>
  <c r="O25"/>
  <c r="AA25" s="1"/>
  <c r="Q25"/>
  <c r="AC25" s="1"/>
  <c r="S25"/>
  <c r="AE25" s="1"/>
  <c r="U25"/>
  <c r="AG25" s="1"/>
  <c r="W25"/>
  <c r="AI25" s="1"/>
  <c r="Y25"/>
  <c r="AK25" s="1"/>
  <c r="N23"/>
  <c r="Z23" s="1"/>
  <c r="P23"/>
  <c r="AB23" s="1"/>
  <c r="R23"/>
  <c r="AD23" s="1"/>
  <c r="T23"/>
  <c r="AF23" s="1"/>
  <c r="V23"/>
  <c r="AH23" s="1"/>
  <c r="X23"/>
  <c r="AJ23" s="1"/>
  <c r="O23"/>
  <c r="AA23" s="1"/>
  <c r="Q23"/>
  <c r="AC23" s="1"/>
  <c r="S23"/>
  <c r="AE23" s="1"/>
  <c r="U23"/>
  <c r="AG23" s="1"/>
  <c r="W23"/>
  <c r="AI23" s="1"/>
  <c r="Y23"/>
  <c r="AK23" s="1"/>
  <c r="N20"/>
  <c r="Z20" s="1"/>
  <c r="P20"/>
  <c r="AB20" s="1"/>
  <c r="R20"/>
  <c r="AD20" s="1"/>
  <c r="T20"/>
  <c r="AF20" s="1"/>
  <c r="V20"/>
  <c r="AH20" s="1"/>
  <c r="X20"/>
  <c r="AJ20" s="1"/>
  <c r="O20"/>
  <c r="AA20" s="1"/>
  <c r="Q20"/>
  <c r="AC20" s="1"/>
  <c r="S20"/>
  <c r="AE20" s="1"/>
  <c r="U20"/>
  <c r="AG20" s="1"/>
  <c r="W20"/>
  <c r="AI20" s="1"/>
  <c r="Y20"/>
  <c r="AK20" s="1"/>
  <c r="N17"/>
  <c r="Z17" s="1"/>
  <c r="P17"/>
  <c r="AB17" s="1"/>
  <c r="R17"/>
  <c r="AD17" s="1"/>
  <c r="T17"/>
  <c r="AF17" s="1"/>
  <c r="V17"/>
  <c r="AH17" s="1"/>
  <c r="X17"/>
  <c r="AJ17" s="1"/>
  <c r="O17"/>
  <c r="AA17" s="1"/>
  <c r="Q17"/>
  <c r="AC17" s="1"/>
  <c r="S17"/>
  <c r="AE17" s="1"/>
  <c r="U17"/>
  <c r="AG17" s="1"/>
  <c r="W17"/>
  <c r="AI17" s="1"/>
  <c r="Y17"/>
  <c r="AK17" s="1"/>
  <c r="N3"/>
  <c r="Z3" s="1"/>
  <c r="P3"/>
  <c r="AB3" s="1"/>
  <c r="R3"/>
  <c r="AD3" s="1"/>
  <c r="T3"/>
  <c r="AF3" s="1"/>
  <c r="V3"/>
  <c r="AH3" s="1"/>
  <c r="X3"/>
  <c r="AJ3" s="1"/>
  <c r="O3"/>
  <c r="AA3" s="1"/>
  <c r="Q3"/>
  <c r="AC3" s="1"/>
  <c r="S3"/>
  <c r="AE3" s="1"/>
  <c r="U3"/>
  <c r="AG3" s="1"/>
  <c r="W3"/>
  <c r="AI3" s="1"/>
  <c r="Y3"/>
  <c r="AK3" s="1"/>
  <c r="Q3" i="10"/>
  <c r="AC3" s="1"/>
  <c r="S3"/>
  <c r="AE3" s="1"/>
  <c r="U3"/>
  <c r="AG3" s="1"/>
  <c r="Y3"/>
  <c r="AK3" s="1"/>
  <c r="M51" i="8"/>
  <c r="Y51" s="1"/>
  <c r="O51"/>
  <c r="AA51" s="1"/>
  <c r="Q51"/>
  <c r="AC51" s="1"/>
  <c r="S51"/>
  <c r="AE51" s="1"/>
  <c r="U51"/>
  <c r="AG51" s="1"/>
  <c r="W51"/>
  <c r="AI51" s="1"/>
  <c r="L51"/>
  <c r="X51" s="1"/>
  <c r="N51"/>
  <c r="Z51" s="1"/>
  <c r="P51"/>
  <c r="AB51" s="1"/>
  <c r="R51"/>
  <c r="AD51" s="1"/>
  <c r="T51"/>
  <c r="AF51" s="1"/>
  <c r="V51"/>
  <c r="AH51" s="1"/>
  <c r="M47"/>
  <c r="Y47" s="1"/>
  <c r="O47"/>
  <c r="AA47" s="1"/>
  <c r="Q47"/>
  <c r="AC47" s="1"/>
  <c r="S47"/>
  <c r="AE47" s="1"/>
  <c r="U47"/>
  <c r="AG47" s="1"/>
  <c r="W47"/>
  <c r="AI47" s="1"/>
  <c r="L47"/>
  <c r="X47" s="1"/>
  <c r="N47"/>
  <c r="Z47" s="1"/>
  <c r="P47"/>
  <c r="AB47" s="1"/>
  <c r="R47"/>
  <c r="AD47" s="1"/>
  <c r="T47"/>
  <c r="AF47" s="1"/>
  <c r="V47"/>
  <c r="AH47" s="1"/>
  <c r="O43"/>
  <c r="AA43" s="1"/>
  <c r="P43"/>
  <c r="AB43" s="1"/>
  <c r="Q43"/>
  <c r="AC43" s="1"/>
  <c r="R43"/>
  <c r="AD43" s="1"/>
  <c r="S43"/>
  <c r="AE43" s="1"/>
  <c r="T43"/>
  <c r="AF43" s="1"/>
  <c r="U43"/>
  <c r="AG43" s="1"/>
  <c r="V43"/>
  <c r="AH43" s="1"/>
  <c r="W43"/>
  <c r="AI43" s="1"/>
  <c r="L43"/>
  <c r="X43" s="1"/>
  <c r="M20"/>
  <c r="Y20" s="1"/>
  <c r="L20"/>
  <c r="X20" s="1"/>
  <c r="N20"/>
  <c r="Z20" s="1"/>
  <c r="O20"/>
  <c r="AA20" s="1"/>
  <c r="P20"/>
  <c r="AB20" s="1"/>
  <c r="Q20"/>
  <c r="AC20" s="1"/>
  <c r="R20"/>
  <c r="AD20" s="1"/>
  <c r="S20"/>
  <c r="AE20" s="1"/>
  <c r="T20"/>
  <c r="AF20" s="1"/>
  <c r="U20"/>
  <c r="AG20" s="1"/>
  <c r="V20"/>
  <c r="AH20" s="1"/>
  <c r="W20"/>
  <c r="AI20" s="1"/>
  <c r="I54"/>
  <c r="O28" i="11"/>
  <c r="AA28" s="1"/>
  <c r="Q28"/>
  <c r="AC28" s="1"/>
  <c r="S28"/>
  <c r="AE28" s="1"/>
  <c r="U28"/>
  <c r="AG28" s="1"/>
  <c r="W28"/>
  <c r="AI28" s="1"/>
  <c r="Y28"/>
  <c r="AK28" s="1"/>
  <c r="N28"/>
  <c r="Z28" s="1"/>
  <c r="P28"/>
  <c r="AB28" s="1"/>
  <c r="R28"/>
  <c r="AD28" s="1"/>
  <c r="T28"/>
  <c r="AF28" s="1"/>
  <c r="V28"/>
  <c r="AH28" s="1"/>
  <c r="X28"/>
  <c r="AJ28" s="1"/>
  <c r="O26"/>
  <c r="AA26" s="1"/>
  <c r="Q26"/>
  <c r="AC26" s="1"/>
  <c r="S26"/>
  <c r="AE26" s="1"/>
  <c r="U26"/>
  <c r="AG26" s="1"/>
  <c r="W26"/>
  <c r="AI26" s="1"/>
  <c r="Y26"/>
  <c r="AK26" s="1"/>
  <c r="N26"/>
  <c r="Z26" s="1"/>
  <c r="P26"/>
  <c r="AB26" s="1"/>
  <c r="R26"/>
  <c r="AD26" s="1"/>
  <c r="T26"/>
  <c r="AF26" s="1"/>
  <c r="V26"/>
  <c r="AH26" s="1"/>
  <c r="X26"/>
  <c r="AJ26" s="1"/>
  <c r="O24"/>
  <c r="AA24" s="1"/>
  <c r="Q24"/>
  <c r="AC24" s="1"/>
  <c r="S24"/>
  <c r="AE24" s="1"/>
  <c r="U24"/>
  <c r="AG24" s="1"/>
  <c r="W24"/>
  <c r="AI24" s="1"/>
  <c r="Y24"/>
  <c r="AK24" s="1"/>
  <c r="N24"/>
  <c r="Z24" s="1"/>
  <c r="P24"/>
  <c r="AB24" s="1"/>
  <c r="R24"/>
  <c r="AD24" s="1"/>
  <c r="T24"/>
  <c r="AF24" s="1"/>
  <c r="V24"/>
  <c r="AH24" s="1"/>
  <c r="X24"/>
  <c r="AJ24" s="1"/>
  <c r="O22"/>
  <c r="Q22"/>
  <c r="S22"/>
  <c r="U22"/>
  <c r="W22"/>
  <c r="Y22"/>
  <c r="N22"/>
  <c r="P22"/>
  <c r="R22"/>
  <c r="T22"/>
  <c r="V22"/>
  <c r="X22"/>
  <c r="O19"/>
  <c r="Q19"/>
  <c r="S19"/>
  <c r="U19"/>
  <c r="W19"/>
  <c r="Y19"/>
  <c r="N19"/>
  <c r="P19"/>
  <c r="R19"/>
  <c r="T19"/>
  <c r="V19"/>
  <c r="X19"/>
  <c r="O16"/>
  <c r="Q16"/>
  <c r="S16"/>
  <c r="U16"/>
  <c r="W16"/>
  <c r="Y16"/>
  <c r="N16"/>
  <c r="P16"/>
  <c r="R16"/>
  <c r="T16"/>
  <c r="V16"/>
  <c r="X16"/>
  <c r="O13"/>
  <c r="Q13"/>
  <c r="S13"/>
  <c r="U13"/>
  <c r="W13"/>
  <c r="Y13"/>
  <c r="N13"/>
  <c r="P13"/>
  <c r="R13"/>
  <c r="T13"/>
  <c r="V13"/>
  <c r="X13"/>
  <c r="L53" i="8"/>
  <c r="X53" s="1"/>
  <c r="M53"/>
  <c r="Y53" s="1"/>
  <c r="N53"/>
  <c r="Z53" s="1"/>
  <c r="O53"/>
  <c r="AA53" s="1"/>
  <c r="P53"/>
  <c r="AB53" s="1"/>
  <c r="Q53"/>
  <c r="AC53" s="1"/>
  <c r="R53"/>
  <c r="AD53" s="1"/>
  <c r="S53"/>
  <c r="AE53" s="1"/>
  <c r="T53"/>
  <c r="AF53" s="1"/>
  <c r="U53"/>
  <c r="AG53" s="1"/>
  <c r="V53"/>
  <c r="AH53" s="1"/>
  <c r="W53"/>
  <c r="AI53" s="1"/>
  <c r="J24" i="10"/>
  <c r="K24" s="1"/>
  <c r="J23"/>
  <c r="K23" s="1"/>
  <c r="J22"/>
  <c r="K22" s="1"/>
  <c r="J21"/>
  <c r="K21" s="1"/>
  <c r="J20"/>
  <c r="K20" s="1"/>
  <c r="J19"/>
  <c r="K19" s="1"/>
  <c r="J18"/>
  <c r="K18" s="1"/>
  <c r="J17"/>
  <c r="K17" s="1"/>
  <c r="J16"/>
  <c r="K16" s="1"/>
  <c r="J15"/>
  <c r="K15" s="1"/>
  <c r="J14"/>
  <c r="K14" s="1"/>
  <c r="J13"/>
  <c r="K13" s="1"/>
  <c r="J12"/>
  <c r="K12" s="1"/>
  <c r="J11"/>
  <c r="K11" s="1"/>
  <c r="J10"/>
  <c r="K10" s="1"/>
  <c r="J8"/>
  <c r="K8" s="1"/>
  <c r="L12" i="8" l="1"/>
  <c r="X12" s="1"/>
  <c r="W12"/>
  <c r="AI12" s="1"/>
  <c r="U12"/>
  <c r="AG12" s="1"/>
  <c r="S12"/>
  <c r="AE12" s="1"/>
  <c r="Q12"/>
  <c r="AC12" s="1"/>
  <c r="O12"/>
  <c r="AA12" s="1"/>
  <c r="M12"/>
  <c r="Y12" s="1"/>
  <c r="V12"/>
  <c r="AH12" s="1"/>
  <c r="T12"/>
  <c r="AF12" s="1"/>
  <c r="R12"/>
  <c r="AD12" s="1"/>
  <c r="P12"/>
  <c r="AB12" s="1"/>
  <c r="N12"/>
  <c r="Z12" s="1"/>
  <c r="B21" i="6"/>
  <c r="O21" s="1"/>
  <c r="B25"/>
  <c r="O25" s="1"/>
  <c r="B22"/>
  <c r="O22" s="1"/>
  <c r="G43"/>
  <c r="B19"/>
  <c r="B20"/>
  <c r="O20" s="1"/>
  <c r="B27"/>
  <c r="O27" s="1"/>
  <c r="B26"/>
  <c r="O26" s="1"/>
  <c r="B23"/>
  <c r="O23" s="1"/>
  <c r="B24"/>
  <c r="O24" s="1"/>
  <c r="B28"/>
  <c r="O28" s="1"/>
  <c r="L23" i="8"/>
  <c r="X23" s="1"/>
  <c r="M23"/>
  <c r="Y23" s="1"/>
  <c r="N23"/>
  <c r="Z23" s="1"/>
  <c r="O23"/>
  <c r="AA23" s="1"/>
  <c r="P23"/>
  <c r="AB23" s="1"/>
  <c r="Q23"/>
  <c r="AC23" s="1"/>
  <c r="R23"/>
  <c r="AD23" s="1"/>
  <c r="S23"/>
  <c r="AE23" s="1"/>
  <c r="T23"/>
  <c r="AF23" s="1"/>
  <c r="V23"/>
  <c r="AH23" s="1"/>
  <c r="W23"/>
  <c r="AI23" s="1"/>
  <c r="U23"/>
  <c r="AG23" s="1"/>
  <c r="L29"/>
  <c r="N29"/>
  <c r="P29"/>
  <c r="R29"/>
  <c r="T29"/>
  <c r="V29"/>
  <c r="M29"/>
  <c r="O29"/>
  <c r="Q29"/>
  <c r="S29"/>
  <c r="U29"/>
  <c r="W29"/>
  <c r="L39"/>
  <c r="X39" s="1"/>
  <c r="N39"/>
  <c r="Z39" s="1"/>
  <c r="P39"/>
  <c r="AB39" s="1"/>
  <c r="R39"/>
  <c r="AD39" s="1"/>
  <c r="T39"/>
  <c r="AF39" s="1"/>
  <c r="V39"/>
  <c r="AH39" s="1"/>
  <c r="O39"/>
  <c r="AA39" s="1"/>
  <c r="S39"/>
  <c r="AE39" s="1"/>
  <c r="W39"/>
  <c r="AI39" s="1"/>
  <c r="M39"/>
  <c r="Y39" s="1"/>
  <c r="Q39"/>
  <c r="AC39" s="1"/>
  <c r="U39"/>
  <c r="AG39" s="1"/>
  <c r="AZ20" i="10"/>
  <c r="U5"/>
  <c r="AG5" s="1"/>
  <c r="U4"/>
  <c r="AG4" s="1"/>
  <c r="U6"/>
  <c r="AG6" s="1"/>
  <c r="BA22"/>
  <c r="AW22"/>
  <c r="AS22"/>
  <c r="BC22"/>
  <c r="AY22"/>
  <c r="AU22"/>
  <c r="AU19"/>
  <c r="AW19"/>
  <c r="AY19"/>
  <c r="BA19"/>
  <c r="BC19"/>
  <c r="AS19"/>
  <c r="AT19"/>
  <c r="BA21"/>
  <c r="AW21"/>
  <c r="AS21"/>
  <c r="BC21"/>
  <c r="AY21"/>
  <c r="AU21"/>
  <c r="AU23"/>
  <c r="AY23"/>
  <c r="BC23"/>
  <c r="AS23"/>
  <c r="AW23"/>
  <c r="BA23"/>
  <c r="AH13" i="11"/>
  <c r="Z13"/>
  <c r="AE13"/>
  <c r="AH16"/>
  <c r="Z16"/>
  <c r="AE16"/>
  <c r="AH19"/>
  <c r="AD19"/>
  <c r="Z19"/>
  <c r="AI19"/>
  <c r="AE19"/>
  <c r="AA19"/>
  <c r="AH22"/>
  <c r="AD22"/>
  <c r="Z22"/>
  <c r="AI22"/>
  <c r="AE22"/>
  <c r="AA22"/>
  <c r="AK18"/>
  <c r="AG18"/>
  <c r="AC18"/>
  <c r="AJ37" i="8"/>
  <c r="BB19" i="10"/>
  <c r="AV22"/>
  <c r="BD22"/>
  <c r="AJ46" i="8"/>
  <c r="W8"/>
  <c r="AI8" s="1"/>
  <c r="U8"/>
  <c r="AG8" s="1"/>
  <c r="S8"/>
  <c r="AE8" s="1"/>
  <c r="Q8"/>
  <c r="AC8" s="1"/>
  <c r="O8"/>
  <c r="AA8" s="1"/>
  <c r="M8"/>
  <c r="Y8" s="1"/>
  <c r="L8"/>
  <c r="X8" s="1"/>
  <c r="V8"/>
  <c r="AH8" s="1"/>
  <c r="T8"/>
  <c r="AF8" s="1"/>
  <c r="R8"/>
  <c r="AD8" s="1"/>
  <c r="P8"/>
  <c r="AB8" s="1"/>
  <c r="N8"/>
  <c r="Z8" s="1"/>
  <c r="L27"/>
  <c r="X27" s="1"/>
  <c r="M27"/>
  <c r="Y27" s="1"/>
  <c r="N27"/>
  <c r="Z27" s="1"/>
  <c r="O27"/>
  <c r="AA27" s="1"/>
  <c r="P27"/>
  <c r="AB27" s="1"/>
  <c r="Q27"/>
  <c r="AC27" s="1"/>
  <c r="R27"/>
  <c r="AD27" s="1"/>
  <c r="S27"/>
  <c r="AE27" s="1"/>
  <c r="T27"/>
  <c r="AF27" s="1"/>
  <c r="U27"/>
  <c r="AG27" s="1"/>
  <c r="V27"/>
  <c r="AH27" s="1"/>
  <c r="W27"/>
  <c r="AI27" s="1"/>
  <c r="L35"/>
  <c r="X35" s="1"/>
  <c r="N35"/>
  <c r="Z35" s="1"/>
  <c r="P35"/>
  <c r="AB35" s="1"/>
  <c r="R35"/>
  <c r="AD35" s="1"/>
  <c r="T35"/>
  <c r="AF35" s="1"/>
  <c r="V35"/>
  <c r="AH35" s="1"/>
  <c r="O35"/>
  <c r="AA35" s="1"/>
  <c r="S35"/>
  <c r="AE35" s="1"/>
  <c r="W35"/>
  <c r="AI35" s="1"/>
  <c r="M35"/>
  <c r="Y35" s="1"/>
  <c r="Q35"/>
  <c r="AC35" s="1"/>
  <c r="U35"/>
  <c r="AG35" s="1"/>
  <c r="N43"/>
  <c r="Z43" s="1"/>
  <c r="M43"/>
  <c r="Y43" s="1"/>
  <c r="AV20" i="10"/>
  <c r="Q5"/>
  <c r="AC5" s="1"/>
  <c r="Q4"/>
  <c r="AC4" s="1"/>
  <c r="Q6"/>
  <c r="AC6" s="1"/>
  <c r="BD20"/>
  <c r="Y5"/>
  <c r="AK5" s="1"/>
  <c r="Y4"/>
  <c r="AK4" s="1"/>
  <c r="Y6"/>
  <c r="AK6" s="1"/>
  <c r="AX20"/>
  <c r="S5"/>
  <c r="AE5" s="1"/>
  <c r="S4"/>
  <c r="AE4" s="1"/>
  <c r="S6"/>
  <c r="AE6" s="1"/>
  <c r="AD13" i="11"/>
  <c r="AI13"/>
  <c r="AA13"/>
  <c r="AD16"/>
  <c r="AI16"/>
  <c r="AA16"/>
  <c r="AJ13"/>
  <c r="AF13"/>
  <c r="AB13"/>
  <c r="AK13"/>
  <c r="AG13"/>
  <c r="AC13"/>
  <c r="AJ16"/>
  <c r="AF16"/>
  <c r="AB16"/>
  <c r="AK16"/>
  <c r="AG16"/>
  <c r="AC16"/>
  <c r="AJ19"/>
  <c r="AF19"/>
  <c r="AB19"/>
  <c r="AK19"/>
  <c r="AG19"/>
  <c r="AC19"/>
  <c r="AJ22"/>
  <c r="AF22"/>
  <c r="AB22"/>
  <c r="AK22"/>
  <c r="AG22"/>
  <c r="AC22"/>
  <c r="AI18"/>
  <c r="AE18"/>
  <c r="AA18"/>
  <c r="Q8" i="10"/>
  <c r="AC8" s="1"/>
  <c r="U8"/>
  <c r="AG8" s="1"/>
  <c r="Y8"/>
  <c r="AK8" s="1"/>
  <c r="S8"/>
  <c r="AE8" s="1"/>
  <c r="X13"/>
  <c r="AJ13" s="1"/>
  <c r="V13"/>
  <c r="AH13" s="1"/>
  <c r="T13"/>
  <c r="AF13" s="1"/>
  <c r="R13"/>
  <c r="AD13" s="1"/>
  <c r="P13"/>
  <c r="AB13" s="1"/>
  <c r="N13"/>
  <c r="Z13" s="1"/>
  <c r="Y13"/>
  <c r="AK13" s="1"/>
  <c r="W13"/>
  <c r="AI13" s="1"/>
  <c r="U13"/>
  <c r="AG13" s="1"/>
  <c r="S13"/>
  <c r="AE13" s="1"/>
  <c r="Q13"/>
  <c r="AC13" s="1"/>
  <c r="O13"/>
  <c r="AA13" s="1"/>
  <c r="N15"/>
  <c r="Z15" s="1"/>
  <c r="P15"/>
  <c r="AB15" s="1"/>
  <c r="R15"/>
  <c r="AD15" s="1"/>
  <c r="T15"/>
  <c r="AF15" s="1"/>
  <c r="V15"/>
  <c r="AH15" s="1"/>
  <c r="X15"/>
  <c r="AJ15" s="1"/>
  <c r="O15"/>
  <c r="AA15" s="1"/>
  <c r="S15"/>
  <c r="AE15" s="1"/>
  <c r="W15"/>
  <c r="AI15" s="1"/>
  <c r="Q15"/>
  <c r="AC15" s="1"/>
  <c r="U15"/>
  <c r="AG15" s="1"/>
  <c r="Y15"/>
  <c r="AK15" s="1"/>
  <c r="N17"/>
  <c r="Z17" s="1"/>
  <c r="P17"/>
  <c r="AB17" s="1"/>
  <c r="R17"/>
  <c r="AD17" s="1"/>
  <c r="T17"/>
  <c r="AF17" s="1"/>
  <c r="V17"/>
  <c r="AH17" s="1"/>
  <c r="X17"/>
  <c r="AJ17" s="1"/>
  <c r="O17"/>
  <c r="AA17" s="1"/>
  <c r="Q17"/>
  <c r="AC17" s="1"/>
  <c r="S17"/>
  <c r="AE17" s="1"/>
  <c r="U17"/>
  <c r="AG17" s="1"/>
  <c r="W17"/>
  <c r="AI17" s="1"/>
  <c r="Y17"/>
  <c r="AK17" s="1"/>
  <c r="N21"/>
  <c r="Z21" s="1"/>
  <c r="P21"/>
  <c r="AB21" s="1"/>
  <c r="R21"/>
  <c r="AD21" s="1"/>
  <c r="T21"/>
  <c r="AF21" s="1"/>
  <c r="V21"/>
  <c r="AH21" s="1"/>
  <c r="X21"/>
  <c r="AJ21" s="1"/>
  <c r="O21"/>
  <c r="AA21" s="1"/>
  <c r="Q21"/>
  <c r="AC21" s="1"/>
  <c r="S21"/>
  <c r="AE21" s="1"/>
  <c r="U21"/>
  <c r="AG21" s="1"/>
  <c r="W21"/>
  <c r="AI21" s="1"/>
  <c r="Y21"/>
  <c r="AK21" s="1"/>
  <c r="N23"/>
  <c r="Z23" s="1"/>
  <c r="P23"/>
  <c r="AB23" s="1"/>
  <c r="R23"/>
  <c r="AD23" s="1"/>
  <c r="T23"/>
  <c r="AF23" s="1"/>
  <c r="V23"/>
  <c r="AH23" s="1"/>
  <c r="X23"/>
  <c r="AJ23" s="1"/>
  <c r="O23"/>
  <c r="AA23" s="1"/>
  <c r="Q23"/>
  <c r="AC23" s="1"/>
  <c r="S23"/>
  <c r="AE23" s="1"/>
  <c r="U23"/>
  <c r="AG23" s="1"/>
  <c r="W23"/>
  <c r="AI23" s="1"/>
  <c r="Y23"/>
  <c r="AK23" s="1"/>
  <c r="Y10"/>
  <c r="AK10" s="1"/>
  <c r="U10"/>
  <c r="AG10" s="1"/>
  <c r="S10"/>
  <c r="AE10" s="1"/>
  <c r="Q10"/>
  <c r="AC10" s="1"/>
  <c r="Q12"/>
  <c r="AC12" s="1"/>
  <c r="S12"/>
  <c r="AE12" s="1"/>
  <c r="U12"/>
  <c r="AG12" s="1"/>
  <c r="Y12"/>
  <c r="AK12" s="1"/>
  <c r="N14"/>
  <c r="Z14" s="1"/>
  <c r="P14"/>
  <c r="AB14" s="1"/>
  <c r="R14"/>
  <c r="AD14" s="1"/>
  <c r="T14"/>
  <c r="AF14" s="1"/>
  <c r="V14"/>
  <c r="AH14" s="1"/>
  <c r="X14"/>
  <c r="AJ14" s="1"/>
  <c r="O14"/>
  <c r="AA14" s="1"/>
  <c r="Q14"/>
  <c r="AC14" s="1"/>
  <c r="S14"/>
  <c r="AE14" s="1"/>
  <c r="U14"/>
  <c r="AG14" s="1"/>
  <c r="W14"/>
  <c r="AI14" s="1"/>
  <c r="Y14"/>
  <c r="AK14" s="1"/>
  <c r="N16"/>
  <c r="Z16" s="1"/>
  <c r="Y16"/>
  <c r="AK16" s="1"/>
  <c r="W16"/>
  <c r="AI16" s="1"/>
  <c r="U16"/>
  <c r="AG16" s="1"/>
  <c r="S16"/>
  <c r="AE16" s="1"/>
  <c r="Q16"/>
  <c r="AC16" s="1"/>
  <c r="O16"/>
  <c r="AA16" s="1"/>
  <c r="X16"/>
  <c r="AJ16" s="1"/>
  <c r="V16"/>
  <c r="AH16" s="1"/>
  <c r="T16"/>
  <c r="AF16" s="1"/>
  <c r="R16"/>
  <c r="AD16" s="1"/>
  <c r="P16"/>
  <c r="AB16" s="1"/>
  <c r="N18"/>
  <c r="Z18" s="1"/>
  <c r="P18"/>
  <c r="AB18" s="1"/>
  <c r="R18"/>
  <c r="AD18" s="1"/>
  <c r="T18"/>
  <c r="AF18" s="1"/>
  <c r="V18"/>
  <c r="AH18" s="1"/>
  <c r="X18"/>
  <c r="AJ18" s="1"/>
  <c r="O18"/>
  <c r="AA18" s="1"/>
  <c r="S18"/>
  <c r="AE18" s="1"/>
  <c r="W18"/>
  <c r="AI18" s="1"/>
  <c r="Q18"/>
  <c r="AC18" s="1"/>
  <c r="U18"/>
  <c r="AG18" s="1"/>
  <c r="Y18"/>
  <c r="AK18" s="1"/>
  <c r="O20"/>
  <c r="AA20" s="1"/>
  <c r="N20"/>
  <c r="Z20" s="1"/>
  <c r="P20"/>
  <c r="AB20" s="1"/>
  <c r="R20"/>
  <c r="AD20" s="1"/>
  <c r="T20"/>
  <c r="AF20" s="1"/>
  <c r="V20"/>
  <c r="AH20" s="1"/>
  <c r="X20"/>
  <c r="AJ20" s="1"/>
  <c r="S20"/>
  <c r="AE20" s="1"/>
  <c r="W20"/>
  <c r="AI20" s="1"/>
  <c r="Q20"/>
  <c r="AC20" s="1"/>
  <c r="U20"/>
  <c r="AG20" s="1"/>
  <c r="Y20"/>
  <c r="AK20" s="1"/>
  <c r="O22"/>
  <c r="AA22" s="1"/>
  <c r="Q22"/>
  <c r="AC22" s="1"/>
  <c r="S22"/>
  <c r="AE22" s="1"/>
  <c r="U22"/>
  <c r="AG22" s="1"/>
  <c r="W22"/>
  <c r="AI22" s="1"/>
  <c r="Y22"/>
  <c r="AK22" s="1"/>
  <c r="N22"/>
  <c r="Z22" s="1"/>
  <c r="P22"/>
  <c r="AB22" s="1"/>
  <c r="R22"/>
  <c r="AD22" s="1"/>
  <c r="T22"/>
  <c r="AF22" s="1"/>
  <c r="V22"/>
  <c r="AH22" s="1"/>
  <c r="X22"/>
  <c r="AJ22" s="1"/>
  <c r="W24"/>
  <c r="AI24" s="1"/>
  <c r="Y24"/>
  <c r="AK24" s="1"/>
  <c r="O24"/>
  <c r="AA24" s="1"/>
  <c r="Q24"/>
  <c r="AC24" s="1"/>
  <c r="S24"/>
  <c r="AE24" s="1"/>
  <c r="U24"/>
  <c r="AG24" s="1"/>
  <c r="X24"/>
  <c r="AJ24" s="1"/>
  <c r="V24"/>
  <c r="AH24" s="1"/>
  <c r="N24"/>
  <c r="Z24" s="1"/>
  <c r="P24"/>
  <c r="AB24" s="1"/>
  <c r="R24"/>
  <c r="AD24" s="1"/>
  <c r="T24"/>
  <c r="AF24" s="1"/>
  <c r="AJ53" i="8"/>
  <c r="AL13" i="11"/>
  <c r="AL16"/>
  <c r="AL19"/>
  <c r="AL22"/>
  <c r="AL24"/>
  <c r="AL26"/>
  <c r="AL28"/>
  <c r="AJ20" i="8"/>
  <c r="AJ43"/>
  <c r="AL11" i="11"/>
  <c r="AL9"/>
  <c r="AL7"/>
  <c r="AL5"/>
  <c r="Q11" i="10"/>
  <c r="AC11" s="1"/>
  <c r="S11"/>
  <c r="AE11" s="1"/>
  <c r="U11"/>
  <c r="AG11" s="1"/>
  <c r="Y11"/>
  <c r="AK11" s="1"/>
  <c r="N19"/>
  <c r="Z19" s="1"/>
  <c r="P19"/>
  <c r="AB19" s="1"/>
  <c r="R19"/>
  <c r="AD19" s="1"/>
  <c r="T19"/>
  <c r="AF19" s="1"/>
  <c r="V19"/>
  <c r="AH19" s="1"/>
  <c r="X19"/>
  <c r="AJ19" s="1"/>
  <c r="O19"/>
  <c r="AA19" s="1"/>
  <c r="Q19"/>
  <c r="AC19" s="1"/>
  <c r="S19"/>
  <c r="AE19" s="1"/>
  <c r="U19"/>
  <c r="AG19" s="1"/>
  <c r="W19"/>
  <c r="AI19" s="1"/>
  <c r="Y19"/>
  <c r="AK19" s="1"/>
  <c r="AJ47" i="8"/>
  <c r="AJ51"/>
  <c r="AL3" i="11"/>
  <c r="AL17"/>
  <c r="AL20"/>
  <c r="AL23"/>
  <c r="AL25"/>
  <c r="AL27"/>
  <c r="AL29"/>
  <c r="S7" i="10" l="1"/>
  <c r="AE7" s="1"/>
  <c r="S9"/>
  <c r="Y7"/>
  <c r="AK7" s="1"/>
  <c r="Y9"/>
  <c r="Q7"/>
  <c r="AC7" s="1"/>
  <c r="Q9"/>
  <c r="BB20"/>
  <c r="W5"/>
  <c r="AI5" s="1"/>
  <c r="W4"/>
  <c r="AI4" s="1"/>
  <c r="W6"/>
  <c r="AI6" s="1"/>
  <c r="W3"/>
  <c r="AI3" s="1"/>
  <c r="AS20"/>
  <c r="N5"/>
  <c r="Z5" s="1"/>
  <c r="BE19"/>
  <c r="BE20" s="1"/>
  <c r="N4"/>
  <c r="Z4" s="1"/>
  <c r="N6"/>
  <c r="Z6" s="1"/>
  <c r="N3"/>
  <c r="Z3" s="1"/>
  <c r="BA20"/>
  <c r="V5"/>
  <c r="AH5" s="1"/>
  <c r="V4"/>
  <c r="AH4" s="1"/>
  <c r="V6"/>
  <c r="AH6" s="1"/>
  <c r="V3"/>
  <c r="AH3" s="1"/>
  <c r="AW20"/>
  <c r="R5"/>
  <c r="AD5" s="1"/>
  <c r="R4"/>
  <c r="AD4" s="1"/>
  <c r="R6"/>
  <c r="AD6" s="1"/>
  <c r="R3"/>
  <c r="AD3" s="1"/>
  <c r="AH18" i="8"/>
  <c r="AE29"/>
  <c r="AE34"/>
  <c r="AI16"/>
  <c r="Y21"/>
  <c r="AD28"/>
  <c r="AH33"/>
  <c r="Z33"/>
  <c r="AG21" i="11"/>
  <c r="AJ18"/>
  <c r="AB18"/>
  <c r="AD14"/>
  <c r="AI18" i="8"/>
  <c r="AE18"/>
  <c r="AA18"/>
  <c r="AH29"/>
  <c r="AD29"/>
  <c r="Z29"/>
  <c r="AH34"/>
  <c r="AD34"/>
  <c r="Z34"/>
  <c r="AH16"/>
  <c r="AD16"/>
  <c r="Z16"/>
  <c r="AI21"/>
  <c r="AA21"/>
  <c r="AD21"/>
  <c r="AE28"/>
  <c r="AI33"/>
  <c r="AE33"/>
  <c r="AJ21" i="11"/>
  <c r="AB21"/>
  <c r="AK14"/>
  <c r="AC14"/>
  <c r="G45" i="6"/>
  <c r="K45" s="1"/>
  <c r="Z18" i="8"/>
  <c r="AI34"/>
  <c r="AA34"/>
  <c r="AA16"/>
  <c r="AH28"/>
  <c r="Z28"/>
  <c r="AD33"/>
  <c r="AK21" i="11"/>
  <c r="AC21"/>
  <c r="AF18"/>
  <c r="AH14"/>
  <c r="AG18" i="8"/>
  <c r="AC18"/>
  <c r="Y18"/>
  <c r="AF29"/>
  <c r="AB29"/>
  <c r="X29"/>
  <c r="AF34"/>
  <c r="AB34"/>
  <c r="X34"/>
  <c r="AF16"/>
  <c r="AB16"/>
  <c r="X16"/>
  <c r="AE21"/>
  <c r="AH21"/>
  <c r="Z21"/>
  <c r="AG28"/>
  <c r="AC28"/>
  <c r="Y28"/>
  <c r="AG33"/>
  <c r="AC33"/>
  <c r="Y33"/>
  <c r="AH21" i="11"/>
  <c r="AD21"/>
  <c r="Z21"/>
  <c r="AE9" i="10"/>
  <c r="AI14" i="11"/>
  <c r="AE14"/>
  <c r="AA14"/>
  <c r="O19" i="6"/>
  <c r="O29" s="1"/>
  <c r="G47" s="1"/>
  <c r="AI28" i="8"/>
  <c r="AA28"/>
  <c r="AA33"/>
  <c r="AF21" i="11"/>
  <c r="AK9" i="10"/>
  <c r="AC9"/>
  <c r="AG14" i="11"/>
  <c r="B17" i="6"/>
  <c r="AD18" i="8"/>
  <c r="AA29"/>
  <c r="AC34"/>
  <c r="AE16"/>
  <c r="AB21"/>
  <c r="AB28"/>
  <c r="AF33"/>
  <c r="X33"/>
  <c r="AE21" i="11"/>
  <c r="AH18"/>
  <c r="Z18"/>
  <c r="AJ14"/>
  <c r="AB14"/>
  <c r="X21" i="8"/>
  <c r="AC21"/>
  <c r="AC16"/>
  <c r="Y29"/>
  <c r="AG29"/>
  <c r="AB18"/>
  <c r="Z14" i="11"/>
  <c r="AI29" i="8"/>
  <c r="AG34"/>
  <c r="Y34"/>
  <c r="AG21"/>
  <c r="AF28"/>
  <c r="X28"/>
  <c r="AJ28" s="1"/>
  <c r="AB33"/>
  <c r="AI21" i="11"/>
  <c r="AA21"/>
  <c r="AD18"/>
  <c r="AF14"/>
  <c r="AF21" i="8"/>
  <c r="Y16"/>
  <c r="AG16"/>
  <c r="AC29"/>
  <c r="X18"/>
  <c r="AJ18" s="1"/>
  <c r="AF18"/>
  <c r="AJ35"/>
  <c r="AJ27"/>
  <c r="AJ8"/>
  <c r="BE21" i="10"/>
  <c r="AJ12" i="8"/>
  <c r="AT20" i="10"/>
  <c r="O5"/>
  <c r="AA5" s="1"/>
  <c r="O4"/>
  <c r="AA4" s="1"/>
  <c r="O6"/>
  <c r="AA6" s="1"/>
  <c r="O3"/>
  <c r="AA3" s="1"/>
  <c r="BC20"/>
  <c r="X5"/>
  <c r="AJ5" s="1"/>
  <c r="X4"/>
  <c r="AJ4" s="1"/>
  <c r="X6"/>
  <c r="AJ6" s="1"/>
  <c r="X3"/>
  <c r="AJ3" s="1"/>
  <c r="AY20"/>
  <c r="T5"/>
  <c r="AF5" s="1"/>
  <c r="T4"/>
  <c r="AF4" s="1"/>
  <c r="T6"/>
  <c r="AF6" s="1"/>
  <c r="T3"/>
  <c r="AF3" s="1"/>
  <c r="AU20"/>
  <c r="P5"/>
  <c r="AB5" s="1"/>
  <c r="P4"/>
  <c r="AB4" s="1"/>
  <c r="P6"/>
  <c r="AB6" s="1"/>
  <c r="P3"/>
  <c r="AB3" s="1"/>
  <c r="U7"/>
  <c r="AG7" s="1"/>
  <c r="U9"/>
  <c r="AG9" s="1"/>
  <c r="BE23"/>
  <c r="BE22"/>
  <c r="AJ39" i="8"/>
  <c r="AJ23"/>
  <c r="L43" i="6"/>
  <c r="AL20" i="10"/>
  <c r="AL13"/>
  <c r="AL19"/>
  <c r="AL24"/>
  <c r="AL22"/>
  <c r="AL18"/>
  <c r="AL16"/>
  <c r="AL14"/>
  <c r="AL23"/>
  <c r="AL21"/>
  <c r="AL17"/>
  <c r="AL15"/>
  <c r="P7" l="1"/>
  <c r="AB7" s="1"/>
  <c r="P9"/>
  <c r="AB9" s="1"/>
  <c r="P8"/>
  <c r="AB8" s="1"/>
  <c r="P10"/>
  <c r="AB10" s="1"/>
  <c r="P12"/>
  <c r="AB12" s="1"/>
  <c r="P11"/>
  <c r="AB11" s="1"/>
  <c r="X7"/>
  <c r="AJ7" s="1"/>
  <c r="X9"/>
  <c r="AJ9" s="1"/>
  <c r="X8"/>
  <c r="AJ8" s="1"/>
  <c r="X10"/>
  <c r="AJ10" s="1"/>
  <c r="X12"/>
  <c r="AJ12" s="1"/>
  <c r="X11"/>
  <c r="AJ11" s="1"/>
  <c r="R7"/>
  <c r="AD7" s="1"/>
  <c r="R9"/>
  <c r="AD9" s="1"/>
  <c r="R11"/>
  <c r="AD11" s="1"/>
  <c r="R8"/>
  <c r="AD8" s="1"/>
  <c r="R10"/>
  <c r="AD10" s="1"/>
  <c r="R12"/>
  <c r="AD12" s="1"/>
  <c r="W7"/>
  <c r="AI7" s="1"/>
  <c r="W9"/>
  <c r="AI9" s="1"/>
  <c r="W8"/>
  <c r="AI8" s="1"/>
  <c r="W12"/>
  <c r="AI12" s="1"/>
  <c r="W11"/>
  <c r="AI11" s="1"/>
  <c r="W10"/>
  <c r="AI10" s="1"/>
  <c r="AL14" i="11"/>
  <c r="AJ21" i="8"/>
  <c r="AL18" i="11"/>
  <c r="AL21"/>
  <c r="AJ16" i="8"/>
  <c r="AJ29"/>
  <c r="AL3" i="10"/>
  <c r="AL4"/>
  <c r="AL5"/>
  <c r="T7"/>
  <c r="AF7" s="1"/>
  <c r="T9"/>
  <c r="AF9" s="1"/>
  <c r="T8"/>
  <c r="AF8" s="1"/>
  <c r="T10"/>
  <c r="AF10" s="1"/>
  <c r="T11"/>
  <c r="AF11" s="1"/>
  <c r="T12"/>
  <c r="AF12" s="1"/>
  <c r="O9"/>
  <c r="AA9" s="1"/>
  <c r="O7"/>
  <c r="AA7" s="1"/>
  <c r="O8"/>
  <c r="AA8" s="1"/>
  <c r="O12"/>
  <c r="AA12" s="1"/>
  <c r="O11"/>
  <c r="AA11" s="1"/>
  <c r="O10"/>
  <c r="AA10" s="1"/>
  <c r="V7"/>
  <c r="AH7" s="1"/>
  <c r="V9"/>
  <c r="AH9" s="1"/>
  <c r="V12"/>
  <c r="AH12" s="1"/>
  <c r="V11"/>
  <c r="AH11" s="1"/>
  <c r="V8"/>
  <c r="AH8" s="1"/>
  <c r="V10"/>
  <c r="AH10" s="1"/>
  <c r="N9"/>
  <c r="Z9" s="1"/>
  <c r="AL9" s="1"/>
  <c r="N7"/>
  <c r="Z7" s="1"/>
  <c r="N11"/>
  <c r="Z11" s="1"/>
  <c r="AL11" s="1"/>
  <c r="N8"/>
  <c r="Z8" s="1"/>
  <c r="N10"/>
  <c r="Z10" s="1"/>
  <c r="AL10" s="1"/>
  <c r="N12"/>
  <c r="Z12" s="1"/>
  <c r="AJ33" i="8"/>
  <c r="AJ34"/>
  <c r="AL6" i="10"/>
  <c r="AL12" l="1"/>
  <c r="AL8"/>
  <c r="AL7"/>
  <c r="AL25" s="1"/>
  <c r="J54" i="6" s="1"/>
  <c r="K54" s="1"/>
  <c r="AJ54" i="8"/>
  <c r="J53" i="6" s="1"/>
  <c r="AL30" i="11"/>
  <c r="J55" i="6" s="1"/>
  <c r="K55" s="1"/>
  <c r="K53" l="1"/>
  <c r="J56"/>
  <c r="K56" s="1"/>
  <c r="F77" l="1"/>
  <c r="F76"/>
  <c r="E75"/>
  <c r="E74"/>
  <c r="E73"/>
  <c r="E77"/>
  <c r="E76"/>
  <c r="L74"/>
  <c r="L73"/>
  <c r="G75"/>
  <c r="Q36" s="1"/>
  <c r="H77"/>
  <c r="H76"/>
  <c r="H75"/>
  <c r="G74"/>
  <c r="G73"/>
  <c r="G77"/>
  <c r="G76"/>
  <c r="F75"/>
  <c r="F74"/>
  <c r="F73"/>
  <c r="J77"/>
  <c r="J76"/>
  <c r="J75"/>
  <c r="I74"/>
  <c r="I73"/>
  <c r="I77"/>
  <c r="I76"/>
  <c r="I75"/>
  <c r="H74"/>
  <c r="H73"/>
  <c r="L77"/>
  <c r="L76"/>
  <c r="L75"/>
  <c r="K74"/>
  <c r="K73"/>
  <c r="K77"/>
  <c r="K76"/>
  <c r="K75"/>
  <c r="J74"/>
  <c r="J73"/>
</calcChain>
</file>

<file path=xl/sharedStrings.xml><?xml version="1.0" encoding="utf-8"?>
<sst xmlns="http://schemas.openxmlformats.org/spreadsheetml/2006/main" count="554" uniqueCount="272">
  <si>
    <t>statarea</t>
  </si>
  <si>
    <t>Area</t>
  </si>
  <si>
    <t>A17ALT2</t>
  </si>
  <si>
    <t>Closed Months</t>
  </si>
  <si>
    <t>Feb</t>
  </si>
  <si>
    <t>Mar</t>
  </si>
  <si>
    <t>Apr</t>
  </si>
  <si>
    <t>May</t>
  </si>
  <si>
    <t>Jun</t>
  </si>
  <si>
    <t>Jul</t>
  </si>
  <si>
    <t>Aug</t>
  </si>
  <si>
    <t>Sep</t>
  </si>
  <si>
    <t>Oct</t>
  </si>
  <si>
    <t>Nov</t>
  </si>
  <si>
    <t>Dec</t>
  </si>
  <si>
    <t>Closure</t>
  </si>
  <si>
    <t>SC</t>
  </si>
  <si>
    <t>REGULATIONS</t>
  </si>
  <si>
    <t>Cell</t>
  </si>
  <si>
    <t>partially</t>
  </si>
  <si>
    <t>partlist</t>
  </si>
  <si>
    <t>A13C &amp; A16</t>
  </si>
  <si>
    <t>Amendments 13C and 16 have effect for:</t>
  </si>
  <si>
    <t>X</t>
  </si>
  <si>
    <t>Grand Total</t>
  </si>
  <si>
    <t>%Status Quo</t>
  </si>
  <si>
    <t>LANDINGS</t>
  </si>
  <si>
    <t>baseline</t>
  </si>
  <si>
    <t>DISCARDS</t>
  </si>
  <si>
    <t>SOUTH ATLANTIC RED SNAPPER REMOVALS UNDER AMENDMENT 17A</t>
  </si>
  <si>
    <t>NOTE: Baseline assumes A13C and A16 have no effect</t>
  </si>
  <si>
    <t>NOTE: A17ALT2 assumes A13C and A16 have effect</t>
  </si>
  <si>
    <t>NOTE: Unlike original Waters model runs, now assumption is that discard mortality is ZERO in closed cells</t>
  </si>
  <si>
    <t>MODEL</t>
  </si>
  <si>
    <t>A13C_NO_ACTION</t>
  </si>
  <si>
    <t>Sum of zlbs3764</t>
  </si>
  <si>
    <t>month</t>
  </si>
  <si>
    <t>area</t>
  </si>
  <si>
    <t>ASSUMES 13C AND 16 HAVE NO IMPACT</t>
  </si>
  <si>
    <t>2005-2007 TOTAL LANDINGS</t>
  </si>
  <si>
    <t>2005-2007 PCT LANDINGS BY MONTH</t>
  </si>
  <si>
    <t>JAN</t>
  </si>
  <si>
    <t>FEB</t>
  </si>
  <si>
    <t>MAR</t>
  </si>
  <si>
    <t>APR</t>
  </si>
  <si>
    <t>MAY</t>
  </si>
  <si>
    <t>JUN</t>
  </si>
  <si>
    <t>JUL</t>
  </si>
  <si>
    <t>AUG</t>
  </si>
  <si>
    <t>SEP</t>
  </si>
  <si>
    <t>OCT</t>
  </si>
  <si>
    <t>NOV</t>
  </si>
  <si>
    <t>DEC</t>
  </si>
  <si>
    <t>A17_RedSnap_ALT2</t>
  </si>
  <si>
    <t>Sum of zdiscard3764</t>
  </si>
  <si>
    <t>ASSUMES 13C AND 16 HAVE IMPACT</t>
  </si>
  <si>
    <t>Before Manipulation</t>
  </si>
  <si>
    <t>closed</t>
  </si>
  <si>
    <t>USER-SELECTED SPATIAL CLOSURES</t>
  </si>
  <si>
    <t>Closed Statistical Areas:</t>
  </si>
  <si>
    <t>BASELINE REMOVALS</t>
  </si>
  <si>
    <t>FISHERY</t>
  </si>
  <si>
    <t>L(1000)</t>
  </si>
  <si>
    <t>D(1000)</t>
  </si>
  <si>
    <t>R(1000)</t>
  </si>
  <si>
    <t>Comm</t>
  </si>
  <si>
    <t>Rec</t>
  </si>
  <si>
    <t>HB</t>
  </si>
  <si>
    <t>TOTAL</t>
  </si>
  <si>
    <t>Any Partial Closures:</t>
  </si>
  <si>
    <t>PCTArea</t>
  </si>
  <si>
    <t>PCT Red Snapper Protected</t>
  </si>
  <si>
    <t>PCT Red Snapper Unprotected</t>
  </si>
  <si>
    <t>Removals</t>
  </si>
  <si>
    <t>ClosedCell</t>
  </si>
  <si>
    <t>PctProtected</t>
  </si>
  <si>
    <t>pre-Closure</t>
  </si>
  <si>
    <t>SUM</t>
  </si>
  <si>
    <t>*************pre-Spatial Closure Removals*************</t>
  </si>
  <si>
    <t>*************post-Spatial Closure Removals*************</t>
  </si>
  <si>
    <t>Partially Closed Cells:</t>
  </si>
  <si>
    <t>Type of Closures:</t>
  </si>
  <si>
    <t>PCT REDUCTION</t>
  </si>
  <si>
    <t>AMENDMENT 17A REMOVALS</t>
  </si>
  <si>
    <t>TARGETED REDUCTIONS</t>
  </si>
  <si>
    <t>Recruitment</t>
  </si>
  <si>
    <t>Fmsy proxy</t>
  </si>
  <si>
    <t>F40% proxy</t>
  </si>
  <si>
    <t>F30% proxy</t>
  </si>
  <si>
    <t>Base Estimated</t>
  </si>
  <si>
    <t>High</t>
  </si>
  <si>
    <t>Very High</t>
  </si>
  <si>
    <t>Extremely High</t>
  </si>
  <si>
    <t>Alternative 2 (FMSY)</t>
  </si>
  <si>
    <t>Alternative 3 (85% FMSY)</t>
  </si>
  <si>
    <t>Alternative 4 (75% FMSY)</t>
  </si>
  <si>
    <t>Alternative 5 (65% FMSY)</t>
  </si>
  <si>
    <t>Alternative 6 (Frebuild)</t>
  </si>
  <si>
    <t>Desired reduction achieved under current suite of user-selected parameters?</t>
  </si>
  <si>
    <t>SEFL</t>
  </si>
  <si>
    <t>NEFL</t>
  </si>
  <si>
    <t>GA</t>
  </si>
  <si>
    <t>NC</t>
  </si>
  <si>
    <t>state</t>
  </si>
  <si>
    <t>landings</t>
  </si>
  <si>
    <t>discards</t>
  </si>
  <si>
    <t>BASELINE</t>
  </si>
  <si>
    <t>removals</t>
  </si>
  <si>
    <t>A16dt+A17dt</t>
  </si>
  <si>
    <t>catch</t>
  </si>
  <si>
    <t>A16dt+A17t</t>
  </si>
  <si>
    <t>A17dt</t>
  </si>
  <si>
    <t>A17t</t>
  </si>
  <si>
    <t>WAVE</t>
  </si>
  <si>
    <t>STATE</t>
  </si>
  <si>
    <t>EAST FLORIDA</t>
  </si>
  <si>
    <t>GEORGIA</t>
  </si>
  <si>
    <t>NORTH CAROLINA</t>
  </si>
  <si>
    <t>SOUTH CAROLINA</t>
  </si>
  <si>
    <t>Sum of TOTAL CATCH (TYPE A + B1 + B2)</t>
  </si>
  <si>
    <t>ASSUME 50% OF CATCH FOR EACH MONTH WITHIN WAVE</t>
  </si>
  <si>
    <t>MONTH</t>
  </si>
  <si>
    <t>(CATCH 2005-2008)</t>
  </si>
  <si>
    <t>PERCENT OF LANDINGS BY MONTH, ASSUMES NEFL &amp; SEFL BOTH CAPTURED BY EAST FLORIDA</t>
  </si>
  <si>
    <t>Removals (TP)</t>
  </si>
  <si>
    <t>REMOVALS</t>
  </si>
  <si>
    <t>7. Using the table below, enter the percent closure (0-100%) by month for the closed cells in the Spatial Closures map (top right):</t>
  </si>
  <si>
    <t>Potential input errors:</t>
  </si>
  <si>
    <t>Additional assumptions:</t>
  </si>
  <si>
    <t>KEYS</t>
  </si>
  <si>
    <t>AreaNum</t>
  </si>
  <si>
    <t>Sum of AREA_quad</t>
  </si>
  <si>
    <t>Sum of AREA_bathy</t>
  </si>
  <si>
    <t>Pbathy</t>
  </si>
  <si>
    <t>PERCENT OF LANDINGS BY MONTH, ASSUMES FINE-SCALE TRENDS CAPTURED BY AGGREGATED AREA-LEVEL TRENDS WHEN NO ADDITIONAL INFO AVAILABLE (HIGHLIGHTED)</t>
  </si>
  <si>
    <t>Total Closed Statistical Areas:</t>
  </si>
  <si>
    <t>Sum of Pbathy_qua</t>
  </si>
  <si>
    <t>% PNTCT_Find</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</si>
  <si>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</si>
  <si>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</si>
  <si>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</si>
  <si>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</si>
  <si>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</si>
  <si>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</si>
  <si>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</si>
  <si>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</si>
  <si>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</si>
  <si>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</si>
  <si>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</si>
  <si>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</si>
  <si>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</si>
  <si>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</si>
  <si>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</si>
  <si>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</si>
  <si>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</si>
  <si>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</si>
  <si>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</si>
  <si>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</si>
  <si>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</si>
  <si>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</si>
  <si>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</si>
  <si>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RESIDUAL OUTPUT</t>
  </si>
  <si>
    <t>Observation</t>
  </si>
  <si>
    <t>Residuals</t>
  </si>
  <si>
    <t>Standard Residuals</t>
  </si>
  <si>
    <t>PROBABILITY OUTPUT</t>
  </si>
  <si>
    <t>Percentile</t>
  </si>
  <si>
    <t>Mark each closed cell with an 'X' (navigate using arrow keys rather than mouse - it will work better!):</t>
  </si>
  <si>
    <t>start</t>
  </si>
  <si>
    <t>L(1000) = landings (thousand lbs)</t>
  </si>
  <si>
    <t>D(1000) = discards (thousand lbs)</t>
  </si>
  <si>
    <t>R(1000) = removals (thousand lbs)</t>
  </si>
  <si>
    <r>
      <t xml:space="preserve">Note: Under all scenarios, red snapper fishery is </t>
    </r>
    <r>
      <rPr>
        <b/>
        <u/>
        <sz val="12"/>
        <color indexed="9"/>
        <rFont val="Calibri"/>
        <family val="2"/>
      </rPr>
      <t>CLOSED</t>
    </r>
    <r>
      <rPr>
        <b/>
        <sz val="12"/>
        <color indexed="9"/>
        <rFont val="Calibri"/>
        <family val="2"/>
      </rPr>
      <t>.</t>
    </r>
  </si>
  <si>
    <t>Implementation of Amendment 13C and Amendment 16 may eliminate some trips targeting shallow water grouper and vermilion snapper, potentially reducing bycatch of red snapper (SERO 2009a-e).</t>
  </si>
  <si>
    <t>Release mortality for many species is correlated with depth. Spatial closures from A17A may push the recreational fishery inshore, possibly reducing release mortality of red snapper from the 40% estimated by SEDAR 15 (2009).</t>
  </si>
  <si>
    <t>Release mortality for many species is correlated with depth. Spatial closures from A17A may push the commercial fishery inshore, possibly reducing release mortality of red snapper from the 90% estimated by SEDAR 15 (2009).</t>
  </si>
  <si>
    <t>Additional assumptions in this analysis include: 1) discards occur in same proportion as landings, 2) no effort shifting from closed areas occurs, 3) headboat landings are reasonable spatial proxies for private and charter boat landings, 4) no movement of fish across spatial closure boundaries, 5) no disproportionate redistribution of fishing effort along spatial closure boundaries, 6) historical trends are reasonable proxies for future trends.  It should also be noted that some uncertainty exists in baseline data (especially for discards)</t>
  </si>
  <si>
    <t>Highest Baseline Removals</t>
  </si>
  <si>
    <r>
      <t xml:space="preserve">10. </t>
    </r>
    <r>
      <rPr>
        <b/>
        <sz val="12"/>
        <color indexed="13"/>
        <rFont val="Calibri"/>
        <family val="2"/>
      </rPr>
      <t>3278</t>
    </r>
    <r>
      <rPr>
        <sz val="12"/>
        <color indexed="9"/>
        <rFont val="Calibri"/>
        <family val="2"/>
      </rPr>
      <t xml:space="preserve"> (Shem Creek &amp; Murrel's Inlets)</t>
    </r>
  </si>
  <si>
    <r>
      <t xml:space="preserve">1.  </t>
    </r>
    <r>
      <rPr>
        <b/>
        <sz val="12"/>
        <color indexed="13"/>
        <rFont val="Calibri"/>
        <family val="2"/>
      </rPr>
      <t>2980</t>
    </r>
    <r>
      <rPr>
        <sz val="12"/>
        <color indexed="9"/>
        <rFont val="Calibri"/>
        <family val="2"/>
      </rPr>
      <t xml:space="preserve"> (Ponce &amp; St. Augustine Inlets)</t>
    </r>
  </si>
  <si>
    <r>
      <t xml:space="preserve">2.  </t>
    </r>
    <r>
      <rPr>
        <b/>
        <sz val="12"/>
        <color indexed="13"/>
        <rFont val="Calibri"/>
        <family val="2"/>
      </rPr>
      <t>2880</t>
    </r>
    <r>
      <rPr>
        <sz val="12"/>
        <color indexed="9"/>
        <rFont val="Calibri"/>
        <family val="2"/>
      </rPr>
      <t xml:space="preserve"> (Port Canaveral Inlet)</t>
    </r>
  </si>
  <si>
    <r>
      <t xml:space="preserve">3.  </t>
    </r>
    <r>
      <rPr>
        <b/>
        <sz val="12"/>
        <color indexed="13"/>
        <rFont val="Calibri"/>
        <family val="2"/>
      </rPr>
      <t>3080</t>
    </r>
    <r>
      <rPr>
        <sz val="12"/>
        <color indexed="9"/>
        <rFont val="Calibri"/>
        <family val="2"/>
      </rPr>
      <t xml:space="preserve"> (St. Augustine &amp; St. John's River Inlets)</t>
    </r>
  </si>
  <si>
    <r>
      <t xml:space="preserve">4.  </t>
    </r>
    <r>
      <rPr>
        <b/>
        <sz val="12"/>
        <color indexed="13"/>
        <rFont val="Calibri"/>
        <family val="2"/>
      </rPr>
      <t>3081</t>
    </r>
    <r>
      <rPr>
        <sz val="12"/>
        <color indexed="9"/>
        <rFont val="Calibri"/>
        <family val="2"/>
      </rPr>
      <t xml:space="preserve"> (St. Augustine &amp; St. John's River Inlets)</t>
    </r>
  </si>
  <si>
    <r>
      <t xml:space="preserve">5.  </t>
    </r>
    <r>
      <rPr>
        <b/>
        <sz val="12"/>
        <color indexed="13"/>
        <rFont val="Calibri"/>
        <family val="2"/>
      </rPr>
      <t>3180</t>
    </r>
    <r>
      <rPr>
        <sz val="12"/>
        <color indexed="9"/>
        <rFont val="Calibri"/>
        <family val="2"/>
      </rPr>
      <t xml:space="preserve"> (Lazaretto Creek Inlet)</t>
    </r>
  </si>
  <si>
    <r>
      <t xml:space="preserve">6.  </t>
    </r>
    <r>
      <rPr>
        <b/>
        <sz val="12"/>
        <color indexed="13"/>
        <rFont val="Calibri"/>
        <family val="2"/>
      </rPr>
      <t>2780</t>
    </r>
    <r>
      <rPr>
        <sz val="12"/>
        <color indexed="9"/>
        <rFont val="Calibri"/>
        <family val="2"/>
      </rPr>
      <t xml:space="preserve"> (Port Canaveral Inlet)</t>
    </r>
  </si>
  <si>
    <r>
      <t xml:space="preserve">7.  </t>
    </r>
    <r>
      <rPr>
        <b/>
        <sz val="12"/>
        <color indexed="13"/>
        <rFont val="Calibri"/>
        <family val="2"/>
      </rPr>
      <t>3279</t>
    </r>
    <r>
      <rPr>
        <sz val="12"/>
        <color indexed="9"/>
        <rFont val="Calibri"/>
        <family val="2"/>
      </rPr>
      <t xml:space="preserve"> (Shem Creek Inlet)</t>
    </r>
  </si>
  <si>
    <r>
      <t xml:space="preserve">8.  </t>
    </r>
    <r>
      <rPr>
        <b/>
        <sz val="12"/>
        <color indexed="13"/>
        <rFont val="Calibri"/>
        <family val="2"/>
      </rPr>
      <t>3179</t>
    </r>
    <r>
      <rPr>
        <sz val="12"/>
        <color indexed="9"/>
        <rFont val="Calibri"/>
        <family val="2"/>
      </rPr>
      <t xml:space="preserve"> (Lazaretto &amp; Shem Creek Inlets)</t>
    </r>
  </si>
  <si>
    <r>
      <t xml:space="preserve">9.  </t>
    </r>
    <r>
      <rPr>
        <b/>
        <sz val="12"/>
        <color indexed="13"/>
        <rFont val="Calibri"/>
        <family val="2"/>
      </rPr>
      <t>3378</t>
    </r>
    <r>
      <rPr>
        <sz val="12"/>
        <color indexed="9"/>
        <rFont val="Calibri"/>
        <family val="2"/>
      </rPr>
      <t xml:space="preserve"> (Murrel's Inlet)</t>
    </r>
  </si>
  <si>
    <t>quad_num</t>
  </si>
  <si>
    <t>2780-B</t>
  </si>
  <si>
    <t>2780-D</t>
  </si>
  <si>
    <t>2880-B</t>
  </si>
  <si>
    <t>2980-A</t>
  </si>
  <si>
    <t>2980-B</t>
  </si>
  <si>
    <t>3080-B</t>
  </si>
  <si>
    <t>3080-D</t>
  </si>
  <si>
    <t>3179-A</t>
  </si>
  <si>
    <t>3179-C</t>
  </si>
  <si>
    <t>3180-B</t>
  </si>
  <si>
    <t>3180-D</t>
  </si>
  <si>
    <t>3278-A</t>
  </si>
  <si>
    <t>3278-B</t>
  </si>
  <si>
    <t>3278-C</t>
  </si>
  <si>
    <t>3279-B</t>
  </si>
  <si>
    <t>3279-C</t>
  </si>
  <si>
    <t>3279-D</t>
  </si>
  <si>
    <t>3377-A</t>
  </si>
  <si>
    <t>3377-B</t>
  </si>
  <si>
    <t>3377-C</t>
  </si>
  <si>
    <t>3378-D</t>
  </si>
  <si>
    <t>3476-C</t>
  </si>
  <si>
    <r>
      <t xml:space="preserve">Reduction in total removals (landings plus dead discards) needed to end overfishing.  Non-shaded areas determined by comparing landing in 2009 with allowable removals in 2010.  </t>
    </r>
    <r>
      <rPr>
        <b/>
        <sz val="12"/>
        <color indexed="23"/>
        <rFont val="Calibri"/>
        <family val="2"/>
      </rPr>
      <t>Shaded areas are estimated by interpolation.</t>
    </r>
  </si>
  <si>
    <r>
      <t xml:space="preserve">Reduction in total removals (landings plus dead discards) needed to end overfishing.  Non-shaded areas determined by comparing actual landings from 2005-2007 with allowable removals in 2010.  </t>
    </r>
    <r>
      <rPr>
        <b/>
        <sz val="12"/>
        <color indexed="23"/>
        <rFont val="Calibri"/>
        <family val="2"/>
      </rPr>
      <t>Shaded areas are estimated by interpolation.</t>
    </r>
  </si>
  <si>
    <r>
      <t xml:space="preserve">Total removals (landings plus dead discards; thousand lbs) needed to end overfishing.  Non-shaded areas based on SEFSC projections.  </t>
    </r>
    <r>
      <rPr>
        <b/>
        <sz val="12"/>
        <color indexed="23"/>
        <rFont val="Calibri"/>
        <family val="2"/>
      </rPr>
      <t>Shaded areas are estimated by interpolation.</t>
    </r>
  </si>
  <si>
    <t>1. Select fisheries for which Amendments 13C and 16 have effect (mark with 'X') -------------&gt;</t>
  </si>
  <si>
    <t>2. Mark with 'X' if Amendment 17A impacts recreational targeted and directed effort ------&gt;</t>
  </si>
  <si>
    <t>3. Choose post-A17A private/charter/HB release mortality (0-100%) ------------------------------&gt;</t>
  </si>
  <si>
    <t>4. Choose post-A17A commercial release mortality (0-100%) -----------------------------------------&gt;</t>
  </si>
  <si>
    <r>
      <t xml:space="preserve">5. Select closures on </t>
    </r>
    <r>
      <rPr>
        <b/>
        <i/>
        <sz val="18"/>
        <color indexed="9"/>
        <rFont val="Calibri"/>
        <family val="2"/>
      </rPr>
      <t>'USER-SELECTED SPATIAL CLOSURES MAP'</t>
    </r>
    <r>
      <rPr>
        <b/>
        <sz val="14"/>
        <color indexed="13"/>
        <rFont val="Calibri"/>
        <family val="2"/>
      </rPr>
      <t xml:space="preserve"> ---------------------------------------------------------------------&gt;</t>
    </r>
  </si>
  <si>
    <t>8. Choose your estimated compliance rate with spatial closure regulations (0-100%) --------&gt;</t>
  </si>
  <si>
    <t>Leaving this box blank presumes Amendment 17A will eliminate trips targeting red snapper.  Marking the box with an 'X' will eliminate both trips targeting red snapper as well as directed trips primarily landing red snapper (SERO 2009a-e).</t>
  </si>
  <si>
    <t>Subgrid</t>
  </si>
  <si>
    <t>PctArea</t>
  </si>
  <si>
    <t>PctRS</t>
  </si>
  <si>
    <t>Predicted PctRS</t>
  </si>
  <si>
    <t>SUMMARY OUTPUT: REGRESSION MODEL OF MARMAP RED SNAPPER DATA</t>
  </si>
  <si>
    <t>AREA</t>
  </si>
  <si>
    <t>PCTCLOSED</t>
  </si>
  <si>
    <t>L(IN)</t>
  </si>
  <si>
    <t>L(OUT)</t>
  </si>
  <si>
    <t>PCT L(IN)</t>
  </si>
  <si>
    <t>predicted</t>
  </si>
  <si>
    <t>actual</t>
  </si>
  <si>
    <t>model uses</t>
  </si>
  <si>
    <t>Homogeneous</t>
  </si>
  <si>
    <t>MARMAP</t>
  </si>
  <si>
    <t>Logbook</t>
  </si>
  <si>
    <t>L</t>
  </si>
  <si>
    <t>NOTE: Council's preferred alternative (Sept 2009) is indicated in red.</t>
  </si>
  <si>
    <t>SNEAK PEEK: Did you achieve your targeted reduction?</t>
  </si>
  <si>
    <t>6b. Assume heterogenous distribution of stock? (mark with 'M' for MARMAP or 'L' for Logbook) --&gt;</t>
  </si>
  <si>
    <t>7b. Enter a scalar for effort intensification in partial openings (Enter a number &gt;= 1) ---------&gt;</t>
  </si>
  <si>
    <t>Opening small areas during limited time periods may lead to an intensification of effort relative to historical levels.  Entering '1' in the cell indicates you believe effort during these openings will be constant relative to historical levels; entering '2' indicates you believe effort will double relative to historical levels, and so on...</t>
  </si>
  <si>
    <t>.</t>
  </si>
  <si>
    <t>66 - 240 ft</t>
  </si>
  <si>
    <t>98 - 240 ft</t>
  </si>
  <si>
    <t>66 - 300 ft</t>
  </si>
  <si>
    <t>6a. Bathymetric closure rather than a complete closure? (Mark appropriate box with 'X') ---------&gt;</t>
  </si>
  <si>
    <t>If you select this option, the cells you have closed will only be closed between the specified bathymetries, and reductions will be computed based on this closed area (see 'Bathymetric Closures' tab).</t>
  </si>
  <si>
    <t>pCl</t>
  </si>
  <si>
    <t>pPr</t>
  </si>
  <si>
    <t>Reg</t>
  </si>
  <si>
    <t>Model</t>
  </si>
  <si>
    <t>NICK FARMER, NOAA FISHERIES, SOUTHEAST REGIONAL OFFICE © 2009</t>
  </si>
  <si>
    <t>Using MARMAP (1978-2008) &amp; Logbook (2005-2008) data, percent red snapper and percent of area inside and outside the 98-240 ft bathymetric contour were evaluated. The resultant regression models may be used to express the spatially-heterogeneous distribution of red snapper.  Note for closures 66-240 and 66-300 ft, default assumption is Logbook and other options are not currently available.</t>
  </si>
  <si>
    <t>Percent of area within grid cell that falls between bathymetric closure depths</t>
  </si>
  <si>
    <t>Number of cells closed</t>
  </si>
  <si>
    <t>Cells closed</t>
  </si>
  <si>
    <t>Full Closure</t>
  </si>
  <si>
    <t>98-240 ft</t>
  </si>
  <si>
    <t>66-240 ft</t>
  </si>
  <si>
    <t>66-300 ft</t>
  </si>
  <si>
    <t>Table 1. Predicted reductions in red snapper harvest given closures of specified cells within specified bathymetries.</t>
  </si>
  <si>
    <t>2880, 2980, 3080, 3180, 3179, 3279, 3278</t>
  </si>
  <si>
    <t>2880, 2980, 3080, 3180, 3179, 3279</t>
  </si>
  <si>
    <t>2880, 2980, 3080, 3180, 3279</t>
  </si>
  <si>
    <t>2880, 2980, 3080, 3180</t>
  </si>
  <si>
    <t>2880, 2980, 3080</t>
  </si>
  <si>
    <t>2880, 2980</t>
  </si>
  <si>
    <t>n/a</t>
  </si>
  <si>
    <t>Enter your targeted reduction =</t>
  </si>
  <si>
    <t>x</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</si>
</sst>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0.0"/>
    <numFmt numFmtId="167" formatCode="_(* #,##0_);_(* \(#,##0\);_(* &quot;-&quot;??_);_(@_)"/>
  </numFmts>
  <fonts count="65">
    <font>
      <sz val="10"/>
      <name val="Arial"/>
    </font>
    <font>
      <sz val="10"/>
      <name val="Arial"/>
      <family val="2"/>
    </font>
    <font>
      <sz val="8"/>
      <name val="Arial"/>
      <family val="2"/>
    </font>
    <font>
      <b/>
      <sz val="10"/>
      <name val="Arial"/>
      <family val="2"/>
    </font>
    <font>
      <sz val="10"/>
      <color indexed="9"/>
      <name val="Arial"/>
      <family val="2"/>
    </font>
    <font>
      <b/>
      <sz val="10"/>
      <color indexed="9"/>
      <name val="Arial"/>
      <family val="2"/>
    </font>
    <font>
      <b/>
      <sz val="14"/>
      <name val="Calibri"/>
      <family val="2"/>
    </font>
    <font>
      <sz val="12"/>
      <name val="Calibri"/>
      <family val="2"/>
    </font>
    <font>
      <b/>
      <sz val="12"/>
      <name val="Calibri"/>
      <family val="2"/>
    </font>
    <font>
      <sz val="12"/>
      <color indexed="9"/>
      <name val="Calibri"/>
      <family val="2"/>
    </font>
    <font>
      <b/>
      <sz val="12"/>
      <color indexed="9"/>
      <name val="Calibri"/>
      <family val="2"/>
    </font>
    <font>
      <sz val="12"/>
      <name val="Arial"/>
      <family val="2"/>
    </font>
    <font>
      <b/>
      <sz val="12"/>
      <color indexed="10"/>
      <name val="Calibri"/>
      <family val="2"/>
    </font>
    <font>
      <sz val="12"/>
      <color indexed="9"/>
      <name val="Arial"/>
      <family val="2"/>
    </font>
    <font>
      <sz val="12"/>
      <color indexed="40"/>
      <name val="Calibri"/>
      <family val="2"/>
    </font>
    <font>
      <sz val="8"/>
      <color indexed="40"/>
      <name val="Calibri"/>
      <family val="2"/>
    </font>
    <font>
      <sz val="12"/>
      <color indexed="48"/>
      <name val="Calibri"/>
      <family val="2"/>
    </font>
    <font>
      <sz val="12"/>
      <color indexed="8"/>
      <name val="Calibri"/>
      <family val="2"/>
    </font>
    <font>
      <b/>
      <sz val="12"/>
      <color indexed="16"/>
      <name val="Calibri"/>
      <family val="2"/>
    </font>
    <font>
      <b/>
      <sz val="14"/>
      <color indexed="9"/>
      <name val="Calibri"/>
      <family val="2"/>
    </font>
    <font>
      <b/>
      <sz val="10"/>
      <color indexed="9"/>
      <name val="Arial"/>
      <family val="2"/>
    </font>
    <font>
      <b/>
      <sz val="10"/>
      <name val="Arial"/>
      <family val="2"/>
    </font>
    <font>
      <sz val="12"/>
      <color indexed="16"/>
      <name val="Calibri"/>
      <family val="2"/>
    </font>
    <font>
      <b/>
      <i/>
      <sz val="12"/>
      <color indexed="9"/>
      <name val="Calibri"/>
      <family val="2"/>
    </font>
    <font>
      <b/>
      <i/>
      <u/>
      <sz val="12"/>
      <color indexed="9"/>
      <name val="Calibri"/>
      <family val="2"/>
    </font>
    <font>
      <b/>
      <sz val="12"/>
      <color indexed="13"/>
      <name val="Calibri"/>
      <family val="2"/>
    </font>
    <font>
      <b/>
      <i/>
      <sz val="10"/>
      <color indexed="13"/>
      <name val="Calibri"/>
      <family val="2"/>
    </font>
    <font>
      <sz val="12"/>
      <color indexed="13"/>
      <name val="Calibri"/>
      <family val="2"/>
    </font>
    <font>
      <b/>
      <sz val="12"/>
      <color indexed="23"/>
      <name val="Calibri"/>
      <family val="2"/>
    </font>
    <font>
      <sz val="10"/>
      <color indexed="16"/>
      <name val="Arial"/>
      <family val="2"/>
    </font>
    <font>
      <b/>
      <sz val="14"/>
      <color indexed="13"/>
      <name val="Calibri"/>
      <family val="2"/>
    </font>
    <font>
      <b/>
      <u/>
      <sz val="18"/>
      <color indexed="13"/>
      <name val="Calibri"/>
      <family val="2"/>
    </font>
    <font>
      <u/>
      <sz val="18"/>
      <color indexed="13"/>
      <name val="Arial"/>
      <family val="2"/>
    </font>
    <font>
      <sz val="10"/>
      <name val="MS Sans Serif"/>
      <family val="2"/>
    </font>
    <font>
      <b/>
      <sz val="10"/>
      <name val="MS Sans Serif"/>
      <family val="2"/>
    </font>
    <font>
      <b/>
      <sz val="12"/>
      <color indexed="54"/>
      <name val="Calibri"/>
      <family val="2"/>
    </font>
    <font>
      <b/>
      <sz val="10"/>
      <color indexed="9"/>
      <name val="Calibri"/>
      <family val="2"/>
    </font>
    <font>
      <i/>
      <sz val="12"/>
      <color indexed="9"/>
      <name val="Arial"/>
      <family val="2"/>
    </font>
    <font>
      <b/>
      <sz val="8"/>
      <color indexed="9"/>
      <name val="Calibri"/>
      <family val="2"/>
    </font>
    <font>
      <b/>
      <sz val="11"/>
      <color indexed="9"/>
      <name val="Calibri"/>
      <family val="2"/>
    </font>
    <font>
      <sz val="11"/>
      <color indexed="9"/>
      <name val="Arial"/>
      <family val="2"/>
    </font>
    <font>
      <b/>
      <u/>
      <sz val="12"/>
      <color indexed="9"/>
      <name val="Calibri"/>
      <family val="2"/>
    </font>
    <font>
      <b/>
      <sz val="8"/>
      <name val="Arial"/>
      <family val="2"/>
    </font>
    <font>
      <sz val="12"/>
      <color indexed="13"/>
      <name val="Arial"/>
      <family val="2"/>
    </font>
    <font>
      <b/>
      <i/>
      <sz val="18"/>
      <color indexed="9"/>
      <name val="Calibri"/>
      <family val="2"/>
    </font>
    <font>
      <b/>
      <i/>
      <sz val="12"/>
      <name val="Calibri"/>
      <family val="2"/>
    </font>
    <font>
      <b/>
      <sz val="16"/>
      <name val="Calibri"/>
      <family val="2"/>
    </font>
    <font>
      <sz val="8"/>
      <color indexed="9"/>
      <name val="Calibri"/>
      <family val="2"/>
    </font>
    <font>
      <sz val="14"/>
      <color indexed="9"/>
      <name val="Arial"/>
      <family val="2"/>
    </font>
    <font>
      <sz val="14"/>
      <name val="Arial"/>
      <family val="2"/>
    </font>
    <font>
      <sz val="10"/>
      <name val="Arial"/>
      <family val="2"/>
    </font>
    <font>
      <b/>
      <u/>
      <sz val="12"/>
      <color indexed="13"/>
      <name val="Calibri"/>
      <family val="2"/>
    </font>
    <font>
      <b/>
      <sz val="9"/>
      <color indexed="9"/>
      <name val="Calibri"/>
      <family val="2"/>
    </font>
    <font>
      <sz val="9"/>
      <color indexed="9"/>
      <name val="Arial"/>
      <family val="2"/>
    </font>
    <font>
      <i/>
      <sz val="12"/>
      <name val="Calibri"/>
      <family val="2"/>
    </font>
    <font>
      <b/>
      <i/>
      <sz val="12"/>
      <color indexed="13"/>
      <name val="Calibri"/>
      <family val="2"/>
    </font>
    <font>
      <i/>
      <sz val="12"/>
      <color indexed="9"/>
      <name val="Calibri"/>
      <family val="2"/>
    </font>
    <font>
      <b/>
      <sz val="12"/>
      <color indexed="8"/>
      <name val="Calibri"/>
      <family val="2"/>
    </font>
    <font>
      <b/>
      <sz val="11.5"/>
      <color indexed="9"/>
      <name val="Calibri"/>
      <family val="2"/>
    </font>
    <font>
      <b/>
      <u/>
      <sz val="12"/>
      <color indexed="16"/>
      <name val="Calibri"/>
      <family val="2"/>
    </font>
    <font>
      <b/>
      <sz val="14"/>
      <color indexed="16"/>
      <name val="Calibri"/>
      <family val="2"/>
    </font>
    <font>
      <b/>
      <i/>
      <sz val="12"/>
      <color indexed="42"/>
      <name val="Calibri"/>
      <family val="2"/>
    </font>
    <font>
      <sz val="12"/>
      <color indexed="42"/>
      <name val="Arial"/>
      <family val="2"/>
    </font>
    <font>
      <b/>
      <sz val="10"/>
      <color indexed="8"/>
      <name val="Arial"/>
      <family val="2"/>
    </font>
    <font>
      <b/>
      <i/>
      <sz val="10"/>
      <color indexed="9"/>
      <name val="Arial"/>
      <family val="2"/>
    </font>
  </fonts>
  <fills count="18">
    <fill>
      <patternFill patternType="none"/>
    </fill>
    <fill>
      <patternFill patternType="gray125"/>
    </fill>
    <fill>
      <patternFill patternType="solid">
        <fgColor indexed="8"/>
        <bgColor indexed="64"/>
      </patternFill>
    </fill>
    <fill>
      <patternFill patternType="solid">
        <fgColor indexed="40"/>
        <bgColor indexed="64"/>
      </patternFill>
    </fill>
    <fill>
      <patternFill patternType="solid">
        <fgColor indexed="48"/>
        <bgColor indexed="64"/>
      </patternFill>
    </fill>
    <fill>
      <patternFill patternType="solid">
        <fgColor indexed="6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indexed="43"/>
        <bgColor indexed="64"/>
      </patternFill>
    </fill>
    <fill>
      <patternFill patternType="solid">
        <fgColor indexed="54"/>
        <bgColor indexed="64"/>
      </patternFill>
    </fill>
    <fill>
      <patternFill patternType="solid">
        <fgColor indexed="9"/>
        <bgColor indexed="64"/>
      </patternFill>
    </fill>
    <fill>
      <patternFill patternType="solid">
        <fgColor indexed="12"/>
        <bgColor indexed="64"/>
      </patternFill>
    </fill>
    <fill>
      <patternFill patternType="solid">
        <fgColor indexed="22"/>
        <bgColor indexed="64"/>
      </patternFill>
    </fill>
    <fill>
      <patternFill patternType="solid">
        <fgColor indexed="16"/>
        <bgColor indexed="64"/>
      </patternFill>
    </fill>
    <fill>
      <patternFill patternType="solid">
        <fgColor indexed="17"/>
        <bgColor indexed="64"/>
      </patternFill>
    </fill>
  </fills>
  <borders count="10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ck">
        <color indexed="64"/>
      </top>
      <bottom style="thick">
        <color indexed="64"/>
      </bottom>
      <diagonal/>
    </border>
    <border>
      <left/>
      <right/>
      <top style="thick">
        <color indexed="64"/>
      </top>
      <bottom/>
      <diagonal/>
    </border>
    <border>
      <left/>
      <right/>
      <top/>
      <bottom style="thick">
        <color indexed="64"/>
      </bottom>
      <diagonal/>
    </border>
    <border>
      <left/>
      <right/>
      <top/>
      <bottom style="double">
        <color indexed="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diagonal/>
    </border>
    <border>
      <left style="double">
        <color indexed="9"/>
      </left>
      <right/>
      <top/>
      <bottom/>
      <diagonal/>
    </border>
    <border>
      <left style="double">
        <color indexed="9"/>
      </left>
      <right/>
      <top/>
      <bottom style="double">
        <color indexed="9"/>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9"/>
      </top>
      <bottom/>
      <diagonal/>
    </border>
    <border>
      <left/>
      <right/>
      <top style="double">
        <color indexed="64"/>
      </top>
      <bottom/>
      <diagonal/>
    </border>
    <border>
      <left style="thick">
        <color indexed="64"/>
      </left>
      <right style="thin">
        <color indexed="64"/>
      </right>
      <top style="thick">
        <color indexed="10"/>
      </top>
      <bottom/>
      <diagonal/>
    </border>
    <border>
      <left style="thin">
        <color indexed="64"/>
      </left>
      <right style="thin">
        <color indexed="64"/>
      </right>
      <top style="thick">
        <color indexed="10"/>
      </top>
      <bottom/>
      <diagonal/>
    </border>
    <border>
      <left style="thin">
        <color indexed="64"/>
      </left>
      <right style="thick">
        <color indexed="10"/>
      </right>
      <top style="thick">
        <color indexed="10"/>
      </top>
      <bottom/>
      <diagonal/>
    </border>
    <border>
      <left style="thick">
        <color indexed="1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10"/>
      </right>
      <top/>
      <bottom style="thin">
        <color indexed="64"/>
      </bottom>
      <diagonal/>
    </border>
    <border>
      <left style="thick">
        <color indexed="10"/>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right style="thick">
        <color indexed="10"/>
      </right>
      <top/>
      <bottom/>
      <diagonal/>
    </border>
    <border>
      <left style="thick">
        <color indexed="10"/>
      </left>
      <right/>
      <top style="thin">
        <color indexed="64"/>
      </top>
      <bottom style="thick">
        <color indexed="10"/>
      </bottom>
      <diagonal/>
    </border>
    <border>
      <left/>
      <right/>
      <top style="thin">
        <color indexed="64"/>
      </top>
      <bottom style="thick">
        <color indexed="10"/>
      </bottom>
      <diagonal/>
    </border>
    <border>
      <left/>
      <right style="thick">
        <color indexed="64"/>
      </right>
      <top style="thin">
        <color indexed="64"/>
      </top>
      <bottom style="thick">
        <color indexed="10"/>
      </bottom>
      <diagonal/>
    </border>
    <border>
      <left style="thick">
        <color indexed="64"/>
      </left>
      <right/>
      <top style="thin">
        <color indexed="64"/>
      </top>
      <bottom style="thick">
        <color indexed="10"/>
      </bottom>
      <diagonal/>
    </border>
    <border>
      <left/>
      <right style="thick">
        <color indexed="10"/>
      </right>
      <top style="thin">
        <color indexed="64"/>
      </top>
      <bottom style="thick">
        <color indexed="10"/>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ck">
        <color indexed="64"/>
      </left>
      <right style="thick">
        <color indexed="64"/>
      </right>
      <top style="thick">
        <color indexed="64"/>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double">
        <color indexed="13"/>
      </left>
      <right/>
      <top style="mediumDashed">
        <color indexed="22"/>
      </top>
      <bottom style="mediumDashed">
        <color indexed="22"/>
      </bottom>
      <diagonal/>
    </border>
    <border>
      <left style="mediumDashed">
        <color indexed="22"/>
      </left>
      <right style="double">
        <color indexed="13"/>
      </right>
      <top style="mediumDashed">
        <color indexed="22"/>
      </top>
      <bottom style="mediumDashed">
        <color indexed="22"/>
      </bottom>
      <diagonal/>
    </border>
    <border>
      <left style="double">
        <color indexed="13"/>
      </left>
      <right/>
      <top/>
      <bottom style="mediumDashed">
        <color indexed="22"/>
      </bottom>
      <diagonal/>
    </border>
    <border>
      <left style="mediumDashed">
        <color indexed="22"/>
      </left>
      <right style="double">
        <color indexed="13"/>
      </right>
      <top/>
      <bottom style="mediumDashed">
        <color indexed="22"/>
      </bottom>
      <diagonal/>
    </border>
    <border>
      <left style="mediumDashed">
        <color indexed="22"/>
      </left>
      <right style="double">
        <color indexed="13"/>
      </right>
      <top style="mediumDashed">
        <color indexed="22"/>
      </top>
      <bottom/>
      <diagonal/>
    </border>
    <border>
      <left style="double">
        <color indexed="13"/>
      </left>
      <right/>
      <top/>
      <bottom style="double">
        <color indexed="13"/>
      </bottom>
      <diagonal/>
    </border>
    <border>
      <left style="mediumDashed">
        <color indexed="22"/>
      </left>
      <right style="mediumDashed">
        <color indexed="22"/>
      </right>
      <top style="mediumDashed">
        <color indexed="22"/>
      </top>
      <bottom style="double">
        <color indexed="13"/>
      </bottom>
      <diagonal/>
    </border>
    <border>
      <left/>
      <right style="mediumDashed">
        <color indexed="22"/>
      </right>
      <top/>
      <bottom style="double">
        <color indexed="13"/>
      </bottom>
      <diagonal/>
    </border>
    <border>
      <left style="mediumDashed">
        <color indexed="22"/>
      </left>
      <right style="mediumDashed">
        <color indexed="22"/>
      </right>
      <top/>
      <bottom style="double">
        <color indexed="13"/>
      </bottom>
      <diagonal/>
    </border>
    <border>
      <left style="mediumDashed">
        <color indexed="22"/>
      </left>
      <right/>
      <top/>
      <bottom style="double">
        <color indexed="13"/>
      </bottom>
      <diagonal/>
    </border>
    <border>
      <left/>
      <right style="double">
        <color indexed="13"/>
      </right>
      <top/>
      <bottom style="double">
        <color indexed="13"/>
      </bottom>
      <diagonal/>
    </border>
    <border>
      <left/>
      <right/>
      <top style="medium">
        <color indexed="64"/>
      </top>
      <bottom/>
      <diagonal/>
    </border>
    <border diagonalDown="1">
      <left/>
      <right/>
      <top/>
      <bottom/>
      <diagonal style="medium">
        <color indexed="64"/>
      </diagonal>
    </border>
    <border>
      <left/>
      <right style="medium">
        <color indexed="64"/>
      </right>
      <top/>
      <bottom/>
      <diagonal/>
    </border>
    <border>
      <left/>
      <right style="mediumDashed">
        <color indexed="22"/>
      </right>
      <top/>
      <bottom/>
      <diagonal/>
    </border>
    <border>
      <left style="mediumDashed">
        <color indexed="22"/>
      </left>
      <right style="mediumDashed">
        <color indexed="22"/>
      </right>
      <top style="mediumDashed">
        <color indexed="22"/>
      </top>
      <bottom style="mediumDashed">
        <color indexed="22"/>
      </bottom>
      <diagonal/>
    </border>
    <border>
      <left/>
      <right style="mediumDashed">
        <color indexed="22"/>
      </right>
      <top/>
      <bottom style="mediumDashed">
        <color indexed="22"/>
      </bottom>
      <diagonal/>
    </border>
    <border>
      <left/>
      <right/>
      <top/>
      <bottom style="medium">
        <color indexed="64"/>
      </bottom>
      <diagonal/>
    </border>
    <border>
      <left/>
      <right style="mediumDashed">
        <color indexed="22"/>
      </right>
      <top style="mediumDashed">
        <color indexed="22"/>
      </top>
      <bottom style="mediumDashed">
        <color indexed="22"/>
      </bottom>
      <diagonal/>
    </border>
    <border>
      <left style="mediumDashed">
        <color indexed="22"/>
      </left>
      <right style="mediumDashed">
        <color indexed="22"/>
      </right>
      <top/>
      <bottom style="mediumDashed">
        <color indexed="22"/>
      </bottom>
      <diagonal/>
    </border>
    <border>
      <left/>
      <right style="mediumDashed">
        <color indexed="22"/>
      </right>
      <top style="mediumDashed">
        <color indexed="22"/>
      </top>
      <bottom/>
      <diagonal/>
    </border>
    <border>
      <left style="mediumDashed">
        <color indexed="22"/>
      </left>
      <right style="mediumDashed">
        <color indexed="22"/>
      </right>
      <top style="mediumDashed">
        <color indexed="22"/>
      </top>
      <bottom/>
      <diagonal/>
    </border>
    <border>
      <left style="mediumDashed">
        <color indexed="22"/>
      </left>
      <right style="mediumDashed">
        <color indexed="22"/>
      </right>
      <top style="double">
        <color indexed="13"/>
      </top>
      <bottom/>
      <diagonal/>
    </border>
    <border>
      <left/>
      <right style="mediumDashed">
        <color indexed="22"/>
      </right>
      <top style="double">
        <color indexed="13"/>
      </top>
      <bottom/>
      <diagonal/>
    </border>
    <border>
      <left style="mediumDashed">
        <color indexed="22"/>
      </left>
      <right/>
      <top style="double">
        <color indexed="13"/>
      </top>
      <bottom/>
      <diagonal/>
    </border>
    <border>
      <left/>
      <right style="double">
        <color indexed="13"/>
      </right>
      <top style="double">
        <color indexed="13"/>
      </top>
      <bottom/>
      <diagonal/>
    </border>
    <border>
      <left style="double">
        <color indexed="13"/>
      </left>
      <right style="mediumDashed">
        <color indexed="22"/>
      </right>
      <top style="double">
        <color indexed="13"/>
      </top>
      <bottom style="mediumDashed">
        <color indexed="22"/>
      </bottom>
      <diagonal/>
    </border>
    <border>
      <left style="double">
        <color indexed="9"/>
      </left>
      <right/>
      <top style="double">
        <color indexed="9"/>
      </top>
      <bottom/>
      <diagonal/>
    </border>
    <border>
      <left/>
      <right style="double">
        <color indexed="9"/>
      </right>
      <top style="double">
        <color indexed="9"/>
      </top>
      <bottom/>
      <diagonal/>
    </border>
    <border>
      <left/>
      <right style="double">
        <color indexed="9"/>
      </right>
      <top/>
      <bottom/>
      <diagonal/>
    </border>
    <border>
      <left/>
      <right style="double">
        <color indexed="9"/>
      </right>
      <top/>
      <bottom style="double">
        <color indexed="9"/>
      </bottom>
      <diagonal/>
    </border>
    <border>
      <left style="medium">
        <color indexed="64"/>
      </left>
      <right style="medium">
        <color indexed="64"/>
      </right>
      <top/>
      <bottom/>
      <diagonal/>
    </border>
    <border>
      <left/>
      <right style="thick">
        <color indexed="64"/>
      </right>
      <top style="thin">
        <color indexed="64"/>
      </top>
      <bottom style="thin">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ck">
        <color indexed="8"/>
      </left>
      <right style="thick">
        <color indexed="8"/>
      </right>
      <top style="thick">
        <color indexed="8"/>
      </top>
      <bottom style="thick">
        <color indexed="8"/>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medium">
        <color indexed="64"/>
      </left>
      <right/>
      <top/>
      <bottom/>
      <diagonal/>
    </border>
    <border>
      <left style="thick">
        <color indexed="64"/>
      </left>
      <right/>
      <top/>
      <bottom/>
      <diagonal/>
    </border>
    <border>
      <left style="thick">
        <color indexed="10"/>
      </left>
      <right/>
      <top style="thick">
        <color indexed="10"/>
      </top>
      <bottom style="thin">
        <color indexed="64"/>
      </bottom>
      <diagonal/>
    </border>
    <border>
      <left/>
      <right/>
      <top style="thick">
        <color indexed="10"/>
      </top>
      <bottom style="thin">
        <color indexed="64"/>
      </bottom>
      <diagonal/>
    </border>
    <border>
      <left/>
      <right style="thick">
        <color indexed="64"/>
      </right>
      <top style="thick">
        <color indexed="10"/>
      </top>
      <bottom style="thin">
        <color indexed="64"/>
      </bottom>
      <diagonal/>
    </border>
  </borders>
  <cellStyleXfs count="4">
    <xf numFmtId="0" fontId="0" fillId="0" borderId="0"/>
    <xf numFmtId="43" fontId="1" fillId="0" borderId="0" applyFont="0" applyFill="0" applyBorder="0" applyAlignment="0" applyProtection="0"/>
    <xf numFmtId="0" fontId="33" fillId="0" borderId="0"/>
    <xf numFmtId="9" fontId="1" fillId="0" borderId="0" applyFont="0" applyFill="0" applyBorder="0" applyAlignment="0" applyProtection="0"/>
  </cellStyleXfs>
  <cellXfs count="511">
    <xf numFmtId="0" fontId="0" fillId="0" borderId="0" xfId="0"/>
    <xf numFmtId="0" fontId="7" fillId="0" borderId="0" xfId="0" applyFont="1"/>
    <xf numFmtId="0" fontId="7" fillId="0" borderId="0" xfId="0" applyFont="1" applyAlignment="1">
      <alignment horizontal="center"/>
    </xf>
    <xf numFmtId="0" fontId="10" fillId="2" borderId="0" xfId="0" applyFont="1" applyFill="1"/>
    <xf numFmtId="0" fontId="0" fillId="0" borderId="0" xfId="0" applyAlignment="1">
      <alignment horizontal="right"/>
    </xf>
    <xf numFmtId="0" fontId="7" fillId="2" borderId="0" xfId="0" applyFont="1" applyFill="1" applyAlignment="1" applyProtection="1">
      <alignment horizontal="center"/>
      <protection hidden="1"/>
    </xf>
    <xf numFmtId="0" fontId="7" fillId="2" borderId="0" xfId="0" applyFont="1" applyFill="1" applyProtection="1">
      <protection hidden="1"/>
    </xf>
    <xf numFmtId="0" fontId="7" fillId="2" borderId="0" xfId="0" applyFont="1" applyFill="1" applyBorder="1" applyAlignment="1" applyProtection="1">
      <alignment horizontal="center"/>
      <protection hidden="1"/>
    </xf>
    <xf numFmtId="0" fontId="7" fillId="2" borderId="0" xfId="0" applyFont="1" applyFill="1" applyBorder="1" applyProtection="1">
      <protection hidden="1"/>
    </xf>
    <xf numFmtId="9" fontId="15" fillId="3" borderId="1" xfId="3" applyFont="1" applyFill="1" applyBorder="1" applyProtection="1">
      <protection hidden="1"/>
    </xf>
    <xf numFmtId="9" fontId="15" fillId="3" borderId="2" xfId="3" applyFont="1" applyFill="1" applyBorder="1" applyProtection="1">
      <protection hidden="1"/>
    </xf>
    <xf numFmtId="9" fontId="15" fillId="3" borderId="3" xfId="3" applyFont="1" applyFill="1" applyBorder="1" applyProtection="1">
      <protection hidden="1"/>
    </xf>
    <xf numFmtId="9" fontId="15" fillId="3" borderId="4" xfId="3" applyFont="1" applyFill="1" applyBorder="1" applyProtection="1">
      <protection hidden="1"/>
    </xf>
    <xf numFmtId="9" fontId="15" fillId="3" borderId="5" xfId="3" applyFont="1" applyFill="1" applyBorder="1" applyProtection="1">
      <protection hidden="1"/>
    </xf>
    <xf numFmtId="9" fontId="15" fillId="3" borderId="6" xfId="3" applyFont="1" applyFill="1" applyBorder="1" applyProtection="1">
      <protection hidden="1"/>
    </xf>
    <xf numFmtId="0" fontId="14" fillId="2" borderId="0" xfId="0" applyFont="1" applyFill="1" applyBorder="1" applyProtection="1">
      <protection hidden="1"/>
    </xf>
    <xf numFmtId="2" fontId="7" fillId="0" borderId="0" xfId="0" applyNumberFormat="1" applyFont="1"/>
    <xf numFmtId="2" fontId="7" fillId="0" borderId="0" xfId="0" applyNumberFormat="1" applyFont="1" applyAlignment="1">
      <alignment horizontal="center"/>
    </xf>
    <xf numFmtId="2" fontId="8" fillId="4" borderId="7" xfId="0" applyNumberFormat="1" applyFont="1" applyFill="1" applyBorder="1" applyAlignment="1">
      <alignment horizontal="center"/>
    </xf>
    <xf numFmtId="2" fontId="8" fillId="4" borderId="8" xfId="0" applyNumberFormat="1" applyFont="1" applyFill="1" applyBorder="1" applyAlignment="1">
      <alignment horizontal="center"/>
    </xf>
    <xf numFmtId="2" fontId="8" fillId="4" borderId="9" xfId="0" applyNumberFormat="1" applyFont="1" applyFill="1" applyBorder="1" applyAlignment="1">
      <alignment horizontal="center"/>
    </xf>
    <xf numFmtId="2" fontId="8" fillId="5" borderId="7" xfId="0" applyNumberFormat="1" applyFont="1" applyFill="1" applyBorder="1" applyAlignment="1">
      <alignment horizontal="center"/>
    </xf>
    <xf numFmtId="2" fontId="7" fillId="5" borderId="0" xfId="0" applyNumberFormat="1" applyFont="1" applyFill="1" applyAlignment="1">
      <alignment horizontal="center"/>
    </xf>
    <xf numFmtId="2" fontId="8" fillId="5" borderId="8" xfId="0" applyNumberFormat="1" applyFont="1" applyFill="1" applyBorder="1" applyAlignment="1">
      <alignment horizontal="center"/>
    </xf>
    <xf numFmtId="2" fontId="8" fillId="5" borderId="9" xfId="0" applyNumberFormat="1"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164" fontId="10" fillId="2" borderId="9" xfId="0" applyNumberFormat="1" applyFont="1" applyFill="1" applyBorder="1" applyAlignment="1">
      <alignment horizontal="center"/>
    </xf>
    <xf numFmtId="0" fontId="10" fillId="2" borderId="0" xfId="0" applyFont="1" applyFill="1" applyAlignment="1">
      <alignment horizontal="center"/>
    </xf>
    <xf numFmtId="2" fontId="7" fillId="4" borderId="0" xfId="0" applyNumberFormat="1" applyFont="1" applyFill="1" applyAlignment="1">
      <alignment horizontal="center"/>
    </xf>
    <xf numFmtId="0" fontId="8" fillId="0" borderId="0" xfId="0" applyFont="1" applyFill="1" applyAlignment="1">
      <alignment horizontal="left"/>
    </xf>
    <xf numFmtId="9" fontId="7" fillId="0" borderId="0" xfId="3" applyFont="1"/>
    <xf numFmtId="0" fontId="10" fillId="0" borderId="0" xfId="0" applyFont="1" applyFill="1" applyAlignment="1">
      <alignment horizontal="center"/>
    </xf>
    <xf numFmtId="9" fontId="10" fillId="2" borderId="0" xfId="3" applyFont="1" applyFill="1" applyAlignment="1">
      <alignment horizontal="center"/>
    </xf>
    <xf numFmtId="0" fontId="10" fillId="4" borderId="0" xfId="0" applyFont="1" applyFill="1"/>
    <xf numFmtId="0" fontId="10" fillId="5" borderId="0" xfId="0" applyFont="1" applyFill="1"/>
    <xf numFmtId="0" fontId="7" fillId="2" borderId="10" xfId="0" applyFont="1" applyFill="1" applyBorder="1" applyAlignment="1" applyProtection="1">
      <alignment horizontal="center"/>
      <protection hidden="1"/>
    </xf>
    <xf numFmtId="0" fontId="7" fillId="2" borderId="10" xfId="0" applyFont="1" applyFill="1" applyBorder="1" applyProtection="1">
      <protection hidden="1"/>
    </xf>
    <xf numFmtId="0" fontId="14" fillId="3" borderId="0" xfId="0" applyFont="1" applyFill="1" applyBorder="1" applyProtection="1">
      <protection hidden="1"/>
    </xf>
    <xf numFmtId="0" fontId="15" fillId="3" borderId="0" xfId="0" applyFont="1" applyFill="1" applyBorder="1" applyProtection="1">
      <protection hidden="1"/>
    </xf>
    <xf numFmtId="2" fontId="10" fillId="2" borderId="0" xfId="0" applyNumberFormat="1" applyFont="1" applyFill="1" applyAlignment="1">
      <alignment horizontal="center"/>
    </xf>
    <xf numFmtId="9" fontId="7" fillId="0" borderId="0" xfId="3" applyFont="1" applyAlignment="1">
      <alignment horizontal="center"/>
    </xf>
    <xf numFmtId="2" fontId="23" fillId="2" borderId="0" xfId="0" applyNumberFormat="1" applyFont="1" applyFill="1" applyAlignment="1">
      <alignment horizontal="center"/>
    </xf>
    <xf numFmtId="2" fontId="8" fillId="4" borderId="11" xfId="0" applyNumberFormat="1" applyFont="1" applyFill="1" applyBorder="1" applyAlignment="1">
      <alignment horizontal="center"/>
    </xf>
    <xf numFmtId="2" fontId="8" fillId="5" borderId="12" xfId="0" applyNumberFormat="1" applyFont="1" applyFill="1" applyBorder="1" applyAlignment="1">
      <alignment horizontal="center"/>
    </xf>
    <xf numFmtId="2" fontId="8" fillId="4" borderId="13" xfId="0" applyNumberFormat="1" applyFont="1" applyFill="1" applyBorder="1" applyAlignment="1">
      <alignment horizontal="center"/>
    </xf>
    <xf numFmtId="2" fontId="8" fillId="5" borderId="5" xfId="0" applyNumberFormat="1" applyFont="1" applyFill="1" applyBorder="1" applyAlignment="1">
      <alignment horizontal="center"/>
    </xf>
    <xf numFmtId="2" fontId="24" fillId="2" borderId="0" xfId="0" applyNumberFormat="1" applyFont="1" applyFill="1" applyAlignment="1">
      <alignment horizontal="center"/>
    </xf>
    <xf numFmtId="0" fontId="10" fillId="2" borderId="14" xfId="0" applyFont="1" applyFill="1" applyBorder="1" applyAlignment="1">
      <alignment horizontal="center"/>
    </xf>
    <xf numFmtId="0" fontId="7" fillId="0" borderId="14" xfId="0" applyFont="1" applyBorder="1" applyAlignment="1">
      <alignment horizontal="center"/>
    </xf>
    <xf numFmtId="2" fontId="8" fillId="6" borderId="0" xfId="0" applyNumberFormat="1" applyFont="1" applyFill="1" applyAlignment="1">
      <alignment horizontal="center"/>
    </xf>
    <xf numFmtId="2" fontId="8" fillId="7" borderId="14" xfId="0" applyNumberFormat="1" applyFont="1" applyFill="1" applyBorder="1" applyAlignment="1">
      <alignment horizontal="center"/>
    </xf>
    <xf numFmtId="2" fontId="8" fillId="7" borderId="0" xfId="0" applyNumberFormat="1" applyFont="1" applyFill="1" applyAlignment="1">
      <alignment horizontal="center"/>
    </xf>
    <xf numFmtId="0" fontId="7" fillId="2" borderId="15" xfId="0" applyFont="1" applyFill="1" applyBorder="1" applyAlignment="1" applyProtection="1">
      <alignment horizontal="center"/>
      <protection hidden="1"/>
    </xf>
    <xf numFmtId="0" fontId="7" fillId="2" borderId="16" xfId="0" applyFont="1" applyFill="1" applyBorder="1" applyAlignment="1" applyProtection="1">
      <alignment horizontal="center"/>
      <protection hidden="1"/>
    </xf>
    <xf numFmtId="0" fontId="33" fillId="0" borderId="17" xfId="2" applyBorder="1"/>
    <xf numFmtId="0" fontId="33" fillId="0" borderId="17" xfId="2" applyFont="1" applyFill="1" applyBorder="1"/>
    <xf numFmtId="0" fontId="0" fillId="8" borderId="14" xfId="0" applyFill="1" applyBorder="1"/>
    <xf numFmtId="0" fontId="0" fillId="6" borderId="14" xfId="0" applyFill="1" applyBorder="1"/>
    <xf numFmtId="0" fontId="0" fillId="9" borderId="14" xfId="0" applyFill="1" applyBorder="1"/>
    <xf numFmtId="0" fontId="0" fillId="7" borderId="14" xfId="0" applyFill="1" applyBorder="1"/>
    <xf numFmtId="0" fontId="0" fillId="10" borderId="14" xfId="0" applyFill="1" applyBorder="1"/>
    <xf numFmtId="0" fontId="0" fillId="10" borderId="18" xfId="0" applyFill="1" applyBorder="1"/>
    <xf numFmtId="167" fontId="0" fillId="0" borderId="0" xfId="1" applyNumberFormat="1" applyFont="1"/>
    <xf numFmtId="43" fontId="8" fillId="4" borderId="8" xfId="1" applyFont="1" applyFill="1" applyBorder="1" applyAlignment="1">
      <alignment horizontal="center"/>
    </xf>
    <xf numFmtId="43" fontId="8" fillId="4" borderId="0" xfId="1" applyFont="1" applyFill="1" applyBorder="1" applyAlignment="1">
      <alignment horizontal="center"/>
    </xf>
    <xf numFmtId="167" fontId="8" fillId="4" borderId="7" xfId="1" applyNumberFormat="1" applyFont="1" applyFill="1" applyBorder="1" applyAlignment="1">
      <alignment horizontal="center"/>
    </xf>
    <xf numFmtId="167" fontId="8" fillId="0" borderId="0" xfId="1" applyNumberFormat="1" applyFont="1"/>
    <xf numFmtId="167" fontId="10" fillId="2" borderId="0" xfId="1" applyNumberFormat="1" applyFont="1" applyFill="1" applyAlignment="1">
      <alignment horizontal="center"/>
    </xf>
    <xf numFmtId="1" fontId="33" fillId="8" borderId="14" xfId="2" applyNumberFormat="1" applyFill="1" applyBorder="1"/>
    <xf numFmtId="1" fontId="33" fillId="6" borderId="14" xfId="2" applyNumberFormat="1" applyFill="1" applyBorder="1"/>
    <xf numFmtId="1" fontId="33" fillId="9" borderId="14" xfId="2" applyNumberFormat="1" applyFill="1" applyBorder="1"/>
    <xf numFmtId="1" fontId="33" fillId="7" borderId="14" xfId="2" applyNumberFormat="1" applyFill="1" applyBorder="1"/>
    <xf numFmtId="1" fontId="33" fillId="10" borderId="14" xfId="2" applyNumberFormat="1" applyFill="1" applyBorder="1"/>
    <xf numFmtId="1" fontId="33" fillId="10" borderId="18" xfId="2" applyNumberFormat="1" applyFill="1" applyBorder="1"/>
    <xf numFmtId="9" fontId="0" fillId="0" borderId="0" xfId="0" applyNumberFormat="1"/>
    <xf numFmtId="0" fontId="3" fillId="0" borderId="0" xfId="0" applyFont="1"/>
    <xf numFmtId="9" fontId="3" fillId="0" borderId="0" xfId="3" applyFont="1"/>
    <xf numFmtId="167" fontId="23" fillId="2" borderId="0" xfId="1" applyNumberFormat="1" applyFont="1" applyFill="1" applyAlignment="1">
      <alignment horizontal="center"/>
    </xf>
    <xf numFmtId="43" fontId="8" fillId="6" borderId="0" xfId="1" applyNumberFormat="1" applyFont="1" applyFill="1" applyAlignment="1">
      <alignment horizontal="center"/>
    </xf>
    <xf numFmtId="43" fontId="8" fillId="7" borderId="14" xfId="1" applyNumberFormat="1" applyFont="1" applyFill="1" applyBorder="1" applyAlignment="1">
      <alignment horizontal="center"/>
    </xf>
    <xf numFmtId="43" fontId="8" fillId="7" borderId="0" xfId="1" applyNumberFormat="1" applyFont="1" applyFill="1" applyAlignment="1">
      <alignment horizontal="center"/>
    </xf>
    <xf numFmtId="43" fontId="23" fillId="2" borderId="0" xfId="1" applyNumberFormat="1" applyFont="1" applyFill="1" applyAlignment="1">
      <alignment horizontal="center"/>
    </xf>
    <xf numFmtId="43" fontId="8" fillId="7" borderId="0" xfId="1" applyNumberFormat="1" applyFont="1" applyFill="1"/>
    <xf numFmtId="43" fontId="10" fillId="2" borderId="0" xfId="1" applyNumberFormat="1" applyFont="1" applyFill="1" applyAlignment="1">
      <alignment horizontal="center"/>
    </xf>
    <xf numFmtId="43" fontId="10" fillId="2" borderId="19" xfId="1" applyNumberFormat="1" applyFont="1" applyFill="1" applyBorder="1" applyAlignment="1">
      <alignment horizontal="center"/>
    </xf>
    <xf numFmtId="43" fontId="8" fillId="4" borderId="20" xfId="1" applyFont="1" applyFill="1" applyBorder="1" applyAlignment="1">
      <alignment horizontal="center"/>
    </xf>
    <xf numFmtId="43" fontId="24" fillId="2" borderId="0" xfId="1" applyNumberFormat="1" applyFont="1" applyFill="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4" fillId="0" borderId="24" xfId="2" applyFont="1" applyFill="1" applyBorder="1" applyAlignment="1">
      <alignment horizontal="center"/>
    </xf>
    <xf numFmtId="0" fontId="34" fillId="0" borderId="25" xfId="2" applyFont="1" applyFill="1" applyBorder="1" applyAlignment="1">
      <alignment horizontal="center"/>
    </xf>
    <xf numFmtId="0" fontId="34" fillId="0" borderId="26" xfId="2" applyFont="1" applyFill="1" applyBorder="1" applyAlignment="1">
      <alignment horizontal="center"/>
    </xf>
    <xf numFmtId="0" fontId="34" fillId="0" borderId="27" xfId="2" applyFont="1" applyFill="1" applyBorder="1" applyAlignment="1">
      <alignment horizontal="center"/>
    </xf>
    <xf numFmtId="0" fontId="34" fillId="0" borderId="28" xfId="2" applyFont="1" applyFill="1" applyBorder="1" applyAlignment="1">
      <alignment horizontal="center"/>
    </xf>
    <xf numFmtId="0" fontId="34" fillId="0" borderId="29" xfId="2" applyFont="1" applyFill="1" applyBorder="1" applyAlignment="1">
      <alignment horizontal="center"/>
    </xf>
    <xf numFmtId="167" fontId="21" fillId="8" borderId="30" xfId="1" applyNumberFormat="1" applyFont="1" applyFill="1" applyBorder="1" applyAlignment="1">
      <alignment horizontal="center"/>
    </xf>
    <xf numFmtId="167" fontId="21" fillId="8" borderId="31" xfId="1" applyNumberFormat="1" applyFont="1" applyFill="1" applyBorder="1" applyAlignment="1">
      <alignment horizontal="center"/>
    </xf>
    <xf numFmtId="167" fontId="21" fillId="8" borderId="32" xfId="1" applyNumberFormat="1" applyFont="1" applyFill="1" applyBorder="1" applyAlignment="1">
      <alignment horizontal="center"/>
    </xf>
    <xf numFmtId="167" fontId="0" fillId="0" borderId="0" xfId="1" applyNumberFormat="1" applyFont="1" applyBorder="1" applyAlignment="1">
      <alignment horizontal="center"/>
    </xf>
    <xf numFmtId="167" fontId="0" fillId="0" borderId="33" xfId="1" applyNumberFormat="1" applyFont="1" applyBorder="1" applyAlignment="1">
      <alignment horizontal="center"/>
    </xf>
    <xf numFmtId="167" fontId="21" fillId="6" borderId="30" xfId="1" applyNumberFormat="1" applyFont="1" applyFill="1" applyBorder="1" applyAlignment="1">
      <alignment horizontal="center"/>
    </xf>
    <xf numFmtId="167" fontId="21" fillId="6" borderId="31" xfId="1" applyNumberFormat="1" applyFont="1" applyFill="1" applyBorder="1" applyAlignment="1">
      <alignment horizontal="center"/>
    </xf>
    <xf numFmtId="167" fontId="21" fillId="6" borderId="32" xfId="1" applyNumberFormat="1" applyFont="1" applyFill="1" applyBorder="1" applyAlignment="1">
      <alignment horizontal="center"/>
    </xf>
    <xf numFmtId="167" fontId="21" fillId="9" borderId="30" xfId="1" applyNumberFormat="1" applyFont="1" applyFill="1" applyBorder="1" applyAlignment="1">
      <alignment horizontal="center"/>
    </xf>
    <xf numFmtId="167" fontId="21" fillId="9" borderId="31" xfId="1" applyNumberFormat="1" applyFont="1" applyFill="1" applyBorder="1" applyAlignment="1">
      <alignment horizontal="center"/>
    </xf>
    <xf numFmtId="167" fontId="21" fillId="9" borderId="32" xfId="1" applyNumberFormat="1" applyFont="1" applyFill="1" applyBorder="1" applyAlignment="1">
      <alignment horizontal="center"/>
    </xf>
    <xf numFmtId="167" fontId="21" fillId="7" borderId="30" xfId="1" applyNumberFormat="1" applyFont="1" applyFill="1" applyBorder="1" applyAlignment="1">
      <alignment horizontal="center"/>
    </xf>
    <xf numFmtId="167" fontId="21" fillId="7" borderId="31" xfId="1" applyNumberFormat="1" applyFont="1" applyFill="1" applyBorder="1" applyAlignment="1">
      <alignment horizontal="center"/>
    </xf>
    <xf numFmtId="167" fontId="21" fillId="7" borderId="32" xfId="1" applyNumberFormat="1" applyFont="1" applyFill="1" applyBorder="1" applyAlignment="1">
      <alignment horizontal="center"/>
    </xf>
    <xf numFmtId="167" fontId="21" fillId="10" borderId="30" xfId="1" applyNumberFormat="1" applyFont="1" applyFill="1" applyBorder="1" applyAlignment="1">
      <alignment horizontal="center"/>
    </xf>
    <xf numFmtId="167" fontId="21" fillId="10" borderId="31" xfId="1" applyNumberFormat="1" applyFont="1" applyFill="1" applyBorder="1" applyAlignment="1">
      <alignment horizontal="center"/>
    </xf>
    <xf numFmtId="167" fontId="21" fillId="10" borderId="32" xfId="1" applyNumberFormat="1" applyFont="1" applyFill="1" applyBorder="1" applyAlignment="1">
      <alignment horizontal="center"/>
    </xf>
    <xf numFmtId="167" fontId="21" fillId="0" borderId="34" xfId="1" applyNumberFormat="1" applyFont="1" applyBorder="1" applyAlignment="1">
      <alignment horizontal="center"/>
    </xf>
    <xf numFmtId="167" fontId="21" fillId="0" borderId="35" xfId="1" applyNumberFormat="1" applyFont="1" applyBorder="1" applyAlignment="1">
      <alignment horizontal="center"/>
    </xf>
    <xf numFmtId="167" fontId="21" fillId="0" borderId="36" xfId="1" applyNumberFormat="1" applyFont="1" applyBorder="1" applyAlignment="1">
      <alignment horizontal="center"/>
    </xf>
    <xf numFmtId="167" fontId="3" fillId="0" borderId="37" xfId="1" applyNumberFormat="1" applyFont="1" applyBorder="1" applyAlignment="1">
      <alignment horizontal="center"/>
    </xf>
    <xf numFmtId="167" fontId="3" fillId="0" borderId="35" xfId="1" applyNumberFormat="1" applyFont="1" applyBorder="1" applyAlignment="1">
      <alignment horizontal="center"/>
    </xf>
    <xf numFmtId="167" fontId="3" fillId="0" borderId="38" xfId="1" applyNumberFormat="1" applyFont="1" applyBorder="1" applyAlignment="1">
      <alignment horizontal="center"/>
    </xf>
    <xf numFmtId="0" fontId="33" fillId="0" borderId="14" xfId="2" applyFont="1" applyFill="1" applyBorder="1"/>
    <xf numFmtId="0" fontId="0" fillId="0" borderId="0" xfId="0" applyBorder="1"/>
    <xf numFmtId="0" fontId="7" fillId="0" borderId="0" xfId="0" applyFont="1" applyBorder="1"/>
    <xf numFmtId="1" fontId="33" fillId="0" borderId="14" xfId="2" applyNumberFormat="1" applyBorder="1"/>
    <xf numFmtId="167" fontId="34" fillId="0" borderId="30" xfId="2" applyNumberFormat="1" applyFont="1" applyFill="1" applyBorder="1" applyAlignment="1">
      <alignment horizontal="center"/>
    </xf>
    <xf numFmtId="167" fontId="34" fillId="0" borderId="31" xfId="2" applyNumberFormat="1" applyFont="1" applyFill="1" applyBorder="1" applyAlignment="1">
      <alignment horizontal="center"/>
    </xf>
    <xf numFmtId="167" fontId="34" fillId="0" borderId="32" xfId="2" applyNumberFormat="1" applyFont="1" applyFill="1" applyBorder="1" applyAlignment="1">
      <alignment horizontal="center"/>
    </xf>
    <xf numFmtId="167" fontId="34" fillId="0" borderId="0" xfId="2" applyNumberFormat="1" applyFont="1" applyFill="1" applyBorder="1" applyAlignment="1">
      <alignment horizontal="center"/>
    </xf>
    <xf numFmtId="167" fontId="34" fillId="0" borderId="33" xfId="2" applyNumberFormat="1" applyFont="1" applyFill="1" applyBorder="1" applyAlignment="1">
      <alignment horizontal="center"/>
    </xf>
    <xf numFmtId="43" fontId="10" fillId="2" borderId="0" xfId="0" applyNumberFormat="1" applyFont="1" applyFill="1" applyBorder="1" applyAlignment="1">
      <alignment horizontal="center"/>
    </xf>
    <xf numFmtId="0" fontId="33" fillId="0" borderId="39" xfId="2" applyBorder="1"/>
    <xf numFmtId="9" fontId="33" fillId="11" borderId="39" xfId="3" applyFont="1" applyFill="1" applyBorder="1"/>
    <xf numFmtId="9" fontId="33" fillId="11" borderId="40" xfId="3" applyFont="1" applyFill="1" applyBorder="1"/>
    <xf numFmtId="0" fontId="33" fillId="0" borderId="41" xfId="2" applyBorder="1"/>
    <xf numFmtId="9" fontId="33" fillId="0" borderId="41" xfId="3" applyFont="1" applyBorder="1"/>
    <xf numFmtId="9" fontId="33" fillId="0" borderId="42" xfId="3" applyFont="1" applyBorder="1"/>
    <xf numFmtId="9" fontId="33" fillId="11" borderId="41" xfId="3" applyFont="1" applyFill="1" applyBorder="1"/>
    <xf numFmtId="9" fontId="33" fillId="11" borderId="42" xfId="3" applyFont="1" applyFill="1" applyBorder="1"/>
    <xf numFmtId="9" fontId="33" fillId="0" borderId="43" xfId="3" applyFont="1" applyBorder="1"/>
    <xf numFmtId="9" fontId="33" fillId="0" borderId="44" xfId="3" applyFont="1" applyBorder="1"/>
    <xf numFmtId="0" fontId="42" fillId="0" borderId="0" xfId="0" applyFont="1"/>
    <xf numFmtId="0" fontId="10" fillId="2" borderId="0" xfId="0" applyFont="1" applyFill="1" applyAlignment="1" applyProtection="1">
      <alignment horizontal="center"/>
      <protection hidden="1"/>
    </xf>
    <xf numFmtId="0" fontId="7" fillId="12" borderId="0" xfId="0" applyFont="1" applyFill="1" applyProtection="1">
      <protection hidden="1"/>
    </xf>
    <xf numFmtId="0" fontId="7" fillId="13" borderId="0" xfId="0" applyFont="1" applyFill="1" applyProtection="1">
      <protection hidden="1"/>
    </xf>
    <xf numFmtId="0" fontId="5" fillId="13" borderId="0" xfId="0" applyFont="1" applyFill="1" applyAlignment="1" applyProtection="1">
      <alignment horizontal="center"/>
      <protection hidden="1"/>
    </xf>
    <xf numFmtId="0" fontId="7" fillId="0" borderId="0" xfId="0" applyFont="1" applyProtection="1">
      <protection hidden="1"/>
    </xf>
    <xf numFmtId="0" fontId="9" fillId="13" borderId="0" xfId="0" applyFont="1" applyFill="1" applyProtection="1">
      <protection hidden="1"/>
    </xf>
    <xf numFmtId="0" fontId="25" fillId="12" borderId="0" xfId="0" applyFont="1" applyFill="1" applyAlignment="1" applyProtection="1">
      <alignment horizontal="center"/>
      <protection hidden="1"/>
    </xf>
    <xf numFmtId="0" fontId="27" fillId="12" borderId="0" xfId="0" applyFont="1" applyFill="1" applyAlignment="1" applyProtection="1">
      <alignment horizontal="center"/>
      <protection hidden="1"/>
    </xf>
    <xf numFmtId="0" fontId="17" fillId="13" borderId="0" xfId="0" applyFont="1" applyFill="1" applyProtection="1">
      <protection hidden="1"/>
    </xf>
    <xf numFmtId="0" fontId="30" fillId="12" borderId="0" xfId="0" applyFont="1" applyFill="1" applyAlignment="1" applyProtection="1">
      <alignment vertical="center"/>
      <protection hidden="1"/>
    </xf>
    <xf numFmtId="0" fontId="25" fillId="12" borderId="0" xfId="0" applyFont="1" applyFill="1" applyProtection="1">
      <protection hidden="1"/>
    </xf>
    <xf numFmtId="0" fontId="6" fillId="13" borderId="45" xfId="0" applyFont="1" applyFill="1" applyBorder="1" applyAlignment="1" applyProtection="1">
      <alignment horizontal="center" vertical="center"/>
      <protection locked="0" hidden="1"/>
    </xf>
    <xf numFmtId="0" fontId="30" fillId="12" borderId="0" xfId="0" applyFont="1" applyFill="1" applyProtection="1">
      <protection hidden="1"/>
    </xf>
    <xf numFmtId="9" fontId="6" fillId="13" borderId="45" xfId="3" applyFont="1" applyFill="1" applyBorder="1" applyAlignment="1" applyProtection="1">
      <alignment horizontal="center" vertical="center"/>
      <protection locked="0" hidden="1"/>
    </xf>
    <xf numFmtId="0" fontId="26" fillId="12" borderId="0" xfId="0" applyFont="1" applyFill="1" applyAlignment="1" applyProtection="1">
      <alignment vertical="center"/>
      <protection hidden="1"/>
    </xf>
    <xf numFmtId="0" fontId="22" fillId="13" borderId="0" xfId="0" applyFont="1" applyFill="1" applyProtection="1">
      <protection hidden="1"/>
    </xf>
    <xf numFmtId="0" fontId="7" fillId="12" borderId="0" xfId="0" applyFont="1" applyFill="1" applyAlignment="1" applyProtection="1">
      <alignment horizontal="center"/>
      <protection hidden="1"/>
    </xf>
    <xf numFmtId="0" fontId="8" fillId="12" borderId="0" xfId="0" applyFont="1" applyFill="1" applyProtection="1">
      <protection hidden="1"/>
    </xf>
    <xf numFmtId="0" fontId="8" fillId="12" borderId="0" xfId="0" applyFont="1" applyFill="1" applyAlignment="1" applyProtection="1">
      <alignment horizontal="center"/>
      <protection hidden="1"/>
    </xf>
    <xf numFmtId="0" fontId="19" fillId="2" borderId="45" xfId="0" applyFont="1" applyFill="1" applyBorder="1" applyAlignment="1" applyProtection="1">
      <alignment horizontal="center"/>
      <protection hidden="1"/>
    </xf>
    <xf numFmtId="0" fontId="19" fillId="2" borderId="45" xfId="0" applyFont="1" applyFill="1" applyBorder="1" applyAlignment="1" applyProtection="1">
      <alignment horizontal="center"/>
      <protection locked="0" hidden="1"/>
    </xf>
    <xf numFmtId="9" fontId="6" fillId="13" borderId="46" xfId="3" applyFont="1" applyFill="1" applyBorder="1" applyAlignment="1" applyProtection="1">
      <alignment horizontal="center" vertical="center"/>
      <protection locked="0" hidden="1"/>
    </xf>
    <xf numFmtId="9" fontId="6" fillId="13" borderId="47" xfId="3" applyFont="1" applyFill="1" applyBorder="1" applyAlignment="1" applyProtection="1">
      <alignment horizontal="center" vertical="center"/>
      <protection locked="0" hidden="1"/>
    </xf>
    <xf numFmtId="9" fontId="35" fillId="12" borderId="0" xfId="0" applyNumberFormat="1" applyFont="1" applyFill="1" applyAlignment="1" applyProtection="1">
      <alignment horizontal="center"/>
      <protection hidden="1"/>
    </xf>
    <xf numFmtId="9" fontId="6" fillId="13" borderId="48" xfId="3" applyFont="1" applyFill="1" applyBorder="1" applyAlignment="1" applyProtection="1">
      <alignment horizontal="center" vertical="center"/>
      <protection locked="0" hidden="1"/>
    </xf>
    <xf numFmtId="0" fontId="19" fillId="12" borderId="0" xfId="0" applyFont="1" applyFill="1" applyBorder="1" applyAlignment="1" applyProtection="1">
      <alignment horizontal="center"/>
      <protection hidden="1"/>
    </xf>
    <xf numFmtId="9" fontId="6" fillId="12" borderId="0" xfId="3" applyFont="1" applyFill="1" applyBorder="1" applyAlignment="1" applyProtection="1">
      <alignment horizontal="center" vertical="center"/>
      <protection locked="0" hidden="1"/>
    </xf>
    <xf numFmtId="0" fontId="7" fillId="6" borderId="19" xfId="0" applyFont="1" applyFill="1" applyBorder="1" applyProtection="1">
      <protection hidden="1"/>
    </xf>
    <xf numFmtId="0" fontId="25" fillId="6" borderId="19" xfId="0" applyFont="1" applyFill="1" applyBorder="1" applyProtection="1">
      <protection hidden="1"/>
    </xf>
    <xf numFmtId="0" fontId="25" fillId="6" borderId="19" xfId="0" applyFont="1" applyFill="1" applyBorder="1" applyAlignment="1" applyProtection="1">
      <alignment horizontal="center"/>
      <protection hidden="1"/>
    </xf>
    <xf numFmtId="0" fontId="7" fillId="6" borderId="0" xfId="0" applyFont="1" applyFill="1" applyProtection="1">
      <protection hidden="1"/>
    </xf>
    <xf numFmtId="0" fontId="8" fillId="6" borderId="0" xfId="0" applyFont="1" applyFill="1" applyAlignment="1" applyProtection="1">
      <alignment horizontal="center"/>
      <protection hidden="1"/>
    </xf>
    <xf numFmtId="0" fontId="7" fillId="6" borderId="0" xfId="0" applyFont="1" applyFill="1" applyAlignment="1" applyProtection="1">
      <alignment horizontal="center"/>
      <protection hidden="1"/>
    </xf>
    <xf numFmtId="0" fontId="8" fillId="6" borderId="0" xfId="0" applyFont="1" applyFill="1" applyProtection="1">
      <protection hidden="1"/>
    </xf>
    <xf numFmtId="0" fontId="10" fillId="14" borderId="49" xfId="0" applyFont="1" applyFill="1" applyBorder="1" applyAlignment="1" applyProtection="1">
      <alignment horizontal="center" vertical="center" wrapText="1"/>
      <protection hidden="1"/>
    </xf>
    <xf numFmtId="0" fontId="10" fillId="14" borderId="25" xfId="0" applyFont="1" applyFill="1" applyBorder="1" applyAlignment="1" applyProtection="1">
      <alignment horizontal="center" vertical="center" wrapText="1"/>
      <protection hidden="1"/>
    </xf>
    <xf numFmtId="0" fontId="10" fillId="14" borderId="26" xfId="0" applyFont="1" applyFill="1" applyBorder="1" applyAlignment="1" applyProtection="1">
      <alignment horizontal="center" vertical="center" wrapText="1"/>
      <protection hidden="1"/>
    </xf>
    <xf numFmtId="0" fontId="10" fillId="14" borderId="50" xfId="0" applyFont="1" applyFill="1" applyBorder="1" applyAlignment="1" applyProtection="1">
      <alignment horizontal="center" vertical="center" wrapText="1"/>
      <protection hidden="1"/>
    </xf>
    <xf numFmtId="9" fontId="8" fillId="13" borderId="49" xfId="0" applyNumberFormat="1" applyFont="1" applyFill="1" applyBorder="1" applyAlignment="1" applyProtection="1">
      <alignment horizontal="center"/>
      <protection hidden="1"/>
    </xf>
    <xf numFmtId="9" fontId="8" fillId="15" borderId="25" xfId="0" applyNumberFormat="1" applyFont="1" applyFill="1" applyBorder="1" applyAlignment="1" applyProtection="1">
      <alignment horizontal="center"/>
      <protection hidden="1"/>
    </xf>
    <xf numFmtId="9" fontId="8" fillId="15" borderId="26" xfId="0" applyNumberFormat="1" applyFont="1" applyFill="1" applyBorder="1" applyAlignment="1" applyProtection="1">
      <alignment horizontal="center"/>
      <protection hidden="1"/>
    </xf>
    <xf numFmtId="9" fontId="8" fillId="13" borderId="50" xfId="0" applyNumberFormat="1" applyFont="1" applyFill="1" applyBorder="1" applyAlignment="1" applyProtection="1">
      <alignment horizontal="center"/>
      <protection hidden="1"/>
    </xf>
    <xf numFmtId="9" fontId="8" fillId="13" borderId="25" xfId="0" applyNumberFormat="1" applyFont="1" applyFill="1" applyBorder="1" applyAlignment="1" applyProtection="1">
      <alignment horizontal="center"/>
      <protection hidden="1"/>
    </xf>
    <xf numFmtId="9" fontId="8" fillId="13" borderId="26" xfId="0" applyNumberFormat="1" applyFont="1" applyFill="1" applyBorder="1" applyAlignment="1" applyProtection="1">
      <alignment horizontal="center"/>
      <protection hidden="1"/>
    </xf>
    <xf numFmtId="9" fontId="8" fillId="13" borderId="51" xfId="0" applyNumberFormat="1" applyFont="1" applyFill="1" applyBorder="1" applyAlignment="1" applyProtection="1">
      <alignment horizontal="center"/>
      <protection hidden="1"/>
    </xf>
    <xf numFmtId="9" fontId="8" fillId="15" borderId="52" xfId="0" applyNumberFormat="1" applyFont="1" applyFill="1" applyBorder="1" applyAlignment="1" applyProtection="1">
      <alignment horizontal="center"/>
      <protection hidden="1"/>
    </xf>
    <xf numFmtId="9" fontId="8" fillId="15" borderId="53" xfId="0" applyNumberFormat="1" applyFont="1" applyFill="1" applyBorder="1" applyAlignment="1" applyProtection="1">
      <alignment horizontal="center"/>
      <protection hidden="1"/>
    </xf>
    <xf numFmtId="9" fontId="8" fillId="15" borderId="54" xfId="0" applyNumberFormat="1" applyFont="1" applyFill="1" applyBorder="1" applyAlignment="1" applyProtection="1">
      <alignment horizontal="center"/>
      <protection hidden="1"/>
    </xf>
    <xf numFmtId="9" fontId="8" fillId="13" borderId="52" xfId="0" applyNumberFormat="1" applyFont="1" applyFill="1" applyBorder="1" applyAlignment="1" applyProtection="1">
      <alignment horizontal="center"/>
      <protection hidden="1"/>
    </xf>
    <xf numFmtId="9" fontId="8" fillId="13" borderId="53" xfId="0" applyNumberFormat="1" applyFont="1" applyFill="1" applyBorder="1" applyAlignment="1" applyProtection="1">
      <alignment horizontal="center"/>
      <protection hidden="1"/>
    </xf>
    <xf numFmtId="9" fontId="8" fillId="13" borderId="54" xfId="0" applyNumberFormat="1" applyFont="1" applyFill="1" applyBorder="1" applyAlignment="1" applyProtection="1">
      <alignment horizontal="center"/>
      <protection hidden="1"/>
    </xf>
    <xf numFmtId="0" fontId="8" fillId="6" borderId="9" xfId="0" applyFont="1" applyFill="1" applyBorder="1" applyProtection="1">
      <protection hidden="1"/>
    </xf>
    <xf numFmtId="0" fontId="8" fillId="6" borderId="9" xfId="0" applyFont="1" applyFill="1" applyBorder="1" applyAlignment="1" applyProtection="1">
      <alignment horizontal="center"/>
      <protection hidden="1"/>
    </xf>
    <xf numFmtId="0" fontId="7" fillId="0" borderId="0" xfId="0" applyFont="1" applyAlignment="1" applyProtection="1">
      <alignment horizontal="center"/>
      <protection hidden="1"/>
    </xf>
    <xf numFmtId="0" fontId="8" fillId="0" borderId="0" xfId="0" applyFont="1" applyProtection="1">
      <protection hidden="1"/>
    </xf>
    <xf numFmtId="0" fontId="8" fillId="0" borderId="0" xfId="0" applyFont="1" applyAlignment="1" applyProtection="1">
      <alignment horizontal="center"/>
      <protection hidden="1"/>
    </xf>
    <xf numFmtId="0" fontId="10" fillId="2" borderId="0" xfId="0" applyFont="1" applyFill="1" applyProtection="1">
      <protection hidden="1"/>
    </xf>
    <xf numFmtId="0" fontId="11" fillId="2" borderId="0" xfId="0" applyFont="1" applyFill="1" applyProtection="1">
      <protection hidden="1"/>
    </xf>
    <xf numFmtId="9" fontId="13" fillId="2" borderId="0" xfId="0" applyNumberFormat="1" applyFont="1" applyFill="1" applyProtection="1">
      <protection hidden="1"/>
    </xf>
    <xf numFmtId="0" fontId="13" fillId="2" borderId="0" xfId="0" applyFont="1" applyFill="1" applyProtection="1">
      <protection hidden="1"/>
    </xf>
    <xf numFmtId="0" fontId="10" fillId="2" borderId="7" xfId="0" applyFont="1" applyFill="1" applyBorder="1" applyAlignment="1" applyProtection="1">
      <alignment horizontal="center"/>
      <protection hidden="1"/>
    </xf>
    <xf numFmtId="0" fontId="10" fillId="14" borderId="0" xfId="0" applyFont="1" applyFill="1" applyAlignment="1" applyProtection="1">
      <alignment horizontal="center"/>
      <protection hidden="1"/>
    </xf>
    <xf numFmtId="9" fontId="10" fillId="2" borderId="0" xfId="3" applyFont="1" applyFill="1" applyAlignment="1" applyProtection="1">
      <alignment horizontal="center"/>
      <protection hidden="1"/>
    </xf>
    <xf numFmtId="9" fontId="10" fillId="14" borderId="0" xfId="3" applyFont="1" applyFill="1" applyAlignment="1" applyProtection="1">
      <alignment horizontal="center"/>
      <protection hidden="1"/>
    </xf>
    <xf numFmtId="0" fontId="10" fillId="13" borderId="0" xfId="0" applyFont="1" applyFill="1" applyProtection="1">
      <protection hidden="1"/>
    </xf>
    <xf numFmtId="9" fontId="12" fillId="10" borderId="1" xfId="3" applyFont="1" applyFill="1" applyBorder="1" applyAlignment="1" applyProtection="1">
      <alignment horizontal="right"/>
      <protection locked="0" hidden="1"/>
    </xf>
    <xf numFmtId="0" fontId="10" fillId="2" borderId="0" xfId="0" applyFont="1" applyFill="1" applyAlignment="1" applyProtection="1">
      <alignment vertical="center"/>
      <protection hidden="1"/>
    </xf>
    <xf numFmtId="0" fontId="11" fillId="10" borderId="0" xfId="0" applyFont="1" applyFill="1" applyBorder="1" applyProtection="1">
      <protection hidden="1"/>
    </xf>
    <xf numFmtId="0" fontId="11" fillId="10" borderId="0" xfId="0" applyFont="1" applyFill="1" applyBorder="1" applyAlignment="1" applyProtection="1">
      <alignment horizontal="right"/>
      <protection hidden="1"/>
    </xf>
    <xf numFmtId="0" fontId="11" fillId="2" borderId="0" xfId="0" applyFont="1" applyFill="1" applyBorder="1" applyProtection="1">
      <protection hidden="1"/>
    </xf>
    <xf numFmtId="0" fontId="11" fillId="0" borderId="55" xfId="0" applyFont="1" applyBorder="1" applyAlignment="1" applyProtection="1">
      <alignment horizontal="center" vertical="center"/>
      <protection hidden="1"/>
    </xf>
    <xf numFmtId="0" fontId="11" fillId="0" borderId="56" xfId="0" applyFont="1" applyBorder="1" applyAlignment="1" applyProtection="1">
      <alignment horizontal="center" vertical="center"/>
      <protection hidden="1"/>
    </xf>
    <xf numFmtId="0" fontId="11" fillId="0" borderId="57" xfId="0" applyFont="1" applyBorder="1" applyAlignment="1" applyProtection="1">
      <alignment horizontal="center" vertical="center"/>
      <protection hidden="1"/>
    </xf>
    <xf numFmtId="0" fontId="11" fillId="0" borderId="58" xfId="0" applyFont="1" applyBorder="1" applyAlignment="1" applyProtection="1">
      <alignment horizontal="center" vertical="center"/>
      <protection hidden="1"/>
    </xf>
    <xf numFmtId="0" fontId="11" fillId="0" borderId="59" xfId="0" applyFont="1" applyBorder="1" applyAlignment="1" applyProtection="1">
      <alignment horizontal="center" vertical="center"/>
      <protection hidden="1"/>
    </xf>
    <xf numFmtId="0" fontId="11" fillId="13" borderId="60" xfId="0" applyFont="1" applyFill="1" applyBorder="1" applyProtection="1">
      <protection hidden="1"/>
    </xf>
    <xf numFmtId="0" fontId="11" fillId="0" borderId="61" xfId="0" applyFont="1" applyBorder="1" applyAlignment="1" applyProtection="1">
      <alignment horizontal="center" vertical="center"/>
      <protection hidden="1"/>
    </xf>
    <xf numFmtId="0" fontId="11" fillId="0" borderId="62" xfId="0" applyFont="1" applyBorder="1" applyAlignment="1" applyProtection="1">
      <alignment horizontal="center" vertical="center"/>
      <protection hidden="1"/>
    </xf>
    <xf numFmtId="0" fontId="11" fillId="0" borderId="63" xfId="0" applyFont="1" applyBorder="1" applyAlignment="1" applyProtection="1">
      <alignment horizontal="center" vertical="center"/>
      <protection hidden="1"/>
    </xf>
    <xf numFmtId="0" fontId="11" fillId="0" borderId="64" xfId="0" applyFont="1" applyBorder="1" applyAlignment="1" applyProtection="1">
      <alignment horizontal="center" vertical="center"/>
      <protection hidden="1"/>
    </xf>
    <xf numFmtId="0" fontId="11" fillId="0" borderId="65" xfId="0" applyFont="1" applyBorder="1" applyProtection="1">
      <protection hidden="1"/>
    </xf>
    <xf numFmtId="0" fontId="11" fillId="10" borderId="66" xfId="0" applyFont="1" applyFill="1" applyBorder="1" applyProtection="1">
      <protection locked="0" hidden="1"/>
    </xf>
    <xf numFmtId="0" fontId="11" fillId="10" borderId="67" xfId="0" applyFont="1" applyFill="1" applyBorder="1" applyProtection="1">
      <protection locked="0" hidden="1"/>
    </xf>
    <xf numFmtId="0" fontId="11" fillId="10" borderId="0" xfId="0" applyFont="1" applyFill="1" applyBorder="1" applyProtection="1">
      <protection locked="0" hidden="1"/>
    </xf>
    <xf numFmtId="0" fontId="11" fillId="10" borderId="68" xfId="0" applyFont="1" applyFill="1" applyBorder="1" applyProtection="1">
      <protection locked="0" hidden="1"/>
    </xf>
    <xf numFmtId="0" fontId="11" fillId="10" borderId="69" xfId="0" applyFont="1" applyFill="1" applyBorder="1" applyProtection="1">
      <protection locked="0" hidden="1"/>
    </xf>
    <xf numFmtId="0" fontId="11" fillId="10" borderId="70" xfId="0" applyFont="1" applyFill="1" applyBorder="1" applyProtection="1">
      <protection locked="0" hidden="1"/>
    </xf>
    <xf numFmtId="0" fontId="11" fillId="10" borderId="12" xfId="0" applyFont="1" applyFill="1" applyBorder="1" applyProtection="1">
      <protection locked="0" hidden="1"/>
    </xf>
    <xf numFmtId="0" fontId="11" fillId="10" borderId="71" xfId="0" applyFont="1" applyFill="1" applyBorder="1" applyProtection="1">
      <protection locked="0" hidden="1"/>
    </xf>
    <xf numFmtId="0" fontId="11" fillId="10" borderId="72" xfId="0" applyFont="1" applyFill="1" applyBorder="1" applyProtection="1">
      <protection locked="0" hidden="1"/>
    </xf>
    <xf numFmtId="0" fontId="11" fillId="10" borderId="73" xfId="0" applyFont="1" applyFill="1" applyBorder="1" applyProtection="1">
      <protection locked="0" hidden="1"/>
    </xf>
    <xf numFmtId="0" fontId="11" fillId="10" borderId="74" xfId="0" applyFont="1" applyFill="1" applyBorder="1" applyProtection="1">
      <protection locked="0" hidden="1"/>
    </xf>
    <xf numFmtId="0" fontId="11" fillId="10" borderId="75" xfId="0" applyFont="1" applyFill="1" applyBorder="1" applyProtection="1">
      <protection locked="0" hidden="1"/>
    </xf>
    <xf numFmtId="0" fontId="11" fillId="10" borderId="76" xfId="0" applyFont="1" applyFill="1" applyBorder="1" applyProtection="1">
      <protection locked="0" hidden="1"/>
    </xf>
    <xf numFmtId="0" fontId="8" fillId="6" borderId="0" xfId="0" applyFont="1" applyFill="1" applyAlignment="1" applyProtection="1">
      <alignment vertical="center"/>
      <protection hidden="1"/>
    </xf>
    <xf numFmtId="0" fontId="30" fillId="12" borderId="0" xfId="0" applyFont="1" applyFill="1" applyAlignment="1" applyProtection="1">
      <protection hidden="1"/>
    </xf>
    <xf numFmtId="0" fontId="25" fillId="12" borderId="0" xfId="0" applyFont="1" applyFill="1" applyAlignment="1" applyProtection="1">
      <protection hidden="1"/>
    </xf>
    <xf numFmtId="0" fontId="10" fillId="12" borderId="0" xfId="0" applyFont="1" applyFill="1" applyAlignment="1" applyProtection="1">
      <alignment horizontal="left" vertical="top"/>
      <protection hidden="1"/>
    </xf>
    <xf numFmtId="0" fontId="23" fillId="12" borderId="0" xfId="0" applyFont="1" applyFill="1" applyProtection="1">
      <protection hidden="1"/>
    </xf>
    <xf numFmtId="9" fontId="12" fillId="10" borderId="6" xfId="3" applyFont="1" applyFill="1" applyBorder="1" applyAlignment="1" applyProtection="1">
      <alignment horizontal="right"/>
      <protection locked="0" hidden="1"/>
    </xf>
    <xf numFmtId="0" fontId="11" fillId="0" borderId="77" xfId="0" applyFont="1" applyBorder="1" applyAlignment="1" applyProtection="1">
      <alignment horizontal="center" vertical="center"/>
      <protection hidden="1"/>
    </xf>
    <xf numFmtId="0" fontId="11" fillId="0" borderId="78" xfId="0" applyFont="1" applyBorder="1" applyAlignment="1" applyProtection="1">
      <alignment horizontal="center" vertical="center"/>
      <protection hidden="1"/>
    </xf>
    <xf numFmtId="0" fontId="11" fillId="0" borderId="79" xfId="0" applyFont="1" applyBorder="1" applyAlignment="1" applyProtection="1">
      <alignment horizontal="center" vertical="center"/>
      <protection hidden="1"/>
    </xf>
    <xf numFmtId="0" fontId="11" fillId="0" borderId="80" xfId="0" applyFont="1" applyBorder="1" applyProtection="1">
      <protection hidden="1"/>
    </xf>
    <xf numFmtId="0" fontId="11" fillId="13" borderId="81" xfId="0" applyFont="1" applyFill="1" applyBorder="1" applyProtection="1">
      <protection hidden="1"/>
    </xf>
    <xf numFmtId="0" fontId="32" fillId="2" borderId="15" xfId="0" applyFont="1" applyFill="1" applyBorder="1" applyAlignment="1" applyProtection="1">
      <protection hidden="1"/>
    </xf>
    <xf numFmtId="0" fontId="27" fillId="2" borderId="15" xfId="0" applyFont="1" applyFill="1" applyBorder="1" applyAlignment="1" applyProtection="1">
      <alignment horizontal="center"/>
      <protection hidden="1"/>
    </xf>
    <xf numFmtId="0" fontId="20" fillId="2" borderId="15" xfId="0" applyFont="1" applyFill="1" applyBorder="1" applyAlignment="1" applyProtection="1">
      <alignment wrapText="1"/>
      <protection hidden="1"/>
    </xf>
    <xf numFmtId="0" fontId="4" fillId="2" borderId="15" xfId="0" applyFont="1" applyFill="1" applyBorder="1" applyAlignment="1" applyProtection="1">
      <alignment wrapText="1"/>
      <protection hidden="1"/>
    </xf>
    <xf numFmtId="0" fontId="25" fillId="2" borderId="15" xfId="0" applyFont="1" applyFill="1" applyBorder="1" applyAlignment="1" applyProtection="1">
      <alignment horizontal="center"/>
      <protection hidden="1"/>
    </xf>
    <xf numFmtId="0" fontId="20" fillId="2" borderId="15" xfId="0" applyFont="1" applyFill="1" applyBorder="1" applyAlignment="1" applyProtection="1">
      <alignment horizontal="center" wrapText="1"/>
      <protection hidden="1"/>
    </xf>
    <xf numFmtId="0" fontId="4" fillId="2" borderId="15" xfId="0" applyFont="1" applyFill="1" applyBorder="1" applyAlignment="1" applyProtection="1">
      <alignment vertical="top" wrapText="1"/>
      <protection hidden="1"/>
    </xf>
    <xf numFmtId="0" fontId="38" fillId="2" borderId="15" xfId="0" applyFont="1" applyFill="1" applyBorder="1" applyAlignment="1" applyProtection="1">
      <alignment horizontal="center" vertical="top" wrapText="1"/>
      <protection hidden="1"/>
    </xf>
    <xf numFmtId="0" fontId="13" fillId="13" borderId="0" xfId="0" applyFont="1" applyFill="1" applyProtection="1">
      <protection hidden="1"/>
    </xf>
    <xf numFmtId="0" fontId="4" fillId="13" borderId="0" xfId="0" applyFont="1" applyFill="1" applyProtection="1">
      <protection hidden="1"/>
    </xf>
    <xf numFmtId="9" fontId="13" fillId="13" borderId="0" xfId="0" applyNumberFormat="1" applyFont="1" applyFill="1" applyProtection="1">
      <protection hidden="1"/>
    </xf>
    <xf numFmtId="0" fontId="7" fillId="2" borderId="82" xfId="0" applyFont="1" applyFill="1" applyBorder="1" applyAlignment="1" applyProtection="1">
      <alignment horizontal="center"/>
      <protection hidden="1"/>
    </xf>
    <xf numFmtId="0" fontId="7" fillId="2" borderId="19" xfId="0" applyFont="1" applyFill="1" applyBorder="1" applyAlignment="1" applyProtection="1">
      <alignment horizontal="center"/>
      <protection hidden="1"/>
    </xf>
    <xf numFmtId="0" fontId="7" fillId="2" borderId="19" xfId="0" applyFont="1" applyFill="1" applyBorder="1" applyProtection="1">
      <protection hidden="1"/>
    </xf>
    <xf numFmtId="0" fontId="10" fillId="2" borderId="19" xfId="0" applyFont="1" applyFill="1" applyBorder="1" applyAlignment="1" applyProtection="1">
      <alignment horizontal="center"/>
      <protection hidden="1"/>
    </xf>
    <xf numFmtId="0" fontId="13" fillId="2" borderId="83" xfId="0" applyFont="1" applyFill="1" applyBorder="1" applyProtection="1">
      <protection hidden="1"/>
    </xf>
    <xf numFmtId="0" fontId="13" fillId="2" borderId="84" xfId="0" applyFont="1" applyFill="1" applyBorder="1" applyProtection="1">
      <protection hidden="1"/>
    </xf>
    <xf numFmtId="0" fontId="16" fillId="2" borderId="0" xfId="0" applyFont="1" applyFill="1" applyBorder="1" applyProtection="1">
      <protection hidden="1"/>
    </xf>
    <xf numFmtId="0" fontId="22" fillId="3" borderId="0" xfId="0" applyFont="1" applyFill="1" applyBorder="1" applyProtection="1">
      <protection hidden="1"/>
    </xf>
    <xf numFmtId="0" fontId="22" fillId="2" borderId="0" xfId="0" applyFont="1" applyFill="1" applyBorder="1" applyProtection="1">
      <protection hidden="1"/>
    </xf>
    <xf numFmtId="9" fontId="13" fillId="2" borderId="0" xfId="0" applyNumberFormat="1" applyFont="1" applyFill="1" applyBorder="1" applyProtection="1">
      <protection hidden="1"/>
    </xf>
    <xf numFmtId="0" fontId="13" fillId="2" borderId="0" xfId="0" applyFont="1" applyFill="1" applyBorder="1" applyProtection="1">
      <protection hidden="1"/>
    </xf>
    <xf numFmtId="9" fontId="13" fillId="2" borderId="10" xfId="0" applyNumberFormat="1" applyFont="1" applyFill="1" applyBorder="1" applyProtection="1">
      <protection hidden="1"/>
    </xf>
    <xf numFmtId="0" fontId="13" fillId="2" borderId="10" xfId="0" applyFont="1" applyFill="1" applyBorder="1" applyProtection="1">
      <protection hidden="1"/>
    </xf>
    <xf numFmtId="0" fontId="13" fillId="2" borderId="85" xfId="0" applyFont="1" applyFill="1" applyBorder="1" applyProtection="1">
      <protection hidden="1"/>
    </xf>
    <xf numFmtId="0" fontId="25" fillId="2" borderId="82" xfId="0" applyFont="1" applyFill="1" applyBorder="1" applyAlignment="1" applyProtection="1">
      <alignment horizontal="center"/>
      <protection hidden="1"/>
    </xf>
    <xf numFmtId="0" fontId="13" fillId="2" borderId="19" xfId="0" applyFont="1" applyFill="1" applyBorder="1" applyProtection="1">
      <protection hidden="1"/>
    </xf>
    <xf numFmtId="0" fontId="9" fillId="13" borderId="0" xfId="0" applyFont="1" applyFill="1" applyAlignment="1" applyProtection="1">
      <alignment horizontal="center"/>
      <protection hidden="1"/>
    </xf>
    <xf numFmtId="0" fontId="9" fillId="13" borderId="15" xfId="0" applyFont="1" applyFill="1" applyBorder="1" applyAlignment="1" applyProtection="1">
      <alignment horizontal="center"/>
      <protection hidden="1"/>
    </xf>
    <xf numFmtId="0" fontId="9" fillId="13" borderId="16" xfId="0" applyFont="1" applyFill="1" applyBorder="1" applyAlignment="1" applyProtection="1">
      <alignment horizontal="center"/>
      <protection hidden="1"/>
    </xf>
    <xf numFmtId="0" fontId="9" fillId="13" borderId="10" xfId="0" applyFont="1" applyFill="1" applyBorder="1" applyAlignment="1" applyProtection="1">
      <alignment horizontal="center"/>
      <protection hidden="1"/>
    </xf>
    <xf numFmtId="0" fontId="9" fillId="13" borderId="10" xfId="0" applyFont="1" applyFill="1" applyBorder="1" applyProtection="1">
      <protection hidden="1"/>
    </xf>
    <xf numFmtId="0" fontId="9" fillId="13" borderId="0" xfId="0" applyFont="1" applyFill="1" applyBorder="1" applyAlignment="1" applyProtection="1">
      <alignment horizontal="center"/>
      <protection hidden="1"/>
    </xf>
    <xf numFmtId="0" fontId="9" fillId="13" borderId="0" xfId="0" applyFont="1" applyFill="1" applyBorder="1" applyProtection="1">
      <protection hidden="1"/>
    </xf>
    <xf numFmtId="0" fontId="47" fillId="13" borderId="0" xfId="0" applyFont="1" applyFill="1" applyBorder="1" applyProtection="1">
      <protection hidden="1"/>
    </xf>
    <xf numFmtId="0" fontId="19" fillId="13" borderId="0" xfId="0" applyFont="1" applyFill="1" applyBorder="1" applyProtection="1">
      <protection hidden="1"/>
    </xf>
    <xf numFmtId="0" fontId="8" fillId="6" borderId="0" xfId="0" applyFont="1" applyFill="1" applyAlignment="1" applyProtection="1">
      <alignment horizontal="center" vertical="center"/>
      <protection hidden="1"/>
    </xf>
    <xf numFmtId="0" fontId="7" fillId="6" borderId="0" xfId="0" applyFont="1" applyFill="1" applyAlignment="1" applyProtection="1">
      <alignment horizontal="center" vertical="center"/>
      <protection hidden="1"/>
    </xf>
    <xf numFmtId="0" fontId="7" fillId="6" borderId="0" xfId="0" applyFont="1" applyFill="1" applyAlignment="1" applyProtection="1">
      <alignment vertical="center"/>
      <protection hidden="1"/>
    </xf>
    <xf numFmtId="0" fontId="18" fillId="6" borderId="0" xfId="0" applyFont="1" applyFill="1" applyAlignment="1" applyProtection="1">
      <alignment vertical="center"/>
      <protection hidden="1"/>
    </xf>
    <xf numFmtId="0" fontId="18" fillId="6" borderId="0" xfId="0" applyFont="1" applyFill="1" applyAlignment="1" applyProtection="1">
      <alignment horizontal="center" vertical="center"/>
      <protection hidden="1"/>
    </xf>
    <xf numFmtId="0" fontId="18"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protection hidden="1"/>
    </xf>
    <xf numFmtId="0" fontId="19" fillId="2" borderId="1" xfId="0" applyFont="1" applyFill="1" applyBorder="1" applyAlignment="1" applyProtection="1">
      <alignment horizontal="center" vertical="center"/>
      <protection hidden="1"/>
    </xf>
    <xf numFmtId="0" fontId="6" fillId="13" borderId="86" xfId="0" applyFont="1" applyFill="1" applyBorder="1" applyAlignment="1" applyProtection="1">
      <alignment horizontal="center" vertical="center"/>
      <protection hidden="1"/>
    </xf>
    <xf numFmtId="166" fontId="6" fillId="13" borderId="86" xfId="0" applyNumberFormat="1" applyFont="1" applyFill="1" applyBorder="1" applyAlignment="1" applyProtection="1">
      <alignment horizontal="center" vertical="center"/>
      <protection hidden="1"/>
    </xf>
    <xf numFmtId="166" fontId="19" fillId="2" borderId="1" xfId="0" applyNumberFormat="1" applyFont="1" applyFill="1" applyBorder="1" applyAlignment="1" applyProtection="1">
      <alignment horizontal="center" vertical="center"/>
      <protection hidden="1"/>
    </xf>
    <xf numFmtId="0" fontId="19" fillId="16" borderId="7" xfId="0" applyFont="1" applyFill="1" applyBorder="1" applyAlignment="1" applyProtection="1">
      <alignment vertical="center"/>
      <protection hidden="1"/>
    </xf>
    <xf numFmtId="0" fontId="19" fillId="16" borderId="7" xfId="0" applyFont="1" applyFill="1" applyBorder="1" applyAlignment="1" applyProtection="1">
      <alignment horizontal="center" vertical="center"/>
      <protection hidden="1"/>
    </xf>
    <xf numFmtId="0" fontId="19" fillId="16" borderId="7" xfId="0" applyFont="1" applyFill="1" applyBorder="1" applyAlignment="1" applyProtection="1">
      <alignment horizontal="left" vertical="center"/>
      <protection hidden="1"/>
    </xf>
    <xf numFmtId="0" fontId="10" fillId="13" borderId="0" xfId="0" applyFont="1" applyFill="1" applyAlignment="1" applyProtection="1">
      <alignment horizontal="center"/>
      <protection hidden="1"/>
    </xf>
    <xf numFmtId="3" fontId="8" fillId="13" borderId="49" xfId="3" applyNumberFormat="1" applyFont="1" applyFill="1" applyBorder="1" applyAlignment="1" applyProtection="1">
      <alignment horizontal="center"/>
      <protection hidden="1"/>
    </xf>
    <xf numFmtId="3" fontId="8" fillId="15" borderId="25" xfId="3" applyNumberFormat="1" applyFont="1" applyFill="1" applyBorder="1" applyAlignment="1" applyProtection="1">
      <alignment horizontal="center"/>
      <protection hidden="1"/>
    </xf>
    <xf numFmtId="3" fontId="8" fillId="15" borderId="26" xfId="3" applyNumberFormat="1" applyFont="1" applyFill="1" applyBorder="1" applyAlignment="1" applyProtection="1">
      <alignment horizontal="center"/>
      <protection hidden="1"/>
    </xf>
    <xf numFmtId="3" fontId="8" fillId="13" borderId="50" xfId="3" applyNumberFormat="1" applyFont="1" applyFill="1" applyBorder="1" applyAlignment="1" applyProtection="1">
      <alignment horizontal="center"/>
      <protection hidden="1"/>
    </xf>
    <xf numFmtId="3" fontId="8" fillId="13" borderId="25" xfId="3" applyNumberFormat="1" applyFont="1" applyFill="1" applyBorder="1" applyAlignment="1" applyProtection="1">
      <alignment horizontal="center"/>
      <protection hidden="1"/>
    </xf>
    <xf numFmtId="3" fontId="8" fillId="13" borderId="26" xfId="3" applyNumberFormat="1" applyFont="1" applyFill="1" applyBorder="1" applyAlignment="1" applyProtection="1">
      <alignment horizontal="center"/>
      <protection hidden="1"/>
    </xf>
    <xf numFmtId="3" fontId="8" fillId="13" borderId="51" xfId="3" applyNumberFormat="1" applyFont="1" applyFill="1" applyBorder="1" applyAlignment="1" applyProtection="1">
      <alignment horizontal="center"/>
      <protection hidden="1"/>
    </xf>
    <xf numFmtId="3" fontId="8" fillId="15" borderId="52" xfId="3" applyNumberFormat="1" applyFont="1" applyFill="1" applyBorder="1" applyAlignment="1" applyProtection="1">
      <alignment horizontal="center"/>
      <protection hidden="1"/>
    </xf>
    <xf numFmtId="3" fontId="8" fillId="15" borderId="53" xfId="3" applyNumberFormat="1" applyFont="1" applyFill="1" applyBorder="1" applyAlignment="1" applyProtection="1">
      <alignment horizontal="center"/>
      <protection hidden="1"/>
    </xf>
    <xf numFmtId="3" fontId="8" fillId="15" borderId="54" xfId="3" applyNumberFormat="1" applyFont="1" applyFill="1" applyBorder="1" applyAlignment="1" applyProtection="1">
      <alignment horizontal="center"/>
      <protection hidden="1"/>
    </xf>
    <xf numFmtId="0" fontId="18" fillId="10" borderId="74" xfId="0" applyFont="1" applyFill="1" applyBorder="1" applyAlignment="1" applyProtection="1">
      <alignment vertical="center"/>
      <protection locked="0" hidden="1"/>
    </xf>
    <xf numFmtId="0" fontId="7" fillId="13" borderId="15" xfId="0" applyFont="1" applyFill="1" applyBorder="1" applyAlignment="1" applyProtection="1">
      <alignment horizontal="center"/>
      <protection hidden="1"/>
    </xf>
    <xf numFmtId="0" fontId="10" fillId="13" borderId="0" xfId="0" applyFont="1" applyFill="1" applyAlignment="1" applyProtection="1">
      <alignment vertical="center"/>
      <protection hidden="1"/>
    </xf>
    <xf numFmtId="0" fontId="11" fillId="13" borderId="0" xfId="0" applyFont="1" applyFill="1" applyProtection="1">
      <protection hidden="1"/>
    </xf>
    <xf numFmtId="0" fontId="13" fillId="13" borderId="83" xfId="0" applyFont="1" applyFill="1" applyBorder="1" applyProtection="1">
      <protection hidden="1"/>
    </xf>
    <xf numFmtId="0" fontId="43" fillId="2" borderId="70" xfId="0" applyFont="1" applyFill="1" applyBorder="1" applyAlignment="1" applyProtection="1">
      <alignment horizontal="center" vertical="center"/>
      <protection locked="0" hidden="1"/>
    </xf>
    <xf numFmtId="0" fontId="9" fillId="2" borderId="0" xfId="0" applyFont="1" applyFill="1" applyAlignment="1" applyProtection="1">
      <protection hidden="1"/>
    </xf>
    <xf numFmtId="9" fontId="13" fillId="2" borderId="0" xfId="0" applyNumberFormat="1" applyFont="1" applyFill="1" applyAlignment="1" applyProtection="1">
      <protection hidden="1"/>
    </xf>
    <xf numFmtId="0" fontId="13" fillId="2" borderId="0" xfId="0" applyFont="1" applyFill="1" applyAlignment="1" applyProtection="1">
      <protection hidden="1"/>
    </xf>
    <xf numFmtId="0" fontId="51" fillId="2" borderId="0" xfId="0" applyFont="1" applyFill="1" applyAlignment="1" applyProtection="1">
      <protection hidden="1"/>
    </xf>
    <xf numFmtId="1" fontId="7" fillId="0" borderId="0" xfId="0" applyNumberFormat="1" applyFont="1" applyProtection="1">
      <protection hidden="1"/>
    </xf>
    <xf numFmtId="0" fontId="7" fillId="0" borderId="0" xfId="0" applyFont="1" applyBorder="1" applyProtection="1">
      <protection hidden="1"/>
    </xf>
    <xf numFmtId="0" fontId="7" fillId="0" borderId="14" xfId="0" applyFont="1" applyBorder="1" applyProtection="1">
      <protection hidden="1"/>
    </xf>
    <xf numFmtId="1" fontId="7" fillId="2" borderId="0" xfId="0" applyNumberFormat="1" applyFont="1" applyFill="1" applyProtection="1">
      <protection hidden="1"/>
    </xf>
    <xf numFmtId="0" fontId="7" fillId="2" borderId="14" xfId="0" applyFont="1" applyFill="1" applyBorder="1" applyProtection="1">
      <protection hidden="1"/>
    </xf>
    <xf numFmtId="0" fontId="7" fillId="2" borderId="0" xfId="0" applyFont="1" applyFill="1" applyBorder="1" applyAlignment="1" applyProtection="1">
      <protection hidden="1"/>
    </xf>
    <xf numFmtId="0" fontId="8" fillId="2" borderId="0" xfId="0" applyFont="1" applyFill="1" applyProtection="1">
      <protection hidden="1"/>
    </xf>
    <xf numFmtId="0" fontId="7" fillId="17" borderId="0" xfId="0" applyFont="1" applyFill="1" applyBorder="1" applyAlignment="1" applyProtection="1">
      <protection hidden="1"/>
    </xf>
    <xf numFmtId="0" fontId="7" fillId="17" borderId="0" xfId="0" applyFont="1" applyFill="1" applyBorder="1" applyProtection="1">
      <protection hidden="1"/>
    </xf>
    <xf numFmtId="0" fontId="7" fillId="17" borderId="0" xfId="0" applyFont="1" applyFill="1" applyProtection="1">
      <protection hidden="1"/>
    </xf>
    <xf numFmtId="0" fontId="7" fillId="16" borderId="0" xfId="0" applyFont="1" applyFill="1" applyBorder="1" applyProtection="1">
      <protection hidden="1"/>
    </xf>
    <xf numFmtId="0" fontId="7" fillId="16" borderId="0" xfId="0" applyFont="1" applyFill="1" applyProtection="1">
      <protection hidden="1"/>
    </xf>
    <xf numFmtId="0" fontId="22" fillId="16" borderId="0" xfId="0" applyFont="1" applyFill="1" applyProtection="1">
      <protection hidden="1"/>
    </xf>
    <xf numFmtId="0" fontId="29" fillId="16" borderId="0" xfId="3" applyNumberFormat="1" applyFont="1" applyFill="1"/>
    <xf numFmtId="9" fontId="29" fillId="16" borderId="0" xfId="3" applyFont="1" applyFill="1"/>
    <xf numFmtId="0" fontId="29" fillId="16" borderId="0" xfId="0" applyFont="1" applyFill="1"/>
    <xf numFmtId="0" fontId="58" fillId="2" borderId="0" xfId="0" applyFont="1" applyFill="1" applyAlignment="1" applyProtection="1">
      <alignment vertical="center"/>
      <protection hidden="1"/>
    </xf>
    <xf numFmtId="0" fontId="59" fillId="16" borderId="0" xfId="0" applyFont="1" applyFill="1" applyBorder="1" applyAlignment="1" applyProtection="1">
      <alignment horizontal="center"/>
      <protection hidden="1"/>
    </xf>
    <xf numFmtId="0" fontId="18" fillId="16" borderId="0" xfId="0" applyFont="1" applyFill="1" applyBorder="1" applyAlignment="1" applyProtection="1">
      <alignment horizontal="center"/>
      <protection hidden="1"/>
    </xf>
    <xf numFmtId="9" fontId="18" fillId="16" borderId="0" xfId="0" applyNumberFormat="1" applyFont="1" applyFill="1" applyBorder="1" applyAlignment="1" applyProtection="1">
      <alignment horizontal="center"/>
      <protection hidden="1"/>
    </xf>
    <xf numFmtId="3" fontId="18" fillId="16" borderId="0" xfId="0" applyNumberFormat="1" applyFont="1" applyFill="1" applyBorder="1" applyAlignment="1" applyProtection="1">
      <alignment horizontal="center"/>
      <protection hidden="1"/>
    </xf>
    <xf numFmtId="9" fontId="6" fillId="12" borderId="0" xfId="3" applyFont="1" applyFill="1" applyBorder="1" applyAlignment="1" applyProtection="1">
      <alignment horizontal="center" vertical="center"/>
      <protection hidden="1"/>
    </xf>
    <xf numFmtId="9" fontId="8" fillId="13" borderId="17" xfId="0" applyNumberFormat="1" applyFont="1" applyFill="1" applyBorder="1" applyAlignment="1" applyProtection="1">
      <alignment horizontal="center"/>
      <protection hidden="1"/>
    </xf>
    <xf numFmtId="9" fontId="8" fillId="13" borderId="87" xfId="0" applyNumberFormat="1" applyFont="1" applyFill="1" applyBorder="1" applyAlignment="1" applyProtection="1">
      <alignment horizontal="center"/>
      <protection hidden="1"/>
    </xf>
    <xf numFmtId="9" fontId="8" fillId="13" borderId="88" xfId="0" applyNumberFormat="1" applyFont="1" applyFill="1" applyBorder="1" applyAlignment="1" applyProtection="1">
      <alignment horizontal="center"/>
      <protection hidden="1"/>
    </xf>
    <xf numFmtId="9" fontId="8" fillId="13" borderId="89" xfId="0" applyNumberFormat="1" applyFont="1" applyFill="1" applyBorder="1" applyAlignment="1" applyProtection="1">
      <alignment horizontal="center"/>
      <protection hidden="1"/>
    </xf>
    <xf numFmtId="9" fontId="8" fillId="13" borderId="28" xfId="0" applyNumberFormat="1" applyFont="1" applyFill="1" applyBorder="1" applyAlignment="1" applyProtection="1">
      <alignment horizontal="center"/>
      <protection hidden="1"/>
    </xf>
    <xf numFmtId="0" fontId="45" fillId="6" borderId="0" xfId="0" applyFont="1" applyFill="1" applyProtection="1">
      <protection hidden="1"/>
    </xf>
    <xf numFmtId="0" fontId="23" fillId="2" borderId="0" xfId="0" applyFont="1" applyFill="1" applyAlignment="1" applyProtection="1">
      <alignment horizontal="left"/>
      <protection hidden="1"/>
    </xf>
    <xf numFmtId="0" fontId="2" fillId="12" borderId="0" xfId="0" applyFont="1" applyFill="1" applyBorder="1" applyAlignment="1" applyProtection="1">
      <alignment horizontal="center" vertical="top" wrapText="1"/>
      <protection hidden="1"/>
    </xf>
    <xf numFmtId="0" fontId="50" fillId="12" borderId="0" xfId="0" applyFont="1" applyFill="1" applyBorder="1" applyAlignment="1" applyProtection="1">
      <alignment vertical="top" wrapText="1"/>
      <protection hidden="1"/>
    </xf>
    <xf numFmtId="0" fontId="30" fillId="12" borderId="0" xfId="0" applyFont="1" applyFill="1" applyBorder="1" applyAlignment="1" applyProtection="1">
      <alignment vertical="center"/>
      <protection hidden="1"/>
    </xf>
    <xf numFmtId="0" fontId="25" fillId="12" borderId="0" xfId="0" applyFont="1" applyFill="1" applyBorder="1" applyProtection="1">
      <protection hidden="1"/>
    </xf>
    <xf numFmtId="0" fontId="25" fillId="12" borderId="0" xfId="0" applyFont="1" applyFill="1" applyBorder="1" applyAlignment="1" applyProtection="1">
      <alignment horizontal="center"/>
      <protection hidden="1"/>
    </xf>
    <xf numFmtId="0" fontId="2" fillId="12" borderId="84" xfId="0" applyFont="1" applyFill="1" applyBorder="1" applyAlignment="1" applyProtection="1">
      <alignment horizontal="center" vertical="top" wrapText="1"/>
      <protection hidden="1"/>
    </xf>
    <xf numFmtId="0" fontId="9" fillId="6" borderId="0" xfId="0" applyFont="1" applyFill="1" applyProtection="1">
      <protection hidden="1"/>
    </xf>
    <xf numFmtId="0" fontId="10" fillId="6" borderId="0" xfId="0" applyFont="1" applyFill="1" applyProtection="1">
      <protection hidden="1"/>
    </xf>
    <xf numFmtId="0" fontId="10" fillId="6" borderId="0" xfId="0" applyFont="1" applyFill="1" applyAlignment="1" applyProtection="1">
      <alignment horizontal="center"/>
      <protection hidden="1"/>
    </xf>
    <xf numFmtId="0" fontId="9" fillId="6" borderId="0" xfId="0" applyFont="1" applyFill="1" applyAlignment="1" applyProtection="1">
      <alignment horizontal="center"/>
      <protection hidden="1"/>
    </xf>
    <xf numFmtId="165" fontId="6" fillId="13" borderId="45" xfId="3" applyNumberFormat="1" applyFont="1" applyFill="1" applyBorder="1" applyAlignment="1" applyProtection="1">
      <alignment horizontal="center" vertical="center"/>
      <protection locked="0" hidden="1"/>
    </xf>
    <xf numFmtId="0" fontId="8" fillId="2" borderId="15" xfId="0" applyFont="1" applyFill="1" applyBorder="1" applyAlignment="1" applyProtection="1">
      <alignment horizontal="center"/>
      <protection hidden="1"/>
    </xf>
    <xf numFmtId="9" fontId="8" fillId="2" borderId="15" xfId="0" applyNumberFormat="1" applyFont="1" applyFill="1" applyBorder="1" applyAlignment="1" applyProtection="1">
      <alignment horizontal="center"/>
      <protection hidden="1"/>
    </xf>
    <xf numFmtId="0" fontId="21" fillId="2" borderId="15" xfId="0" applyFont="1" applyFill="1" applyBorder="1" applyAlignment="1" applyProtection="1">
      <alignment vertical="top" wrapText="1"/>
      <protection hidden="1"/>
    </xf>
    <xf numFmtId="0" fontId="20" fillId="12" borderId="0" xfId="0" applyFont="1" applyFill="1" applyAlignment="1" applyProtection="1">
      <alignment horizontal="center" wrapText="1"/>
      <protection hidden="1"/>
    </xf>
    <xf numFmtId="0" fontId="10" fillId="12" borderId="0" xfId="0" applyFont="1" applyFill="1" applyAlignment="1" applyProtection="1">
      <alignment horizontal="center"/>
      <protection hidden="1"/>
    </xf>
    <xf numFmtId="0" fontId="9" fillId="16" borderId="0" xfId="0" applyFont="1" applyFill="1" applyBorder="1" applyProtection="1">
      <protection hidden="1"/>
    </xf>
    <xf numFmtId="0" fontId="9" fillId="16" borderId="0" xfId="0" applyFont="1" applyFill="1" applyProtection="1">
      <protection hidden="1"/>
    </xf>
    <xf numFmtId="0" fontId="41" fillId="16" borderId="0" xfId="0" applyFont="1" applyFill="1" applyBorder="1" applyAlignment="1" applyProtection="1">
      <alignment horizontal="center"/>
      <protection hidden="1"/>
    </xf>
    <xf numFmtId="9" fontId="10" fillId="16" borderId="0" xfId="0" applyNumberFormat="1" applyFont="1" applyFill="1" applyBorder="1" applyAlignment="1" applyProtection="1">
      <alignment horizontal="center"/>
      <protection hidden="1"/>
    </xf>
    <xf numFmtId="0" fontId="7" fillId="16" borderId="19" xfId="0" applyFont="1" applyFill="1" applyBorder="1" applyProtection="1">
      <protection hidden="1"/>
    </xf>
    <xf numFmtId="0" fontId="22" fillId="16" borderId="0" xfId="0" applyFont="1" applyFill="1" applyAlignment="1" applyProtection="1">
      <alignment horizontal="center"/>
      <protection hidden="1"/>
    </xf>
    <xf numFmtId="0" fontId="18" fillId="16" borderId="0" xfId="0" applyFont="1" applyFill="1" applyAlignment="1" applyProtection="1">
      <alignment horizontal="center"/>
      <protection hidden="1"/>
    </xf>
    <xf numFmtId="9" fontId="18" fillId="16" borderId="0" xfId="3" applyFont="1" applyFill="1" applyAlignment="1" applyProtection="1">
      <alignment horizontal="center"/>
      <protection hidden="1"/>
    </xf>
    <xf numFmtId="9" fontId="60" fillId="16" borderId="0" xfId="3" applyFont="1" applyFill="1" applyAlignment="1" applyProtection="1">
      <alignment horizontal="center"/>
      <protection hidden="1"/>
    </xf>
    <xf numFmtId="0" fontId="22" fillId="16" borderId="19" xfId="0" applyFont="1" applyFill="1" applyBorder="1" applyProtection="1">
      <protection hidden="1"/>
    </xf>
    <xf numFmtId="9" fontId="22" fillId="16" borderId="0" xfId="0" applyNumberFormat="1" applyFont="1" applyFill="1" applyAlignment="1" applyProtection="1">
      <alignment horizontal="center"/>
      <protection hidden="1"/>
    </xf>
    <xf numFmtId="9" fontId="22" fillId="16" borderId="0" xfId="0" applyNumberFormat="1" applyFont="1" applyFill="1" applyProtection="1">
      <protection hidden="1"/>
    </xf>
    <xf numFmtId="1" fontId="7" fillId="16" borderId="0" xfId="0" applyNumberFormat="1" applyFont="1" applyFill="1" applyProtection="1">
      <protection hidden="1"/>
    </xf>
    <xf numFmtId="0" fontId="0" fillId="2" borderId="0" xfId="0" applyFill="1"/>
    <xf numFmtId="0" fontId="61" fillId="6" borderId="0" xfId="0" applyFont="1" applyFill="1" applyAlignment="1" applyProtection="1">
      <alignment horizontal="center" vertical="center"/>
      <protection hidden="1"/>
    </xf>
    <xf numFmtId="0" fontId="62" fillId="2" borderId="0" xfId="0" applyFont="1" applyFill="1" applyProtection="1">
      <protection hidden="1"/>
    </xf>
    <xf numFmtId="0" fontId="7" fillId="13" borderId="19" xfId="0" applyFont="1" applyFill="1" applyBorder="1" applyProtection="1">
      <protection hidden="1"/>
    </xf>
    <xf numFmtId="1" fontId="7" fillId="13" borderId="0" xfId="0" applyNumberFormat="1" applyFont="1" applyFill="1" applyProtection="1">
      <protection hidden="1"/>
    </xf>
    <xf numFmtId="0" fontId="7" fillId="13" borderId="0" xfId="0" applyFont="1" applyFill="1" applyBorder="1" applyProtection="1">
      <protection hidden="1"/>
    </xf>
    <xf numFmtId="9" fontId="10" fillId="2" borderId="0" xfId="0" applyNumberFormat="1" applyFont="1" applyFill="1" applyProtection="1">
      <protection hidden="1"/>
    </xf>
    <xf numFmtId="0" fontId="23" fillId="2" borderId="90" xfId="0" applyFont="1" applyFill="1" applyBorder="1" applyAlignment="1">
      <alignment horizontal="centerContinuous"/>
    </xf>
    <xf numFmtId="0" fontId="10" fillId="2" borderId="0" xfId="0" applyFont="1" applyFill="1" applyBorder="1" applyAlignment="1"/>
    <xf numFmtId="0" fontId="10" fillId="2" borderId="72" xfId="0" applyFont="1" applyFill="1" applyBorder="1" applyAlignment="1"/>
    <xf numFmtId="0" fontId="23" fillId="2" borderId="90" xfId="0" applyFont="1" applyFill="1" applyBorder="1" applyAlignment="1">
      <alignment horizontal="center"/>
    </xf>
    <xf numFmtId="0" fontId="57" fillId="2" borderId="0" xfId="0" applyFont="1" applyFill="1" applyBorder="1" applyAlignment="1"/>
    <xf numFmtId="1" fontId="10" fillId="13" borderId="0" xfId="0" applyNumberFormat="1" applyFont="1" applyFill="1" applyProtection="1">
      <protection hidden="1"/>
    </xf>
    <xf numFmtId="0" fontId="9" fillId="13" borderId="14" xfId="0" applyFont="1" applyFill="1" applyBorder="1"/>
    <xf numFmtId="9" fontId="9" fillId="13" borderId="0" xfId="3" applyFont="1" applyFill="1" applyProtection="1">
      <protection hidden="1"/>
    </xf>
    <xf numFmtId="0" fontId="10" fillId="13" borderId="14" xfId="0" applyFont="1" applyFill="1" applyBorder="1"/>
    <xf numFmtId="9" fontId="10" fillId="13" borderId="0" xfId="3" applyFont="1" applyFill="1" applyProtection="1">
      <protection hidden="1"/>
    </xf>
    <xf numFmtId="0" fontId="10" fillId="13" borderId="0" xfId="0" applyFont="1" applyFill="1" applyBorder="1" applyProtection="1">
      <protection hidden="1"/>
    </xf>
    <xf numFmtId="9" fontId="10" fillId="13" borderId="0" xfId="0" applyNumberFormat="1" applyFont="1" applyFill="1" applyProtection="1">
      <protection hidden="1"/>
    </xf>
    <xf numFmtId="9" fontId="7" fillId="13" borderId="0" xfId="0" applyNumberFormat="1" applyFont="1" applyFill="1" applyProtection="1">
      <protection hidden="1"/>
    </xf>
    <xf numFmtId="0" fontId="56" fillId="13" borderId="0" xfId="0" applyFont="1" applyFill="1" applyBorder="1" applyAlignment="1" applyProtection="1">
      <alignment horizontal="centerContinuous"/>
      <protection hidden="1"/>
    </xf>
    <xf numFmtId="0" fontId="9" fillId="13" borderId="0" xfId="0" applyFont="1" applyFill="1" applyBorder="1" applyAlignment="1" applyProtection="1">
      <protection hidden="1"/>
    </xf>
    <xf numFmtId="0" fontId="56" fillId="13" borderId="0" xfId="0" applyFont="1" applyFill="1" applyBorder="1" applyAlignment="1" applyProtection="1">
      <alignment horizontal="center"/>
      <protection hidden="1"/>
    </xf>
    <xf numFmtId="0" fontId="9" fillId="13" borderId="14" xfId="0" applyFont="1" applyFill="1" applyBorder="1" applyProtection="1">
      <protection hidden="1"/>
    </xf>
    <xf numFmtId="0" fontId="7" fillId="13" borderId="14" xfId="0" applyFont="1" applyFill="1" applyBorder="1" applyProtection="1">
      <protection hidden="1"/>
    </xf>
    <xf numFmtId="0" fontId="7" fillId="13" borderId="0" xfId="0" applyFont="1" applyFill="1" applyBorder="1" applyAlignment="1" applyProtection="1">
      <protection hidden="1"/>
    </xf>
    <xf numFmtId="0" fontId="7" fillId="13" borderId="14" xfId="0" applyFont="1" applyFill="1" applyBorder="1"/>
    <xf numFmtId="9" fontId="7" fillId="13" borderId="0" xfId="3" applyFont="1" applyFill="1" applyProtection="1">
      <protection hidden="1"/>
    </xf>
    <xf numFmtId="0" fontId="54" fillId="13" borderId="0" xfId="0" applyFont="1" applyFill="1" applyBorder="1" applyAlignment="1" applyProtection="1">
      <alignment horizontal="center"/>
      <protection hidden="1"/>
    </xf>
    <xf numFmtId="0" fontId="23" fillId="13" borderId="0" xfId="0" applyFont="1" applyFill="1" applyBorder="1" applyAlignment="1" applyProtection="1">
      <alignment horizontal="center"/>
      <protection hidden="1"/>
    </xf>
    <xf numFmtId="0" fontId="10" fillId="13" borderId="0" xfId="0" applyFont="1" applyFill="1" applyBorder="1" applyAlignment="1" applyProtection="1">
      <protection hidden="1"/>
    </xf>
    <xf numFmtId="0" fontId="55" fillId="13" borderId="0" xfId="0" applyFont="1" applyFill="1" applyProtection="1">
      <protection hidden="1"/>
    </xf>
    <xf numFmtId="0" fontId="45" fillId="13" borderId="0" xfId="0" applyFont="1" applyFill="1" applyProtection="1">
      <protection hidden="1"/>
    </xf>
    <xf numFmtId="9" fontId="10" fillId="13" borderId="0" xfId="0" applyNumberFormat="1" applyFont="1" applyFill="1" applyAlignment="1" applyProtection="1">
      <alignment horizontal="center"/>
      <protection hidden="1"/>
    </xf>
    <xf numFmtId="9" fontId="10" fillId="13" borderId="0" xfId="3" applyFont="1" applyFill="1" applyAlignment="1" applyProtection="1">
      <alignment horizontal="center"/>
      <protection hidden="1"/>
    </xf>
    <xf numFmtId="0" fontId="8" fillId="13" borderId="0" xfId="0" applyFont="1" applyFill="1" applyAlignment="1" applyProtection="1">
      <alignment horizontal="center"/>
      <protection hidden="1"/>
    </xf>
    <xf numFmtId="1" fontId="7" fillId="0" borderId="0" xfId="0" applyNumberFormat="1" applyFont="1" applyBorder="1" applyProtection="1">
      <protection hidden="1"/>
    </xf>
    <xf numFmtId="0" fontId="0" fillId="14" borderId="0" xfId="0" applyFill="1" applyProtection="1">
      <protection hidden="1"/>
    </xf>
    <xf numFmtId="0" fontId="0" fillId="14" borderId="0" xfId="0" applyFill="1" applyBorder="1" applyProtection="1">
      <protection hidden="1"/>
    </xf>
    <xf numFmtId="0" fontId="5" fillId="14" borderId="0" xfId="0" applyFont="1" applyFill="1" applyBorder="1" applyAlignment="1" applyProtection="1">
      <alignment horizontal="right"/>
      <protection hidden="1"/>
    </xf>
    <xf numFmtId="9" fontId="63" fillId="13" borderId="91" xfId="0" applyNumberFormat="1" applyFont="1" applyFill="1" applyBorder="1" applyAlignment="1" applyProtection="1">
      <alignment horizontal="center"/>
      <protection locked="0" hidden="1"/>
    </xf>
    <xf numFmtId="0" fontId="0" fillId="2" borderId="0" xfId="0" applyFill="1" applyProtection="1">
      <protection hidden="1"/>
    </xf>
    <xf numFmtId="0" fontId="0" fillId="2" borderId="0" xfId="0" applyFill="1" applyAlignment="1" applyProtection="1">
      <alignment horizontal="center"/>
      <protection hidden="1"/>
    </xf>
    <xf numFmtId="9" fontId="0" fillId="2" borderId="0" xfId="3" applyFont="1" applyFill="1" applyAlignment="1" applyProtection="1">
      <alignment horizontal="center"/>
      <protection hidden="1"/>
    </xf>
    <xf numFmtId="0" fontId="5" fillId="2" borderId="0" xfId="0" applyFont="1" applyFill="1" applyProtection="1">
      <protection hidden="1"/>
    </xf>
    <xf numFmtId="0" fontId="0" fillId="13" borderId="0" xfId="0" applyFill="1" applyProtection="1">
      <protection hidden="1"/>
    </xf>
    <xf numFmtId="0" fontId="3" fillId="13" borderId="0" xfId="0" applyFont="1" applyFill="1" applyAlignment="1" applyProtection="1">
      <alignment horizontal="center"/>
      <protection hidden="1"/>
    </xf>
    <xf numFmtId="0" fontId="0" fillId="13" borderId="0" xfId="0" applyFill="1" applyAlignment="1" applyProtection="1">
      <alignment horizontal="center"/>
      <protection hidden="1"/>
    </xf>
    <xf numFmtId="0" fontId="64" fillId="2" borderId="0" xfId="0" applyFont="1" applyFill="1" applyProtection="1">
      <protection hidden="1"/>
    </xf>
    <xf numFmtId="0" fontId="19" fillId="2" borderId="82" xfId="0" applyFont="1" applyFill="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83" xfId="0" applyBorder="1" applyAlignment="1" applyProtection="1">
      <alignment horizontal="center" vertical="center"/>
      <protection hidden="1"/>
    </xf>
    <xf numFmtId="9" fontId="46" fillId="8" borderId="16" xfId="0" applyNumberFormat="1" applyFont="1" applyFill="1"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85" xfId="0" applyBorder="1" applyAlignment="1" applyProtection="1">
      <alignment horizontal="center" vertical="center"/>
      <protection hidden="1"/>
    </xf>
    <xf numFmtId="0" fontId="8" fillId="6" borderId="0" xfId="0" applyFont="1" applyFill="1" applyAlignment="1" applyProtection="1">
      <alignment vertical="top" wrapText="1"/>
      <protection hidden="1"/>
    </xf>
    <xf numFmtId="0" fontId="0" fillId="0" borderId="0" xfId="0" applyAlignment="1" applyProtection="1">
      <alignment vertical="top" wrapText="1"/>
      <protection hidden="1"/>
    </xf>
    <xf numFmtId="0" fontId="10" fillId="2" borderId="92" xfId="0" applyFont="1" applyFill="1" applyBorder="1" applyAlignment="1" applyProtection="1">
      <alignment horizontal="center"/>
      <protection hidden="1"/>
    </xf>
    <xf numFmtId="0" fontId="10" fillId="2" borderId="93" xfId="0" applyFont="1" applyFill="1" applyBorder="1" applyAlignment="1" applyProtection="1">
      <alignment horizontal="center"/>
      <protection hidden="1"/>
    </xf>
    <xf numFmtId="0" fontId="10" fillId="2" borderId="94" xfId="0" applyFont="1" applyFill="1" applyBorder="1" applyAlignment="1" applyProtection="1">
      <alignment horizontal="center"/>
      <protection hidden="1"/>
    </xf>
    <xf numFmtId="9" fontId="19" fillId="2" borderId="4" xfId="3" applyFont="1" applyFill="1" applyBorder="1" applyAlignment="1" applyProtection="1">
      <alignment horizontal="center" vertical="center"/>
      <protection hidden="1"/>
    </xf>
    <xf numFmtId="0" fontId="48" fillId="2" borderId="3" xfId="0" applyFont="1" applyFill="1" applyBorder="1" applyAlignment="1" applyProtection="1">
      <alignment horizontal="center" vertical="center"/>
      <protection hidden="1"/>
    </xf>
    <xf numFmtId="0" fontId="10" fillId="14" borderId="95" xfId="0" applyFont="1" applyFill="1" applyBorder="1" applyAlignment="1" applyProtection="1">
      <alignment horizontal="center"/>
      <protection hidden="1"/>
    </xf>
    <xf numFmtId="0" fontId="4" fillId="14" borderId="96" xfId="0" applyFont="1" applyFill="1" applyBorder="1" applyAlignment="1" applyProtection="1">
      <alignment horizontal="center"/>
      <protection hidden="1"/>
    </xf>
    <xf numFmtId="0" fontId="10" fillId="14" borderId="97" xfId="0" applyFont="1" applyFill="1" applyBorder="1" applyAlignment="1" applyProtection="1">
      <alignment horizontal="center"/>
      <protection hidden="1"/>
    </xf>
    <xf numFmtId="0" fontId="4" fillId="14" borderId="98" xfId="0" applyFont="1" applyFill="1" applyBorder="1" applyAlignment="1" applyProtection="1">
      <alignment horizontal="center"/>
      <protection hidden="1"/>
    </xf>
    <xf numFmtId="0" fontId="10" fillId="14" borderId="95" xfId="0" applyFont="1" applyFill="1" applyBorder="1" applyAlignment="1" applyProtection="1">
      <alignment horizontal="right" vertical="center"/>
      <protection hidden="1"/>
    </xf>
    <xf numFmtId="0" fontId="4" fillId="14" borderId="96" xfId="0" applyFont="1" applyFill="1" applyBorder="1" applyAlignment="1" applyProtection="1">
      <alignment horizontal="right" vertical="center"/>
      <protection hidden="1"/>
    </xf>
    <xf numFmtId="0" fontId="10" fillId="2" borderId="99" xfId="0" applyFont="1" applyFill="1" applyBorder="1" applyAlignment="1" applyProtection="1">
      <alignment horizontal="right"/>
      <protection hidden="1"/>
    </xf>
    <xf numFmtId="0" fontId="4" fillId="2" borderId="100" xfId="0" applyFont="1" applyFill="1" applyBorder="1" applyAlignment="1" applyProtection="1">
      <alignment horizontal="right"/>
      <protection hidden="1"/>
    </xf>
    <xf numFmtId="0" fontId="10" fillId="2" borderId="101" xfId="0" applyFont="1" applyFill="1" applyBorder="1" applyAlignment="1" applyProtection="1">
      <alignment horizontal="center"/>
      <protection hidden="1"/>
    </xf>
    <xf numFmtId="0" fontId="52" fillId="12" borderId="0" xfId="0" applyFont="1" applyFill="1" applyAlignment="1" applyProtection="1">
      <alignment horizontal="left" vertical="top" wrapText="1"/>
      <protection hidden="1"/>
    </xf>
    <xf numFmtId="0" fontId="53" fillId="12" borderId="0" xfId="0" applyFont="1" applyFill="1" applyAlignment="1">
      <alignment horizontal="left" vertical="top" wrapText="1"/>
    </xf>
    <xf numFmtId="0" fontId="36" fillId="12" borderId="0" xfId="0" applyFont="1" applyFill="1" applyBorder="1" applyAlignment="1" applyProtection="1">
      <alignment horizontal="left" vertical="top" wrapText="1"/>
      <protection hidden="1"/>
    </xf>
    <xf numFmtId="0" fontId="20" fillId="12" borderId="0" xfId="0" applyFont="1" applyFill="1" applyAlignment="1" applyProtection="1">
      <alignment vertical="top" wrapText="1"/>
      <protection hidden="1"/>
    </xf>
    <xf numFmtId="0" fontId="4" fillId="12" borderId="0" xfId="0" applyFont="1" applyFill="1" applyAlignment="1" applyProtection="1">
      <alignment vertical="top" wrapText="1"/>
      <protection hidden="1"/>
    </xf>
    <xf numFmtId="0" fontId="19" fillId="2" borderId="4" xfId="0" applyFont="1" applyFill="1" applyBorder="1" applyAlignment="1" applyProtection="1">
      <alignment horizontal="center" vertical="center"/>
      <protection hidden="1"/>
    </xf>
    <xf numFmtId="0" fontId="38" fillId="12" borderId="0" xfId="0" applyFont="1" applyFill="1" applyBorder="1" applyAlignment="1" applyProtection="1">
      <alignment horizontal="center" vertical="top" wrapText="1"/>
      <protection hidden="1"/>
    </xf>
    <xf numFmtId="0" fontId="38" fillId="12" borderId="84" xfId="0" applyFont="1" applyFill="1" applyBorder="1" applyAlignment="1" applyProtection="1">
      <alignment horizontal="center" vertical="top" wrapText="1"/>
      <protection hidden="1"/>
    </xf>
    <xf numFmtId="0" fontId="2" fillId="0" borderId="0" xfId="0" applyFont="1" applyBorder="1" applyAlignment="1" applyProtection="1">
      <alignment horizontal="center" vertical="top" wrapText="1"/>
      <protection hidden="1"/>
    </xf>
    <xf numFmtId="0" fontId="2" fillId="0" borderId="84" xfId="0" applyFont="1" applyBorder="1" applyAlignment="1" applyProtection="1">
      <alignment horizontal="center" vertical="top" wrapText="1"/>
      <protection hidden="1"/>
    </xf>
    <xf numFmtId="0" fontId="53" fillId="0" borderId="0" xfId="0" applyFont="1" applyAlignment="1">
      <alignment horizontal="left" vertical="top" wrapText="1"/>
    </xf>
    <xf numFmtId="0" fontId="18" fillId="6" borderId="0" xfId="0" applyFont="1" applyFill="1" applyAlignment="1" applyProtection="1">
      <alignment vertical="top" wrapText="1"/>
      <protection hidden="1"/>
    </xf>
    <xf numFmtId="0" fontId="0" fillId="0" borderId="0" xfId="0"/>
    <xf numFmtId="9" fontId="38" fillId="12" borderId="0" xfId="0" applyNumberFormat="1" applyFont="1" applyFill="1" applyBorder="1" applyAlignment="1" applyProtection="1">
      <alignment horizontal="left" wrapText="1"/>
      <protection hidden="1"/>
    </xf>
    <xf numFmtId="0" fontId="2" fillId="0" borderId="0" xfId="0" applyFont="1" applyBorder="1" applyAlignment="1">
      <alignment wrapText="1"/>
    </xf>
    <xf numFmtId="0" fontId="0" fillId="0" borderId="84" xfId="0" applyBorder="1" applyAlignment="1">
      <alignment wrapText="1"/>
    </xf>
    <xf numFmtId="0" fontId="36" fillId="12" borderId="0" xfId="0" applyFont="1" applyFill="1" applyBorder="1" applyAlignment="1" applyProtection="1">
      <alignment vertical="top" wrapText="1"/>
      <protection hidden="1"/>
    </xf>
    <xf numFmtId="0" fontId="50" fillId="0" borderId="0" xfId="0" applyFont="1" applyBorder="1" applyAlignment="1" applyProtection="1">
      <alignment vertical="top" wrapText="1"/>
      <protection hidden="1"/>
    </xf>
    <xf numFmtId="0" fontId="18" fillId="3" borderId="0" xfId="0" applyFont="1" applyFill="1" applyBorder="1" applyAlignment="1" applyProtection="1">
      <alignment horizontal="left" vertical="center" wrapText="1"/>
      <protection hidden="1"/>
    </xf>
    <xf numFmtId="0" fontId="29" fillId="0" borderId="0" xfId="0" applyFont="1" applyBorder="1" applyAlignment="1" applyProtection="1">
      <alignment horizontal="left" vertical="center" wrapText="1"/>
      <protection hidden="1"/>
    </xf>
    <xf numFmtId="0" fontId="36" fillId="12" borderId="0" xfId="0" applyFont="1" applyFill="1" applyBorder="1" applyAlignment="1" applyProtection="1">
      <alignment horizontal="left" wrapText="1"/>
      <protection locked="0" hidden="1"/>
    </xf>
    <xf numFmtId="0" fontId="20" fillId="12" borderId="0" xfId="0" applyFont="1" applyFill="1" applyAlignment="1" applyProtection="1">
      <alignment wrapText="1"/>
      <protection hidden="1"/>
    </xf>
    <xf numFmtId="0" fontId="20" fillId="12" borderId="84" xfId="0" applyFont="1" applyFill="1" applyBorder="1" applyAlignment="1" applyProtection="1">
      <alignment wrapText="1"/>
      <protection hidden="1"/>
    </xf>
    <xf numFmtId="0" fontId="4" fillId="0" borderId="0" xfId="0" applyFont="1" applyAlignment="1" applyProtection="1">
      <alignment wrapText="1"/>
      <protection hidden="1"/>
    </xf>
    <xf numFmtId="0" fontId="4" fillId="0" borderId="84" xfId="0" applyFont="1" applyBorder="1" applyAlignment="1" applyProtection="1">
      <alignment wrapText="1"/>
      <protection hidden="1"/>
    </xf>
    <xf numFmtId="0" fontId="39" fillId="12" borderId="0" xfId="0" applyFont="1" applyFill="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8" fillId="6" borderId="102" xfId="0" applyFont="1" applyFill="1" applyBorder="1" applyAlignment="1" applyProtection="1">
      <alignment horizontal="center" vertical="center" wrapText="1"/>
      <protection hidden="1"/>
    </xf>
    <xf numFmtId="0" fontId="11" fillId="0" borderId="0" xfId="0" applyFont="1" applyAlignment="1">
      <alignment horizontal="center" vertical="center" wrapText="1"/>
    </xf>
    <xf numFmtId="0" fontId="11" fillId="0" borderId="68" xfId="0" applyFont="1" applyBorder="1" applyAlignment="1">
      <alignment horizontal="center" vertical="center" wrapText="1"/>
    </xf>
    <xf numFmtId="9" fontId="6" fillId="13" borderId="11" xfId="3" applyFont="1" applyFill="1" applyBorder="1" applyAlignment="1" applyProtection="1">
      <alignment horizontal="center" vertical="center"/>
      <protection hidden="1"/>
    </xf>
    <xf numFmtId="0" fontId="49" fillId="13" borderId="12" xfId="0" applyFont="1" applyFill="1" applyBorder="1" applyAlignment="1" applyProtection="1">
      <alignment horizontal="center" vertical="center"/>
      <protection hidden="1"/>
    </xf>
    <xf numFmtId="9" fontId="6" fillId="13" borderId="102" xfId="3" applyFont="1" applyFill="1" applyBorder="1" applyAlignment="1" applyProtection="1">
      <alignment horizontal="center" vertical="center"/>
      <protection hidden="1"/>
    </xf>
    <xf numFmtId="0" fontId="49" fillId="13" borderId="68" xfId="0" applyFont="1" applyFill="1" applyBorder="1" applyAlignment="1" applyProtection="1">
      <alignment horizontal="center" vertical="center"/>
      <protection hidden="1"/>
    </xf>
    <xf numFmtId="0" fontId="8" fillId="6" borderId="0" xfId="0" applyFont="1" applyFill="1" applyBorder="1" applyAlignment="1" applyProtection="1">
      <alignment vertical="center" wrapText="1"/>
      <protection hidden="1"/>
    </xf>
    <xf numFmtId="0" fontId="0" fillId="0" borderId="0" xfId="0" applyAlignment="1" applyProtection="1">
      <alignment vertical="center" wrapText="1"/>
      <protection hidden="1"/>
    </xf>
    <xf numFmtId="0" fontId="0" fillId="0" borderId="9" xfId="0" applyBorder="1" applyAlignment="1" applyProtection="1">
      <alignment vertical="center" wrapText="1"/>
      <protection hidden="1"/>
    </xf>
    <xf numFmtId="0" fontId="19" fillId="2" borderId="0" xfId="0" applyFont="1" applyFill="1" applyAlignment="1" applyProtection="1">
      <alignment horizontal="center" vertical="top" wrapText="1"/>
      <protection hidden="1"/>
    </xf>
    <xf numFmtId="0" fontId="0" fillId="0" borderId="0" xfId="0" applyAlignment="1">
      <alignment wrapText="1"/>
    </xf>
    <xf numFmtId="0" fontId="18" fillId="6" borderId="0" xfId="0" applyFont="1" applyFill="1" applyAlignment="1" applyProtection="1">
      <alignment horizontal="left" vertical="center"/>
      <protection hidden="1"/>
    </xf>
    <xf numFmtId="0" fontId="0" fillId="0" borderId="0" xfId="0" applyAlignment="1">
      <alignment horizontal="left" vertical="center"/>
    </xf>
    <xf numFmtId="9" fontId="6" fillId="13" borderId="13" xfId="3" applyFont="1" applyFill="1" applyBorder="1" applyAlignment="1" applyProtection="1">
      <alignment horizontal="center" vertical="center"/>
      <protection hidden="1"/>
    </xf>
    <xf numFmtId="0" fontId="49" fillId="13" borderId="5" xfId="0" applyFont="1" applyFill="1" applyBorder="1" applyAlignment="1" applyProtection="1">
      <alignment horizontal="center" vertical="center"/>
      <protection hidden="1"/>
    </xf>
    <xf numFmtId="0" fontId="10" fillId="2" borderId="0" xfId="0" applyFont="1" applyFill="1" applyAlignment="1" applyProtection="1">
      <alignment horizontal="center"/>
      <protection hidden="1"/>
    </xf>
    <xf numFmtId="0" fontId="19" fillId="2" borderId="0" xfId="0" applyFont="1" applyFill="1" applyBorder="1" applyAlignment="1" applyProtection="1">
      <alignment horizontal="center"/>
      <protection hidden="1"/>
    </xf>
    <xf numFmtId="0" fontId="31" fillId="12" borderId="0" xfId="0" applyFont="1" applyFill="1" applyAlignment="1" applyProtection="1">
      <protection hidden="1"/>
    </xf>
    <xf numFmtId="0" fontId="32" fillId="12" borderId="0" xfId="0" applyFont="1" applyFill="1" applyAlignment="1" applyProtection="1">
      <protection hidden="1"/>
    </xf>
    <xf numFmtId="0" fontId="23" fillId="12" borderId="103" xfId="0" applyFont="1" applyFill="1" applyBorder="1" applyAlignment="1" applyProtection="1">
      <alignment horizontal="center" vertical="center" wrapText="1"/>
      <protection hidden="1"/>
    </xf>
    <xf numFmtId="0" fontId="37" fillId="0" borderId="0" xfId="0" applyFont="1" applyAlignment="1" applyProtection="1">
      <alignment horizontal="center" vertical="center" wrapText="1"/>
      <protection hidden="1"/>
    </xf>
    <xf numFmtId="0" fontId="8" fillId="6" borderId="8" xfId="0" applyFont="1" applyFill="1" applyBorder="1" applyAlignment="1" applyProtection="1">
      <alignment vertical="top" wrapText="1"/>
      <protection hidden="1"/>
    </xf>
    <xf numFmtId="0" fontId="21" fillId="6" borderId="8" xfId="0" applyFont="1" applyFill="1" applyBorder="1" applyAlignment="1" applyProtection="1">
      <alignment vertical="top" wrapText="1"/>
      <protection hidden="1"/>
    </xf>
    <xf numFmtId="0" fontId="21" fillId="6" borderId="0" xfId="0" applyFont="1" applyFill="1" applyAlignment="1" applyProtection="1">
      <alignment vertical="top" wrapText="1"/>
      <protection hidden="1"/>
    </xf>
    <xf numFmtId="0" fontId="10" fillId="12"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8" fillId="6" borderId="0" xfId="0" applyFont="1" applyFill="1" applyAlignment="1" applyProtection="1">
      <alignment vertical="center"/>
      <protection hidden="1"/>
    </xf>
    <xf numFmtId="0" fontId="0" fillId="0" borderId="0" xfId="0" applyAlignment="1" applyProtection="1">
      <alignment vertical="center"/>
      <protection hidden="1"/>
    </xf>
    <xf numFmtId="0" fontId="0" fillId="0" borderId="9" xfId="0" applyBorder="1" applyAlignment="1" applyProtection="1">
      <alignment vertical="center"/>
      <protection hidden="1"/>
    </xf>
    <xf numFmtId="0" fontId="10" fillId="6" borderId="0" xfId="0" applyFont="1" applyFill="1" applyAlignment="1" applyProtection="1">
      <alignment horizontal="center" vertical="center" wrapText="1"/>
      <protection hidden="1"/>
    </xf>
    <xf numFmtId="0" fontId="4" fillId="0" borderId="0" xfId="0" applyFont="1" applyAlignment="1">
      <alignment horizontal="center" vertical="center" wrapText="1"/>
    </xf>
    <xf numFmtId="0" fontId="8" fillId="6" borderId="0" xfId="0" applyFont="1" applyFill="1" applyAlignment="1">
      <alignment horizontal="center"/>
    </xf>
    <xf numFmtId="0" fontId="8" fillId="7" borderId="0" xfId="0" applyFont="1" applyFill="1" applyAlignment="1">
      <alignment horizontal="center"/>
    </xf>
    <xf numFmtId="0" fontId="21" fillId="0" borderId="104" xfId="0" applyFont="1" applyBorder="1" applyAlignment="1">
      <alignment horizontal="center"/>
    </xf>
    <xf numFmtId="0" fontId="21" fillId="0" borderId="105" xfId="0" applyFont="1" applyBorder="1" applyAlignment="1">
      <alignment horizontal="center"/>
    </xf>
    <xf numFmtId="0" fontId="21" fillId="0" borderId="106" xfId="0" applyFont="1" applyBorder="1" applyAlignment="1">
      <alignment horizontal="center"/>
    </xf>
    <xf numFmtId="9" fontId="0" fillId="13" borderId="0" xfId="3" applyFont="1" applyFill="1" applyAlignment="1" applyProtection="1">
      <alignment horizontal="center"/>
    </xf>
  </cellXfs>
  <cellStyles count="4">
    <cellStyle name="Comma" xfId="1" builtinId="3"/>
    <cellStyle name="Normal" xfId="0" builtinId="0"/>
    <cellStyle name="Normal_Sheet1" xfId="2"/>
    <cellStyle name="Percent" xfId="3" builtinId="5"/>
  </cellStyles>
  <dxfs count="24">
    <dxf>
      <font>
        <b/>
        <i val="0"/>
        <condense val="0"/>
        <extend val="0"/>
        <color indexed="9"/>
      </font>
      <fill>
        <patternFill>
          <bgColor indexed="16"/>
        </patternFill>
      </fill>
    </dxf>
    <dxf>
      <font>
        <condense val="0"/>
        <extend val="0"/>
        <color indexed="54"/>
      </font>
      <fill>
        <patternFill>
          <bgColor indexed="54"/>
        </patternFill>
      </fill>
      <border>
        <left/>
        <right/>
        <top/>
        <bottom/>
      </border>
    </dxf>
    <dxf>
      <fill>
        <patternFill>
          <bgColor indexed="8"/>
        </patternFill>
      </fill>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border>
        <left style="thin">
          <color indexed="8"/>
        </left>
        <right style="thin">
          <color indexed="8"/>
        </right>
        <top style="thin">
          <color indexed="8"/>
        </top>
        <bottom style="thin">
          <color indexed="8"/>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b/>
        <i val="0"/>
        <condense val="0"/>
        <extend val="0"/>
        <color indexed="9"/>
      </font>
      <fill>
        <patternFill>
          <bgColor indexed="16"/>
        </patternFill>
      </fill>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1" i="0" u="none" strike="noStrike" baseline="0">
                <a:solidFill>
                  <a:srgbClr val="000000"/>
                </a:solidFill>
                <a:latin typeface="Calibri"/>
                <a:ea typeface="Calibri"/>
                <a:cs typeface="Calibri"/>
              </a:defRPr>
            </a:pPr>
            <a:r>
              <a:rPr lang="en-US"/>
              <a:t>MARMAP (1977-2008) Fishery-Independent Sampling</a:t>
            </a:r>
          </a:p>
        </c:rich>
      </c:tx>
      <c:layout>
        <c:manualLayout>
          <c:xMode val="edge"/>
          <c:yMode val="edge"/>
          <c:x val="0.18314957397566684"/>
          <c:y val="2.7980139293611924E-2"/>
        </c:manualLayout>
      </c:layout>
      <c:spPr>
        <a:noFill/>
        <a:ln w="25400">
          <a:noFill/>
        </a:ln>
      </c:spPr>
    </c:title>
    <c:plotArea>
      <c:layout>
        <c:manualLayout>
          <c:layoutTarget val="inner"/>
          <c:xMode val="edge"/>
          <c:yMode val="edge"/>
          <c:x val="0.16471171009317773"/>
          <c:y val="0.14244468900720969"/>
          <c:w val="0.77930764327667679"/>
          <c:h val="0.70967978987520508"/>
        </c:manualLayout>
      </c:layout>
      <c:scatterChart>
        <c:scatterStyle val="lineMarker"/>
        <c:ser>
          <c:idx val="0"/>
          <c:order val="0"/>
          <c:tx>
            <c:strRef>
              <c:f>'Bathymetric Closures'!$Y$1</c:f>
              <c:strCache>
                <c:ptCount val="1"/>
                <c:pt idx="0">
                  <c:v>% PNTCT_Find</c:v>
                </c:pt>
              </c:strCache>
            </c:strRef>
          </c:tx>
          <c:spPr>
            <a:ln w="28575">
              <a:noFill/>
            </a:ln>
          </c:spPr>
          <c:marker>
            <c:symbol val="circle"/>
            <c:size val="10"/>
            <c:spPr>
              <a:solidFill>
                <a:srgbClr val="FF0000"/>
              </a:solidFill>
              <a:ln>
                <a:solidFill>
                  <a:srgbClr val="000000"/>
                </a:solidFill>
                <a:prstDash val="solid"/>
              </a:ln>
            </c:spPr>
          </c:marker>
          <c:trendline>
            <c:spPr>
              <a:ln w="25400">
                <a:solidFill>
                  <a:srgbClr val="000000"/>
                </a:solidFill>
                <a:prstDash val="solid"/>
              </a:ln>
            </c:spPr>
            <c:trendlineType val="linear"/>
            <c:dispRSqr val="1"/>
            <c:dispEq val="1"/>
            <c:trendlineLbl>
              <c:layout>
                <c:manualLayout>
                  <c:xMode val="edge"/>
                  <c:yMode val="edge"/>
                  <c:x val="0.56296987479608518"/>
                  <c:y val="0.24291906786050929"/>
                </c:manualLayout>
              </c:layout>
              <c:numFmt formatCode="General" sourceLinked="0"/>
              <c:spPr>
                <a:noFill/>
                <a:ln w="25400">
                  <a:noFill/>
                </a:ln>
              </c:spPr>
              <c:txPr>
                <a:bodyPr/>
                <a:lstStyle/>
                <a:p>
                  <a:pPr>
                    <a:defRPr sz="1400" b="1" i="0" u="none" strike="noStrike" baseline="0">
                      <a:solidFill>
                        <a:srgbClr val="000000"/>
                      </a:solidFill>
                      <a:latin typeface="Calibri"/>
                      <a:ea typeface="Calibri"/>
                      <a:cs typeface="Calibri"/>
                    </a:defRPr>
                  </a:pPr>
                  <a:endParaRPr lang="en-US"/>
                </a:p>
              </c:txPr>
            </c:trendlineLbl>
          </c:trendline>
          <c:xVal>
            <c:numRef>
              <c:f>'Bathymetric Closures'!$X$2:$X$22</c:f>
              <c:numCache>
                <c:formatCode>0%</c:formatCode>
                <c:ptCount val="21"/>
                <c:pt idx="0">
                  <c:v>0.87191210849400003</c:v>
                </c:pt>
                <c:pt idx="1">
                  <c:v>0.39808551834599998</c:v>
                </c:pt>
                <c:pt idx="2">
                  <c:v>0.304457269935</c:v>
                </c:pt>
                <c:pt idx="3">
                  <c:v>0.42556976225699999</c:v>
                </c:pt>
                <c:pt idx="4">
                  <c:v>0.798484877102</c:v>
                </c:pt>
                <c:pt idx="5">
                  <c:v>0.62063380691199999</c:v>
                </c:pt>
              </c:numCache>
            </c:numRef>
          </c:xVal>
          <c:yVal>
            <c:numRef>
              <c:f>'Bathymetric Closures'!$Y$2:$Y$22</c:f>
              <c:numCache>
                <c:formatCode>0%</c:formatCode>
                <c:ptCount val="21"/>
                <c:pt idx="0">
                  <c:v>1</c:v>
                </c:pt>
                <c:pt idx="1">
                  <c:v>1</c:v>
                </c:pt>
                <c:pt idx="2">
                  <c:v>1</c:v>
                </c:pt>
                <c:pt idx="3">
                  <c:v>0.61538461538461542</c:v>
                </c:pt>
                <c:pt idx="4">
                  <c:v>0.9859154929577465</c:v>
                </c:pt>
                <c:pt idx="5">
                  <c:v>1</c:v>
                </c:pt>
              </c:numCache>
            </c:numRef>
          </c:yVal>
        </c:ser>
        <c:axId val="119658368"/>
        <c:axId val="119816192"/>
      </c:scatterChart>
      <c:valAx>
        <c:axId val="119658368"/>
        <c:scaling>
          <c:orientation val="minMax"/>
          <c:max val="1"/>
        </c:scaling>
        <c:axPos val="b"/>
        <c:title>
          <c:tx>
            <c:rich>
              <a:bodyPr/>
              <a:lstStyle/>
              <a:p>
                <a:pPr>
                  <a:defRPr sz="1400" b="1" i="0" u="none" strike="noStrike" baseline="0">
                    <a:solidFill>
                      <a:srgbClr val="000000"/>
                    </a:solidFill>
                    <a:latin typeface="Calibri"/>
                    <a:ea typeface="Calibri"/>
                    <a:cs typeface="Calibri"/>
                  </a:defRPr>
                </a:pPr>
                <a:r>
                  <a:rPr lang="en-US"/>
                  <a:t>% Area Protected</a:t>
                </a:r>
              </a:p>
            </c:rich>
          </c:tx>
          <c:layout>
            <c:manualLayout>
              <c:xMode val="edge"/>
              <c:yMode val="edge"/>
              <c:x val="0.44865501726077345"/>
              <c:y val="0.92334683558256003"/>
            </c:manualLayout>
          </c:layout>
          <c:spPr>
            <a:noFill/>
            <a:ln w="25400">
              <a:noFill/>
            </a:ln>
          </c:spPr>
        </c:title>
        <c:numFmt formatCode="0%" sourceLinked="0"/>
        <c:tickLblPos val="nextTo"/>
        <c:spPr>
          <a:ln w="38100">
            <a:solidFill>
              <a:srgbClr val="000000"/>
            </a:solidFill>
            <a:prstDash val="solid"/>
          </a:ln>
        </c:spPr>
        <c:txPr>
          <a:bodyPr rot="0" vert="horz"/>
          <a:lstStyle/>
          <a:p>
            <a:pPr>
              <a:defRPr sz="1400" b="1" i="0" u="none" strike="noStrike" baseline="0">
                <a:solidFill>
                  <a:srgbClr val="000000"/>
                </a:solidFill>
                <a:latin typeface="Calibri"/>
                <a:ea typeface="Calibri"/>
                <a:cs typeface="Calibri"/>
              </a:defRPr>
            </a:pPr>
            <a:endParaRPr lang="en-US"/>
          </a:p>
        </c:txPr>
        <c:crossAx val="119816192"/>
        <c:crosses val="autoZero"/>
        <c:crossBetween val="midCat"/>
        <c:majorUnit val="0.25"/>
        <c:minorUnit val="0.25"/>
      </c:valAx>
      <c:valAx>
        <c:axId val="119816192"/>
        <c:scaling>
          <c:orientation val="minMax"/>
          <c:max val="1"/>
        </c:scaling>
        <c:axPos val="l"/>
        <c:majorGridlines>
          <c:spPr>
            <a:ln w="38100">
              <a:solidFill>
                <a:srgbClr val="C0C0C0"/>
              </a:solidFill>
              <a:prstDash val="sysDash"/>
            </a:ln>
          </c:spPr>
        </c:majorGridlines>
        <c:title>
          <c:tx>
            <c:rich>
              <a:bodyPr/>
              <a:lstStyle/>
              <a:p>
                <a:pPr>
                  <a:defRPr sz="1400" b="1" i="0" u="none" strike="noStrike" baseline="0">
                    <a:solidFill>
                      <a:srgbClr val="000000"/>
                    </a:solidFill>
                    <a:latin typeface="Calibri"/>
                    <a:ea typeface="Calibri"/>
                    <a:cs typeface="Calibri"/>
                  </a:defRPr>
                </a:pPr>
                <a:r>
                  <a:rPr lang="en-US"/>
                  <a:t>% Stock Protected</a:t>
                </a:r>
              </a:p>
            </c:rich>
          </c:tx>
          <c:layout>
            <c:manualLayout>
              <c:xMode val="edge"/>
              <c:yMode val="edge"/>
              <c:x val="2.3354569902900066E-2"/>
              <c:y val="0.38409197373950316"/>
            </c:manualLayout>
          </c:layout>
          <c:spPr>
            <a:noFill/>
            <a:ln w="25400">
              <a:noFill/>
            </a:ln>
          </c:spPr>
        </c:title>
        <c:numFmt formatCode="0%" sourceLinked="0"/>
        <c:tickLblPos val="nextTo"/>
        <c:spPr>
          <a:ln w="38100">
            <a:solidFill>
              <a:srgbClr val="000000"/>
            </a:solidFill>
            <a:prstDash val="solid"/>
          </a:ln>
        </c:spPr>
        <c:txPr>
          <a:bodyPr rot="0" vert="horz"/>
          <a:lstStyle/>
          <a:p>
            <a:pPr>
              <a:defRPr sz="1400" b="1" i="0" u="none" strike="noStrike" baseline="0">
                <a:solidFill>
                  <a:srgbClr val="000000"/>
                </a:solidFill>
                <a:latin typeface="Calibri"/>
                <a:ea typeface="Calibri"/>
                <a:cs typeface="Calibri"/>
              </a:defRPr>
            </a:pPr>
            <a:endParaRPr lang="en-US"/>
          </a:p>
        </c:txPr>
        <c:crossAx val="119658368"/>
        <c:crosses val="autoZero"/>
        <c:crossBetween val="midCat"/>
        <c:majorUnit val="0.25"/>
        <c:minorUnit val="0.25"/>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00" b="1" i="0" u="none" strike="noStrike" baseline="0">
          <a:solidFill>
            <a:srgbClr val="000000"/>
          </a:solidFill>
          <a:latin typeface="Calibri"/>
          <a:ea typeface="Calibri"/>
          <a:cs typeface="Calibri"/>
        </a:defRPr>
      </a:pPr>
      <a:endParaRPr lang="en-US"/>
    </a:p>
  </c:txPr>
  <c:printSettings>
    <c:headerFooter alignWithMargins="0"/>
    <c:pageMargins b="1" l="0.75000000000000011" r="0.7500000000000001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25" b="1" i="0" u="none" strike="noStrike" baseline="0">
                <a:solidFill>
                  <a:srgbClr val="000000"/>
                </a:solidFill>
                <a:latin typeface="Arial"/>
                <a:ea typeface="Arial"/>
                <a:cs typeface="Arial"/>
              </a:defRPr>
            </a:pPr>
            <a:r>
              <a:rPr lang="en-US"/>
              <a:t>PctArea  Residual Plot</a:t>
            </a:r>
          </a:p>
        </c:rich>
      </c:tx>
      <c:layout>
        <c:manualLayout>
          <c:xMode val="edge"/>
          <c:yMode val="edge"/>
          <c:x val="0.34430325484078639"/>
          <c:y val="4.1222310566228076E-2"/>
        </c:manualLayout>
      </c:layout>
      <c:spPr>
        <a:noFill/>
        <a:ln w="25400">
          <a:noFill/>
        </a:ln>
      </c:spPr>
    </c:title>
    <c:plotArea>
      <c:layout>
        <c:manualLayout>
          <c:layoutTarget val="inner"/>
          <c:xMode val="edge"/>
          <c:yMode val="edge"/>
          <c:x val="0.12734504141004341"/>
          <c:y val="0.28221490412883349"/>
          <c:w val="0.81948892388870531"/>
          <c:h val="0.49466882072020252"/>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Closures'!$L$141:$L$146</c:f>
              <c:numCache>
                <c:formatCode>General</c:formatCode>
                <c:ptCount val="6"/>
                <c:pt idx="0">
                  <c:v>7.2778423179037377E-3</c:v>
                </c:pt>
                <c:pt idx="1">
                  <c:v>0.10009982459606281</c:v>
                </c:pt>
                <c:pt idx="2">
                  <c:v>0.11844147066541144</c:v>
                </c:pt>
                <c:pt idx="3">
                  <c:v>-0.28989968588789861</c:v>
                </c:pt>
                <c:pt idx="4">
                  <c:v>7.57762968359732E-3</c:v>
                </c:pt>
                <c:pt idx="5">
                  <c:v>5.6502918624923626E-2</c:v>
                </c:pt>
              </c:numCache>
            </c:numRef>
          </c:yVal>
        </c:ser>
        <c:axId val="119860224"/>
        <c:axId val="124770560"/>
      </c:scatterChart>
      <c:valAx>
        <c:axId val="119860224"/>
        <c:scaling>
          <c:orientation val="minMax"/>
        </c:scaling>
        <c:axPos val="b"/>
        <c:title>
          <c:tx>
            <c:rich>
              <a:bodyPr/>
              <a:lstStyle/>
              <a:p>
                <a:pPr>
                  <a:defRPr sz="1200" b="1" i="0" u="none" strike="noStrike" baseline="0">
                    <a:solidFill>
                      <a:srgbClr val="000000"/>
                    </a:solidFill>
                    <a:latin typeface="Arial"/>
                    <a:ea typeface="Arial"/>
                    <a:cs typeface="Arial"/>
                  </a:defRPr>
                </a:pPr>
                <a:r>
                  <a:rPr lang="en-US"/>
                  <a:t>PctArea</a:t>
                </a:r>
              </a:p>
            </c:rich>
          </c:tx>
          <c:layout>
            <c:manualLayout>
              <c:xMode val="edge"/>
              <c:yMode val="edge"/>
              <c:x val="0.48933510374882389"/>
              <c:y val="0.82761890105756319"/>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4770560"/>
        <c:crosses val="autoZero"/>
        <c:crossBetween val="midCat"/>
      </c:valAx>
      <c:valAx>
        <c:axId val="124770560"/>
        <c:scaling>
          <c:orientation val="minMax"/>
        </c:scaling>
        <c:axPos val="l"/>
        <c:title>
          <c:tx>
            <c:rich>
              <a:bodyPr/>
              <a:lstStyle/>
              <a:p>
                <a:pPr>
                  <a:defRPr sz="1200" b="1" i="0" u="none" strike="noStrike" baseline="0">
                    <a:solidFill>
                      <a:srgbClr val="000000"/>
                    </a:solidFill>
                    <a:latin typeface="Arial"/>
                    <a:ea typeface="Arial"/>
                    <a:cs typeface="Arial"/>
                  </a:defRPr>
                </a:pPr>
                <a:r>
                  <a:rPr lang="en-US"/>
                  <a:t>Residuals</a:t>
                </a:r>
              </a:p>
            </c:rich>
          </c:tx>
          <c:layout>
            <c:manualLayout>
              <c:xMode val="edge"/>
              <c:yMode val="edge"/>
              <c:x val="2.2403339028376185E-2"/>
              <c:y val="0.37417262988706229"/>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9860224"/>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PctArea Line Fit  Plot</a:t>
            </a:r>
          </a:p>
        </c:rich>
      </c:tx>
      <c:layout>
        <c:manualLayout>
          <c:xMode val="edge"/>
          <c:yMode val="edge"/>
          <c:x val="0.37967689917298086"/>
          <c:y val="4.218669730340649E-2"/>
        </c:manualLayout>
      </c:layout>
      <c:spPr>
        <a:noFill/>
        <a:ln w="25400">
          <a:noFill/>
        </a:ln>
      </c:spPr>
    </c:title>
    <c:plotArea>
      <c:layout>
        <c:manualLayout>
          <c:layoutTarget val="inner"/>
          <c:xMode val="edge"/>
          <c:yMode val="edge"/>
          <c:x val="0.13441976593282368"/>
          <c:y val="0.28124326781652237"/>
          <c:w val="0.61785927498947002"/>
          <c:h val="0.39374057494313136"/>
        </c:manualLayout>
      </c:layout>
      <c:scatterChart>
        <c:scatterStyle val="lineMarker"/>
        <c:ser>
          <c:idx val="0"/>
          <c:order val="0"/>
          <c:tx>
            <c:v>PctRS</c:v>
          </c:tx>
          <c:spPr>
            <a:ln w="28575">
              <a:noFill/>
            </a:ln>
          </c:spPr>
          <c:marker>
            <c:symbol val="diamond"/>
            <c:size val="5"/>
            <c:spPr>
              <a:solidFill>
                <a:srgbClr val="000080"/>
              </a:solidFill>
              <a:ln>
                <a:solidFill>
                  <a:srgbClr val="000080"/>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Closures'!$H$118:$H$123</c:f>
              <c:numCache>
                <c:formatCode>0%</c:formatCode>
                <c:ptCount val="6"/>
                <c:pt idx="0">
                  <c:v>1</c:v>
                </c:pt>
                <c:pt idx="1">
                  <c:v>1</c:v>
                </c:pt>
                <c:pt idx="2">
                  <c:v>1</c:v>
                </c:pt>
                <c:pt idx="3">
                  <c:v>0.61538461538461542</c:v>
                </c:pt>
                <c:pt idx="4">
                  <c:v>0.9859154929577465</c:v>
                </c:pt>
                <c:pt idx="5">
                  <c:v>1</c:v>
                </c:pt>
              </c:numCache>
            </c:numRef>
          </c:yVal>
        </c:ser>
        <c:ser>
          <c:idx val="1"/>
          <c:order val="1"/>
          <c:tx>
            <c:v>Predicted PctRS</c:v>
          </c:tx>
          <c:spPr>
            <a:ln w="28575">
              <a:noFill/>
            </a:ln>
          </c:spPr>
          <c:marker>
            <c:symbol val="square"/>
            <c:size val="5"/>
            <c:spPr>
              <a:solidFill>
                <a:srgbClr val="FF00FF"/>
              </a:solidFill>
              <a:ln>
                <a:solidFill>
                  <a:srgbClr val="FF00FF"/>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Closures'!$K$141:$K$146</c:f>
              <c:numCache>
                <c:formatCode>General</c:formatCode>
                <c:ptCount val="6"/>
                <c:pt idx="0">
                  <c:v>0.99272215768209626</c:v>
                </c:pt>
                <c:pt idx="1">
                  <c:v>0.89990017540393719</c:v>
                </c:pt>
                <c:pt idx="2">
                  <c:v>0.88155852933458856</c:v>
                </c:pt>
                <c:pt idx="3">
                  <c:v>0.90528430127251402</c:v>
                </c:pt>
                <c:pt idx="4">
                  <c:v>0.97833786327414918</c:v>
                </c:pt>
                <c:pt idx="5">
                  <c:v>0.94349708137507637</c:v>
                </c:pt>
              </c:numCache>
            </c:numRef>
          </c:yVal>
        </c:ser>
        <c:axId val="129855488"/>
        <c:axId val="129858176"/>
      </c:scatterChart>
      <c:valAx>
        <c:axId val="129855488"/>
        <c:scaling>
          <c:orientation val="minMax"/>
        </c:scaling>
        <c:axPos val="b"/>
        <c:title>
          <c:tx>
            <c:rich>
              <a:bodyPr/>
              <a:lstStyle/>
              <a:p>
                <a:pPr>
                  <a:defRPr sz="1075" b="1" i="0" u="none" strike="noStrike" baseline="0">
                    <a:solidFill>
                      <a:srgbClr val="000000"/>
                    </a:solidFill>
                    <a:latin typeface="Arial"/>
                    <a:ea typeface="Arial"/>
                    <a:cs typeface="Arial"/>
                  </a:defRPr>
                </a:pPr>
                <a:r>
                  <a:rPr lang="en-US"/>
                  <a:t>PctArea</a:t>
                </a:r>
              </a:p>
            </c:rich>
          </c:tx>
          <c:layout>
            <c:manualLayout>
              <c:xMode val="edge"/>
              <c:yMode val="edge"/>
              <c:x val="0.39972190239191807"/>
              <c:y val="0.82615191339516736"/>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29858176"/>
        <c:crosses val="autoZero"/>
        <c:crossBetween val="midCat"/>
      </c:valAx>
      <c:valAx>
        <c:axId val="129858176"/>
        <c:scaling>
          <c:orientation val="minMax"/>
        </c:scaling>
        <c:axPos val="l"/>
        <c:title>
          <c:tx>
            <c:rich>
              <a:bodyPr/>
              <a:lstStyle/>
              <a:p>
                <a:pPr>
                  <a:defRPr sz="1075" b="1" i="0" u="none" strike="noStrike" baseline="0">
                    <a:solidFill>
                      <a:srgbClr val="000000"/>
                    </a:solidFill>
                    <a:latin typeface="Arial"/>
                    <a:ea typeface="Arial"/>
                    <a:cs typeface="Arial"/>
                  </a:defRPr>
                </a:pPr>
                <a:r>
                  <a:rPr lang="en-US"/>
                  <a:t>PctRS</a:t>
                </a:r>
              </a:p>
            </c:rich>
          </c:tx>
          <c:layout>
            <c:manualLayout>
              <c:xMode val="edge"/>
              <c:yMode val="edge"/>
              <c:x val="2.2403339028376185E-2"/>
              <c:y val="0.37616265493503709"/>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29855488"/>
        <c:crosses val="autoZero"/>
        <c:crossBetween val="midCat"/>
      </c:valAx>
      <c:spPr>
        <a:solidFill>
          <a:srgbClr val="C0C0C0"/>
        </a:solidFill>
        <a:ln w="12700">
          <a:solidFill>
            <a:srgbClr val="808080"/>
          </a:solidFill>
          <a:prstDash val="solid"/>
        </a:ln>
      </c:spPr>
    </c:plotArea>
    <c:legend>
      <c:legendPos val="r"/>
      <c:layout>
        <c:manualLayout>
          <c:xMode val="edge"/>
          <c:yMode val="edge"/>
          <c:x val="0.79826471425741596"/>
          <c:y val="0.38670944601675677"/>
          <c:w val="0.18983837220819103"/>
          <c:h val="0.18632368462838939"/>
        </c:manualLayout>
      </c:layout>
      <c:spPr>
        <a:solidFill>
          <a:srgbClr val="FFFFFF"/>
        </a:solidFill>
        <a:ln w="3175">
          <a:solidFill>
            <a:srgbClr val="000000"/>
          </a:solidFill>
          <a:prstDash val="solid"/>
        </a:ln>
      </c:spPr>
      <c:txPr>
        <a:bodyPr/>
        <a:lstStyle/>
        <a:p>
          <a:pPr>
            <a:defRPr sz="98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75" b="1" i="0" u="none" strike="noStrike" baseline="0">
                <a:solidFill>
                  <a:srgbClr val="000000"/>
                </a:solidFill>
                <a:latin typeface="Arial"/>
                <a:ea typeface="Arial"/>
                <a:cs typeface="Arial"/>
              </a:defRPr>
            </a:pPr>
            <a:r>
              <a:rPr lang="en-US"/>
              <a:t>Normal Probability Plot</a:t>
            </a:r>
          </a:p>
        </c:rich>
      </c:tx>
      <c:layout>
        <c:manualLayout>
          <c:xMode val="edge"/>
          <c:yMode val="edge"/>
          <c:x val="0.36906477492200279"/>
          <c:y val="4.6660054897717948E-2"/>
        </c:manualLayout>
      </c:layout>
      <c:spPr>
        <a:noFill/>
        <a:ln w="25400">
          <a:noFill/>
        </a:ln>
      </c:spPr>
    </c:title>
    <c:plotArea>
      <c:layout>
        <c:manualLayout>
          <c:layoutTarget val="inner"/>
          <c:xMode val="edge"/>
          <c:yMode val="edge"/>
          <c:x val="0.10140438482651606"/>
          <c:y val="0.29940269829998761"/>
          <c:w val="0.8595790295177933"/>
          <c:h val="0.37716963292336086"/>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xVal>
            <c:numRef>
              <c:f>'Bathymetric Closures'!$O$141:$O$146</c:f>
              <c:numCache>
                <c:formatCode>General</c:formatCode>
                <c:ptCount val="6"/>
                <c:pt idx="0">
                  <c:v>8.3333333333333339</c:v>
                </c:pt>
                <c:pt idx="1">
                  <c:v>25</c:v>
                </c:pt>
                <c:pt idx="2">
                  <c:v>41.666666666666671</c:v>
                </c:pt>
                <c:pt idx="3">
                  <c:v>58.333333333333336</c:v>
                </c:pt>
                <c:pt idx="4">
                  <c:v>75</c:v>
                </c:pt>
                <c:pt idx="5">
                  <c:v>91.666666666666671</c:v>
                </c:pt>
              </c:numCache>
            </c:numRef>
          </c:xVal>
          <c:yVal>
            <c:numRef>
              <c:f>'Bathymetric Closures'!$P$141:$P$146</c:f>
              <c:numCache>
                <c:formatCode>General</c:formatCode>
                <c:ptCount val="6"/>
                <c:pt idx="0">
                  <c:v>0.61538461538461542</c:v>
                </c:pt>
                <c:pt idx="1">
                  <c:v>0.9859154929577465</c:v>
                </c:pt>
                <c:pt idx="2">
                  <c:v>1</c:v>
                </c:pt>
                <c:pt idx="3">
                  <c:v>1</c:v>
                </c:pt>
                <c:pt idx="4">
                  <c:v>1</c:v>
                </c:pt>
                <c:pt idx="5">
                  <c:v>1</c:v>
                </c:pt>
              </c:numCache>
            </c:numRef>
          </c:yVal>
        </c:ser>
        <c:axId val="180336896"/>
        <c:axId val="178692864"/>
      </c:scatterChart>
      <c:valAx>
        <c:axId val="180336896"/>
        <c:scaling>
          <c:orientation val="minMax"/>
        </c:scaling>
        <c:axPos val="b"/>
        <c:title>
          <c:tx>
            <c:rich>
              <a:bodyPr/>
              <a:lstStyle/>
              <a:p>
                <a:pPr>
                  <a:defRPr sz="975" b="1" i="0" u="none" strike="noStrike" baseline="0">
                    <a:solidFill>
                      <a:srgbClr val="000000"/>
                    </a:solidFill>
                    <a:latin typeface="Arial"/>
                    <a:ea typeface="Arial"/>
                    <a:cs typeface="Arial"/>
                  </a:defRPr>
                </a:pPr>
                <a:r>
                  <a:rPr lang="en-US"/>
                  <a:t>Sample Percentile</a:t>
                </a:r>
              </a:p>
            </c:rich>
          </c:tx>
          <c:layout>
            <c:manualLayout>
              <c:xMode val="edge"/>
              <c:yMode val="edge"/>
              <c:x val="0.44688676150151047"/>
              <c:y val="0.816552964276412"/>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8692864"/>
        <c:crosses val="autoZero"/>
        <c:crossBetween val="midCat"/>
      </c:valAx>
      <c:valAx>
        <c:axId val="178692864"/>
        <c:scaling>
          <c:orientation val="minMax"/>
        </c:scaling>
        <c:axPos val="l"/>
        <c:title>
          <c:tx>
            <c:rich>
              <a:bodyPr/>
              <a:lstStyle/>
              <a:p>
                <a:pPr>
                  <a:defRPr sz="975" b="1" i="0" u="none" strike="noStrike" baseline="0">
                    <a:solidFill>
                      <a:srgbClr val="000000"/>
                    </a:solidFill>
                    <a:latin typeface="Arial"/>
                    <a:ea typeface="Arial"/>
                    <a:cs typeface="Arial"/>
                  </a:defRPr>
                </a:pPr>
                <a:r>
                  <a:rPr lang="en-US"/>
                  <a:t>PctRS</a:t>
                </a:r>
              </a:p>
            </c:rich>
          </c:tx>
          <c:layout>
            <c:manualLayout>
              <c:xMode val="edge"/>
              <c:yMode val="edge"/>
              <c:x val="2.2403339028376185E-2"/>
              <c:y val="0.3810577828534793"/>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80336896"/>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26" Type="http://schemas.openxmlformats.org/officeDocument/2006/relationships/image" Target="../media/image4.png"/><Relationship Id="rId3" Type="http://schemas.openxmlformats.org/officeDocument/2006/relationships/image" Target="../media/image7.png"/><Relationship Id="rId21" Type="http://schemas.openxmlformats.org/officeDocument/2006/relationships/image" Target="../media/image22.png"/><Relationship Id="rId7" Type="http://schemas.openxmlformats.org/officeDocument/2006/relationships/chart" Target="../charts/chart4.xml"/><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png"/><Relationship Id="rId2" Type="http://schemas.openxmlformats.org/officeDocument/2006/relationships/image" Target="../media/image6.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chart" Target="../charts/chart1.xml"/><Relationship Id="rId6" Type="http://schemas.openxmlformats.org/officeDocument/2006/relationships/chart" Target="../charts/chart3.xml"/><Relationship Id="rId11" Type="http://schemas.openxmlformats.org/officeDocument/2006/relationships/image" Target="../media/image12.emf"/><Relationship Id="rId24" Type="http://schemas.openxmlformats.org/officeDocument/2006/relationships/image" Target="../media/image25.emf"/><Relationship Id="rId5" Type="http://schemas.openxmlformats.org/officeDocument/2006/relationships/chart" Target="../charts/chart2.xml"/><Relationship Id="rId15" Type="http://schemas.openxmlformats.org/officeDocument/2006/relationships/image" Target="../media/image16.png"/><Relationship Id="rId23" Type="http://schemas.openxmlformats.org/officeDocument/2006/relationships/image" Target="../media/image24.emf"/><Relationship Id="rId10" Type="http://schemas.openxmlformats.org/officeDocument/2006/relationships/image" Target="../media/image11.jpeg"/><Relationship Id="rId19" Type="http://schemas.openxmlformats.org/officeDocument/2006/relationships/image" Target="../media/image20.emf"/><Relationship Id="rId4" Type="http://schemas.openxmlformats.org/officeDocument/2006/relationships/image" Target="../media/image8.png"/><Relationship Id="rId9" Type="http://schemas.openxmlformats.org/officeDocument/2006/relationships/image" Target="../media/image10.png"/><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7.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emf"/><Relationship Id="rId7" Type="http://schemas.openxmlformats.org/officeDocument/2006/relationships/image" Target="../media/image34.emf"/><Relationship Id="rId2" Type="http://schemas.openxmlformats.org/officeDocument/2006/relationships/image" Target="../media/image29.emf"/><Relationship Id="rId1" Type="http://schemas.openxmlformats.org/officeDocument/2006/relationships/image" Target="../media/image28.emf"/><Relationship Id="rId6" Type="http://schemas.openxmlformats.org/officeDocument/2006/relationships/image" Target="../media/image33.emf"/><Relationship Id="rId5" Type="http://schemas.openxmlformats.org/officeDocument/2006/relationships/image" Target="../media/image32.emf"/><Relationship Id="rId4" Type="http://schemas.openxmlformats.org/officeDocument/2006/relationships/image" Target="../media/image31.emf"/></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5.wmf"/></Relationships>
</file>

<file path=xl/drawings/drawing1.xml><?xml version="1.0" encoding="utf-8"?>
<xdr:wsDr xmlns:xdr="http://schemas.openxmlformats.org/drawingml/2006/spreadsheetDrawing" xmlns:a="http://schemas.openxmlformats.org/drawingml/2006/main">
  <xdr:twoCellAnchor editAs="oneCell">
    <xdr:from>
      <xdr:col>16</xdr:col>
      <xdr:colOff>83820</xdr:colOff>
      <xdr:row>42</xdr:row>
      <xdr:rowOff>0</xdr:rowOff>
    </xdr:from>
    <xdr:to>
      <xdr:col>35</xdr:col>
      <xdr:colOff>76200</xdr:colOff>
      <xdr:row>58</xdr:row>
      <xdr:rowOff>30480</xdr:rowOff>
    </xdr:to>
    <xdr:pic>
      <xdr:nvPicPr>
        <xdr:cNvPr id="223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10736580" y="12031980"/>
          <a:ext cx="6560820" cy="4754880"/>
        </a:xfrm>
        <a:prstGeom prst="rect">
          <a:avLst/>
        </a:prstGeom>
        <a:noFill/>
        <a:ln w="9525">
          <a:noFill/>
          <a:miter lim="800000"/>
          <a:headEnd/>
          <a:tailEnd/>
        </a:ln>
      </xdr:spPr>
    </xdr:pic>
    <xdr:clientData/>
  </xdr:twoCellAnchor>
  <xdr:twoCellAnchor editAs="oneCell">
    <xdr:from>
      <xdr:col>15</xdr:col>
      <xdr:colOff>220980</xdr:colOff>
      <xdr:row>60</xdr:row>
      <xdr:rowOff>7620</xdr:rowOff>
    </xdr:from>
    <xdr:to>
      <xdr:col>35</xdr:col>
      <xdr:colOff>160020</xdr:colOff>
      <xdr:row>82</xdr:row>
      <xdr:rowOff>99060</xdr:rowOff>
    </xdr:to>
    <xdr:pic>
      <xdr:nvPicPr>
        <xdr:cNvPr id="2231" name="Picture 14" descr="Cumulative Removals Baseline"/>
        <xdr:cNvPicPr>
          <a:picLocks noChangeAspect="1" noChangeArrowheads="1"/>
        </xdr:cNvPicPr>
      </xdr:nvPicPr>
      <xdr:blipFill>
        <a:blip xmlns:r="http://schemas.openxmlformats.org/officeDocument/2006/relationships" r:embed="rId2" cstate="print"/>
        <a:srcRect/>
        <a:stretch>
          <a:fillRect/>
        </a:stretch>
      </xdr:blipFill>
      <xdr:spPr bwMode="auto">
        <a:xfrm>
          <a:off x="10492740" y="17183100"/>
          <a:ext cx="6888480" cy="5181600"/>
        </a:xfrm>
        <a:prstGeom prst="rect">
          <a:avLst/>
        </a:prstGeom>
        <a:noFill/>
        <a:ln w="38100" cmpd="dbl">
          <a:solidFill>
            <a:srgbClr val="FFFF00"/>
          </a:solidFill>
          <a:miter lim="800000"/>
          <a:headEnd/>
          <a:tailEnd/>
        </a:ln>
      </xdr:spPr>
    </xdr:pic>
    <xdr:clientData/>
  </xdr:twoCellAnchor>
  <xdr:twoCellAnchor>
    <xdr:from>
      <xdr:col>12</xdr:col>
      <xdr:colOff>106680</xdr:colOff>
      <xdr:row>50</xdr:row>
      <xdr:rowOff>198120</xdr:rowOff>
    </xdr:from>
    <xdr:to>
      <xdr:col>14</xdr:col>
      <xdr:colOff>213360</xdr:colOff>
      <xdr:row>56</xdr:row>
      <xdr:rowOff>129540</xdr:rowOff>
    </xdr:to>
    <xdr:sp macro="" textlink="">
      <xdr:nvSpPr>
        <xdr:cNvPr id="2063" name="Text Box 15"/>
        <xdr:cNvSpPr txBox="1">
          <a:spLocks noChangeArrowheads="1"/>
        </xdr:cNvSpPr>
      </xdr:nvSpPr>
      <xdr:spPr bwMode="auto">
        <a:xfrm>
          <a:off x="8503920" y="14752320"/>
          <a:ext cx="1600200" cy="16840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1" i="0" u="none" strike="noStrike" baseline="0">
              <a:solidFill>
                <a:srgbClr val="000000"/>
              </a:solidFill>
              <a:latin typeface="Calibri"/>
            </a:rPr>
            <a:t>Note: </a:t>
          </a:r>
          <a:r>
            <a:rPr lang="en-US" sz="1200" b="0" i="0" u="none" strike="noStrike" baseline="0">
              <a:solidFill>
                <a:srgbClr val="000000"/>
              </a:solidFill>
              <a:latin typeface="Calibri"/>
            </a:rPr>
            <a:t>Commercial reductions are larger than those projected in SERO (2009a) report due to new assumption of no discards in closed cells (given 100% compliance).</a:t>
          </a:r>
        </a:p>
      </xdr:txBody>
    </xdr:sp>
    <xdr:clientData/>
  </xdr:twoCellAnchor>
  <xdr:twoCellAnchor editAs="oneCell">
    <xdr:from>
      <xdr:col>17</xdr:col>
      <xdr:colOff>7620</xdr:colOff>
      <xdr:row>3</xdr:row>
      <xdr:rowOff>0</xdr:rowOff>
    </xdr:from>
    <xdr:to>
      <xdr:col>25</xdr:col>
      <xdr:colOff>297180</xdr:colOff>
      <xdr:row>15</xdr:row>
      <xdr:rowOff>99060</xdr:rowOff>
    </xdr:to>
    <xdr:pic>
      <xdr:nvPicPr>
        <xdr:cNvPr id="2233" name="Picture 17"/>
        <xdr:cNvPicPr>
          <a:picLocks noChangeAspect="1" noChangeArrowheads="1"/>
        </xdr:cNvPicPr>
      </xdr:nvPicPr>
      <xdr:blipFill>
        <a:blip xmlns:r="http://schemas.openxmlformats.org/officeDocument/2006/relationships" r:embed="rId3" cstate="print"/>
        <a:srcRect l="3912" t="3282" r="45636" b="8206"/>
        <a:stretch>
          <a:fillRect/>
        </a:stretch>
      </xdr:blipFill>
      <xdr:spPr bwMode="auto">
        <a:xfrm>
          <a:off x="11269980" y="784860"/>
          <a:ext cx="3040380" cy="4122420"/>
        </a:xfrm>
        <a:prstGeom prst="rect">
          <a:avLst/>
        </a:prstGeom>
        <a:noFill/>
        <a:ln w="9525">
          <a:noFill/>
          <a:miter lim="800000"/>
          <a:headEnd/>
          <a:tailEnd/>
        </a:ln>
      </xdr:spPr>
    </xdr:pic>
    <xdr:clientData/>
  </xdr:twoCellAnchor>
  <xdr:twoCellAnchor>
    <xdr:from>
      <xdr:col>16</xdr:col>
      <xdr:colOff>91440</xdr:colOff>
      <xdr:row>17</xdr:row>
      <xdr:rowOff>182880</xdr:rowOff>
    </xdr:from>
    <xdr:to>
      <xdr:col>33</xdr:col>
      <xdr:colOff>259080</xdr:colOff>
      <xdr:row>25</xdr:row>
      <xdr:rowOff>175260</xdr:rowOff>
    </xdr:to>
    <xdr:sp macro="" textlink="">
      <xdr:nvSpPr>
        <xdr:cNvPr id="2066" name="Text Box 18"/>
        <xdr:cNvSpPr txBox="1">
          <a:spLocks noChangeArrowheads="1"/>
        </xdr:cNvSpPr>
      </xdr:nvSpPr>
      <xdr:spPr bwMode="auto">
        <a:xfrm>
          <a:off x="10744200" y="5600700"/>
          <a:ext cx="6240780" cy="1943100"/>
        </a:xfrm>
        <a:prstGeom prst="rect">
          <a:avLst/>
        </a:prstGeom>
        <a:solidFill>
          <a:srgbClr val="000000"/>
        </a:solidFill>
        <a:ln w="76200" cmpd="tri">
          <a:solidFill>
            <a:srgbClr val="FFFFFF"/>
          </a:solidFill>
          <a:miter lim="800000"/>
          <a:headEnd/>
          <a:tailEnd/>
        </a:ln>
      </xdr:spPr>
      <xdr:txBody>
        <a:bodyPr vertOverflow="clip" wrap="square" lIns="36576" tIns="36576" rIns="0" bIns="36576" anchor="ctr" upright="1"/>
        <a:lstStyle/>
        <a:p>
          <a:pPr algn="l" rtl="0">
            <a:defRPr sz="1000"/>
          </a:pPr>
          <a:r>
            <a:rPr lang="en-US" sz="1400" b="1" i="0" u="none" strike="noStrike" baseline="0">
              <a:solidFill>
                <a:srgbClr val="FFFFFF"/>
              </a:solidFill>
              <a:latin typeface="Calibri"/>
            </a:rPr>
            <a:t>Instructions: </a:t>
          </a:r>
          <a:r>
            <a:rPr lang="en-US" sz="1400" b="0" i="0" u="none" strike="noStrike" baseline="0">
              <a:solidFill>
                <a:srgbClr val="FFFFFF"/>
              </a:solidFill>
              <a:latin typeface="Calibri"/>
            </a:rPr>
            <a:t>Mouse click on the </a:t>
          </a:r>
          <a:r>
            <a:rPr lang="en-US" sz="1400" b="1" i="0" u="none" strike="noStrike" baseline="0">
              <a:solidFill>
                <a:srgbClr val="FFFFFF"/>
              </a:solidFill>
              <a:latin typeface="Calibri"/>
            </a:rPr>
            <a:t>'start'</a:t>
          </a:r>
          <a:r>
            <a:rPr lang="en-US" sz="1400" b="0" i="0" u="none" strike="noStrike" baseline="0">
              <a:solidFill>
                <a:srgbClr val="FFFFFF"/>
              </a:solidFill>
              <a:latin typeface="Calibri"/>
            </a:rPr>
            <a:t> cell, then use arrow keys to move to the cells you want to close.  Mark each closed cell (full and partial closures!) with an 'X'.  If you don't want the cell to be closed, delete all marks in the cell.  If you only want the cell closed part of the year, mark the cell with 'X' and then put 0% in the monthly closure table (see input #7) for the months you want the cell open.  If you only want a bathymetric closure, mark the cell as closed with an 'X' and mark the bathymetric closure box with 'X' (see input #6). You can close a maximum of 10 grid cells.</a:t>
          </a:r>
        </a:p>
      </xdr:txBody>
    </xdr:sp>
    <xdr:clientData/>
  </xdr:twoCellAnchor>
  <xdr:twoCellAnchor editAs="oneCell">
    <xdr:from>
      <xdr:col>35</xdr:col>
      <xdr:colOff>106680</xdr:colOff>
      <xdr:row>22</xdr:row>
      <xdr:rowOff>175260</xdr:rowOff>
    </xdr:from>
    <xdr:to>
      <xdr:col>42</xdr:col>
      <xdr:colOff>457200</xdr:colOff>
      <xdr:row>37</xdr:row>
      <xdr:rowOff>129540</xdr:rowOff>
    </xdr:to>
    <xdr:pic>
      <xdr:nvPicPr>
        <xdr:cNvPr id="2235" name="Picture 19" descr="Cumulative Removals Baseline"/>
        <xdr:cNvPicPr>
          <a:picLocks noChangeAspect="1" noChangeArrowheads="1"/>
        </xdr:cNvPicPr>
      </xdr:nvPicPr>
      <xdr:blipFill>
        <a:blip xmlns:r="http://schemas.openxmlformats.org/officeDocument/2006/relationships" r:embed="rId2" cstate="print"/>
        <a:srcRect/>
        <a:stretch>
          <a:fillRect/>
        </a:stretch>
      </xdr:blipFill>
      <xdr:spPr bwMode="auto">
        <a:xfrm>
          <a:off x="17327880" y="6812280"/>
          <a:ext cx="5029200" cy="3909060"/>
        </a:xfrm>
        <a:prstGeom prst="rect">
          <a:avLst/>
        </a:prstGeom>
        <a:noFill/>
        <a:ln w="38100" cmpd="dbl">
          <a:solidFill>
            <a:srgbClr val="FFFF00"/>
          </a:solidFill>
          <a:miter lim="800000"/>
          <a:headEnd/>
          <a:tailEnd/>
        </a:ln>
      </xdr:spPr>
    </xdr:pic>
    <xdr:clientData/>
  </xdr:twoCellAnchor>
  <xdr:twoCellAnchor>
    <xdr:from>
      <xdr:col>18</xdr:col>
      <xdr:colOff>7620</xdr:colOff>
      <xdr:row>15</xdr:row>
      <xdr:rowOff>83820</xdr:rowOff>
    </xdr:from>
    <xdr:to>
      <xdr:col>18</xdr:col>
      <xdr:colOff>365760</xdr:colOff>
      <xdr:row>15</xdr:row>
      <xdr:rowOff>304800</xdr:rowOff>
    </xdr:to>
    <xdr:sp macro="" textlink="">
      <xdr:nvSpPr>
        <xdr:cNvPr id="2068" name="Text Box 20"/>
        <xdr:cNvSpPr txBox="1">
          <a:spLocks noChangeArrowheads="1"/>
        </xdr:cNvSpPr>
      </xdr:nvSpPr>
      <xdr:spPr bwMode="auto">
        <a:xfrm>
          <a:off x="11643360" y="4892040"/>
          <a:ext cx="35814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800" b="1" i="0" u="none" strike="noStrike" baseline="0">
              <a:solidFill>
                <a:srgbClr val="000080"/>
              </a:solidFill>
              <a:latin typeface="Calibri"/>
            </a:rPr>
            <a:t>2482</a:t>
          </a:r>
        </a:p>
      </xdr:txBody>
    </xdr:sp>
    <xdr:clientData/>
  </xdr:twoCellAnchor>
  <xdr:twoCellAnchor>
    <xdr:from>
      <xdr:col>19</xdr:col>
      <xdr:colOff>7620</xdr:colOff>
      <xdr:row>15</xdr:row>
      <xdr:rowOff>121920</xdr:rowOff>
    </xdr:from>
    <xdr:to>
      <xdr:col>20</xdr:col>
      <xdr:colOff>0</xdr:colOff>
      <xdr:row>16</xdr:row>
      <xdr:rowOff>7620</xdr:rowOff>
    </xdr:to>
    <xdr:sp macro="" textlink="">
      <xdr:nvSpPr>
        <xdr:cNvPr id="2069" name="Text Box 21"/>
        <xdr:cNvSpPr txBox="1">
          <a:spLocks noChangeArrowheads="1"/>
        </xdr:cNvSpPr>
      </xdr:nvSpPr>
      <xdr:spPr bwMode="auto">
        <a:xfrm>
          <a:off x="12009120" y="4930140"/>
          <a:ext cx="32766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800" b="1" i="0" u="none" strike="noStrike" baseline="0">
              <a:solidFill>
                <a:srgbClr val="000080"/>
              </a:solidFill>
              <a:latin typeface="Calibri"/>
            </a:rPr>
            <a:t>2481</a:t>
          </a:r>
        </a:p>
        <a:p>
          <a:pPr algn="ctr" rtl="0">
            <a:defRPr sz="1000"/>
          </a:pPr>
          <a:endParaRPr lang="en-US" sz="800" b="1" i="0" u="none" strike="noStrike" baseline="0">
            <a:solidFill>
              <a:srgbClr val="000080"/>
            </a:solidFill>
            <a:latin typeface="Calibri"/>
          </a:endParaRPr>
        </a:p>
      </xdr:txBody>
    </xdr:sp>
    <xdr:clientData/>
  </xdr:twoCellAnchor>
  <xdr:twoCellAnchor>
    <xdr:from>
      <xdr:col>19</xdr:col>
      <xdr:colOff>312420</xdr:colOff>
      <xdr:row>15</xdr:row>
      <xdr:rowOff>106680</xdr:rowOff>
    </xdr:from>
    <xdr:to>
      <xdr:col>21</xdr:col>
      <xdr:colOff>0</xdr:colOff>
      <xdr:row>15</xdr:row>
      <xdr:rowOff>312420</xdr:rowOff>
    </xdr:to>
    <xdr:sp macro="" textlink="">
      <xdr:nvSpPr>
        <xdr:cNvPr id="2070" name="Text Box 22"/>
        <xdr:cNvSpPr txBox="1">
          <a:spLocks noChangeArrowheads="1"/>
        </xdr:cNvSpPr>
      </xdr:nvSpPr>
      <xdr:spPr bwMode="auto">
        <a:xfrm>
          <a:off x="12313920" y="4914900"/>
          <a:ext cx="358140" cy="20574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800" b="1" i="0" u="none" strike="noStrike" baseline="0">
              <a:solidFill>
                <a:srgbClr val="000080"/>
              </a:solidFill>
              <a:latin typeface="Calibri"/>
            </a:rPr>
            <a:t>2480</a:t>
          </a:r>
        </a:p>
        <a:p>
          <a:pPr algn="ctr" rtl="0">
            <a:defRPr sz="1000"/>
          </a:pPr>
          <a:endParaRPr lang="en-US" sz="800" b="1" i="0" u="none" strike="noStrike" baseline="0">
            <a:solidFill>
              <a:srgbClr val="000080"/>
            </a:solidFill>
            <a:latin typeface="Calibri"/>
          </a:endParaRPr>
        </a:p>
      </xdr:txBody>
    </xdr:sp>
    <xdr:clientData/>
  </xdr:twoCellAnchor>
  <xdr:twoCellAnchor>
    <xdr:from>
      <xdr:col>21</xdr:col>
      <xdr:colOff>0</xdr:colOff>
      <xdr:row>15</xdr:row>
      <xdr:rowOff>106680</xdr:rowOff>
    </xdr:from>
    <xdr:to>
      <xdr:col>21</xdr:col>
      <xdr:colOff>335280</xdr:colOff>
      <xdr:row>15</xdr:row>
      <xdr:rowOff>327660</xdr:rowOff>
    </xdr:to>
    <xdr:sp macro="" textlink="">
      <xdr:nvSpPr>
        <xdr:cNvPr id="2071" name="Text Box 23"/>
        <xdr:cNvSpPr txBox="1">
          <a:spLocks noChangeArrowheads="1"/>
        </xdr:cNvSpPr>
      </xdr:nvSpPr>
      <xdr:spPr bwMode="auto">
        <a:xfrm>
          <a:off x="12672060" y="4914900"/>
          <a:ext cx="33528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800" b="1" i="0" u="none" strike="noStrike" baseline="0">
              <a:solidFill>
                <a:srgbClr val="000080"/>
              </a:solidFill>
              <a:latin typeface="Calibri"/>
            </a:rPr>
            <a:t>2479</a:t>
          </a:r>
        </a:p>
        <a:p>
          <a:pPr algn="ctr" rtl="0">
            <a:defRPr sz="1000"/>
          </a:pPr>
          <a:endParaRPr lang="en-US" sz="800" b="1" i="0" u="none" strike="noStrike" baseline="0">
            <a:solidFill>
              <a:srgbClr val="000080"/>
            </a:solidFill>
            <a:latin typeface="Calibri"/>
          </a:endParaRPr>
        </a:p>
      </xdr:txBody>
    </xdr:sp>
    <xdr:clientData/>
  </xdr:twoCellAnchor>
  <xdr:twoCellAnchor>
    <xdr:from>
      <xdr:col>19</xdr:col>
      <xdr:colOff>289560</xdr:colOff>
      <xdr:row>14</xdr:row>
      <xdr:rowOff>99060</xdr:rowOff>
    </xdr:from>
    <xdr:to>
      <xdr:col>21</xdr:col>
      <xdr:colOff>30480</xdr:colOff>
      <xdr:row>14</xdr:row>
      <xdr:rowOff>297180</xdr:rowOff>
    </xdr:to>
    <xdr:sp macro="" textlink="">
      <xdr:nvSpPr>
        <xdr:cNvPr id="2072" name="Text Box 24"/>
        <xdr:cNvSpPr txBox="1">
          <a:spLocks noChangeArrowheads="1"/>
        </xdr:cNvSpPr>
      </xdr:nvSpPr>
      <xdr:spPr bwMode="auto">
        <a:xfrm>
          <a:off x="12291060" y="4572000"/>
          <a:ext cx="411480" cy="1981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2580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434340</xdr:colOff>
      <xdr:row>14</xdr:row>
      <xdr:rowOff>99060</xdr:rowOff>
    </xdr:from>
    <xdr:to>
      <xdr:col>21</xdr:col>
      <xdr:colOff>426720</xdr:colOff>
      <xdr:row>14</xdr:row>
      <xdr:rowOff>327660</xdr:rowOff>
    </xdr:to>
    <xdr:sp macro="" textlink="">
      <xdr:nvSpPr>
        <xdr:cNvPr id="2073" name="Text Box 25"/>
        <xdr:cNvSpPr txBox="1">
          <a:spLocks noChangeArrowheads="1"/>
        </xdr:cNvSpPr>
      </xdr:nvSpPr>
      <xdr:spPr bwMode="auto">
        <a:xfrm>
          <a:off x="12672060" y="457200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2579</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312420</xdr:colOff>
      <xdr:row>13</xdr:row>
      <xdr:rowOff>121920</xdr:rowOff>
    </xdr:from>
    <xdr:to>
      <xdr:col>21</xdr:col>
      <xdr:colOff>0</xdr:colOff>
      <xdr:row>14</xdr:row>
      <xdr:rowOff>0</xdr:rowOff>
    </xdr:to>
    <xdr:sp macro="" textlink="">
      <xdr:nvSpPr>
        <xdr:cNvPr id="2074" name="Text Box 26"/>
        <xdr:cNvSpPr txBox="1">
          <a:spLocks noChangeArrowheads="1"/>
        </xdr:cNvSpPr>
      </xdr:nvSpPr>
      <xdr:spPr bwMode="auto">
        <a:xfrm>
          <a:off x="12313920" y="4259580"/>
          <a:ext cx="35814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2680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13</xdr:row>
      <xdr:rowOff>114300</xdr:rowOff>
    </xdr:from>
    <xdr:to>
      <xdr:col>21</xdr:col>
      <xdr:colOff>335280</xdr:colOff>
      <xdr:row>13</xdr:row>
      <xdr:rowOff>335280</xdr:rowOff>
    </xdr:to>
    <xdr:sp macro="" textlink="">
      <xdr:nvSpPr>
        <xdr:cNvPr id="2075" name="Text Box 27"/>
        <xdr:cNvSpPr txBox="1">
          <a:spLocks noChangeArrowheads="1"/>
        </xdr:cNvSpPr>
      </xdr:nvSpPr>
      <xdr:spPr bwMode="auto">
        <a:xfrm>
          <a:off x="12672060" y="42519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2679</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12</xdr:row>
      <xdr:rowOff>99060</xdr:rowOff>
    </xdr:from>
    <xdr:to>
      <xdr:col>21</xdr:col>
      <xdr:colOff>0</xdr:colOff>
      <xdr:row>12</xdr:row>
      <xdr:rowOff>327660</xdr:rowOff>
    </xdr:to>
    <xdr:sp macro="" textlink="">
      <xdr:nvSpPr>
        <xdr:cNvPr id="2076" name="Text Box 28"/>
        <xdr:cNvSpPr txBox="1">
          <a:spLocks noChangeArrowheads="1"/>
        </xdr:cNvSpPr>
      </xdr:nvSpPr>
      <xdr:spPr bwMode="auto">
        <a:xfrm>
          <a:off x="12336780" y="390144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312420</xdr:colOff>
      <xdr:row>12</xdr:row>
      <xdr:rowOff>99060</xdr:rowOff>
    </xdr:from>
    <xdr:to>
      <xdr:col>22</xdr:col>
      <xdr:colOff>7620</xdr:colOff>
      <xdr:row>12</xdr:row>
      <xdr:rowOff>327660</xdr:rowOff>
    </xdr:to>
    <xdr:sp macro="" textlink="">
      <xdr:nvSpPr>
        <xdr:cNvPr id="2077" name="Text Box 29"/>
        <xdr:cNvSpPr txBox="1">
          <a:spLocks noChangeArrowheads="1"/>
        </xdr:cNvSpPr>
      </xdr:nvSpPr>
      <xdr:spPr bwMode="auto">
        <a:xfrm>
          <a:off x="12649200" y="3901440"/>
          <a:ext cx="36576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297180</xdr:colOff>
      <xdr:row>12</xdr:row>
      <xdr:rowOff>99060</xdr:rowOff>
    </xdr:from>
    <xdr:to>
      <xdr:col>23</xdr:col>
      <xdr:colOff>45720</xdr:colOff>
      <xdr:row>12</xdr:row>
      <xdr:rowOff>312420</xdr:rowOff>
    </xdr:to>
    <xdr:sp macro="" textlink="">
      <xdr:nvSpPr>
        <xdr:cNvPr id="2078" name="Text Box 30"/>
        <xdr:cNvSpPr txBox="1">
          <a:spLocks noChangeArrowheads="1"/>
        </xdr:cNvSpPr>
      </xdr:nvSpPr>
      <xdr:spPr bwMode="auto">
        <a:xfrm>
          <a:off x="12969240" y="3901440"/>
          <a:ext cx="41910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2778</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11</xdr:row>
      <xdr:rowOff>99060</xdr:rowOff>
    </xdr:from>
    <xdr:to>
      <xdr:col>20</xdr:col>
      <xdr:colOff>335280</xdr:colOff>
      <xdr:row>11</xdr:row>
      <xdr:rowOff>320040</xdr:rowOff>
    </xdr:to>
    <xdr:sp macro="" textlink="">
      <xdr:nvSpPr>
        <xdr:cNvPr id="2079" name="Text Box 31"/>
        <xdr:cNvSpPr txBox="1">
          <a:spLocks noChangeArrowheads="1"/>
        </xdr:cNvSpPr>
      </xdr:nvSpPr>
      <xdr:spPr bwMode="auto">
        <a:xfrm>
          <a:off x="12336780" y="35661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11</xdr:row>
      <xdr:rowOff>99060</xdr:rowOff>
    </xdr:from>
    <xdr:to>
      <xdr:col>21</xdr:col>
      <xdr:colOff>335280</xdr:colOff>
      <xdr:row>11</xdr:row>
      <xdr:rowOff>320040</xdr:rowOff>
    </xdr:to>
    <xdr:sp macro="" textlink="">
      <xdr:nvSpPr>
        <xdr:cNvPr id="2080" name="Text Box 32"/>
        <xdr:cNvSpPr txBox="1">
          <a:spLocks noChangeArrowheads="1"/>
        </xdr:cNvSpPr>
      </xdr:nvSpPr>
      <xdr:spPr bwMode="auto">
        <a:xfrm>
          <a:off x="12672060" y="35661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2879</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0</xdr:colOff>
      <xdr:row>11</xdr:row>
      <xdr:rowOff>99060</xdr:rowOff>
    </xdr:from>
    <xdr:to>
      <xdr:col>23</xdr:col>
      <xdr:colOff>0</xdr:colOff>
      <xdr:row>11</xdr:row>
      <xdr:rowOff>327660</xdr:rowOff>
    </xdr:to>
    <xdr:sp macro="" textlink="">
      <xdr:nvSpPr>
        <xdr:cNvPr id="2081" name="Text Box 33"/>
        <xdr:cNvSpPr txBox="1">
          <a:spLocks noChangeArrowheads="1"/>
        </xdr:cNvSpPr>
      </xdr:nvSpPr>
      <xdr:spPr bwMode="auto">
        <a:xfrm>
          <a:off x="13007340" y="356616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2878</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312420</xdr:colOff>
      <xdr:row>11</xdr:row>
      <xdr:rowOff>99060</xdr:rowOff>
    </xdr:from>
    <xdr:to>
      <xdr:col>24</xdr:col>
      <xdr:colOff>22860</xdr:colOff>
      <xdr:row>11</xdr:row>
      <xdr:rowOff>327660</xdr:rowOff>
    </xdr:to>
    <xdr:sp macro="" textlink="">
      <xdr:nvSpPr>
        <xdr:cNvPr id="2082" name="Text Box 34"/>
        <xdr:cNvSpPr txBox="1">
          <a:spLocks noChangeArrowheads="1"/>
        </xdr:cNvSpPr>
      </xdr:nvSpPr>
      <xdr:spPr bwMode="auto">
        <a:xfrm>
          <a:off x="13319760" y="3566160"/>
          <a:ext cx="38100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2877</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320040</xdr:colOff>
      <xdr:row>10</xdr:row>
      <xdr:rowOff>99060</xdr:rowOff>
    </xdr:from>
    <xdr:to>
      <xdr:col>20</xdr:col>
      <xdr:colOff>45720</xdr:colOff>
      <xdr:row>11</xdr:row>
      <xdr:rowOff>68580</xdr:rowOff>
    </xdr:to>
    <xdr:sp macro="" textlink="">
      <xdr:nvSpPr>
        <xdr:cNvPr id="2083" name="Text Box 35"/>
        <xdr:cNvSpPr txBox="1">
          <a:spLocks noChangeArrowheads="1"/>
        </xdr:cNvSpPr>
      </xdr:nvSpPr>
      <xdr:spPr bwMode="auto">
        <a:xfrm>
          <a:off x="11955780" y="3230880"/>
          <a:ext cx="426720" cy="3048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2981</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297180</xdr:colOff>
      <xdr:row>10</xdr:row>
      <xdr:rowOff>99060</xdr:rowOff>
    </xdr:from>
    <xdr:to>
      <xdr:col>21</xdr:col>
      <xdr:colOff>22860</xdr:colOff>
      <xdr:row>11</xdr:row>
      <xdr:rowOff>0</xdr:rowOff>
    </xdr:to>
    <xdr:sp macro="" textlink="">
      <xdr:nvSpPr>
        <xdr:cNvPr id="2084" name="Text Box 36"/>
        <xdr:cNvSpPr txBox="1">
          <a:spLocks noChangeArrowheads="1"/>
        </xdr:cNvSpPr>
      </xdr:nvSpPr>
      <xdr:spPr bwMode="auto">
        <a:xfrm>
          <a:off x="12298680" y="323088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10</xdr:row>
      <xdr:rowOff>99060</xdr:rowOff>
    </xdr:from>
    <xdr:to>
      <xdr:col>22</xdr:col>
      <xdr:colOff>0</xdr:colOff>
      <xdr:row>10</xdr:row>
      <xdr:rowOff>327660</xdr:rowOff>
    </xdr:to>
    <xdr:sp macro="" textlink="">
      <xdr:nvSpPr>
        <xdr:cNvPr id="2085" name="Text Box 37"/>
        <xdr:cNvSpPr txBox="1">
          <a:spLocks noChangeArrowheads="1"/>
        </xdr:cNvSpPr>
      </xdr:nvSpPr>
      <xdr:spPr bwMode="auto">
        <a:xfrm>
          <a:off x="12672060" y="323088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327660</xdr:colOff>
      <xdr:row>10</xdr:row>
      <xdr:rowOff>99060</xdr:rowOff>
    </xdr:from>
    <xdr:to>
      <xdr:col>23</xdr:col>
      <xdr:colOff>22860</xdr:colOff>
      <xdr:row>10</xdr:row>
      <xdr:rowOff>327660</xdr:rowOff>
    </xdr:to>
    <xdr:sp macro="" textlink="">
      <xdr:nvSpPr>
        <xdr:cNvPr id="2086" name="Text Box 38"/>
        <xdr:cNvSpPr txBox="1">
          <a:spLocks noChangeArrowheads="1"/>
        </xdr:cNvSpPr>
      </xdr:nvSpPr>
      <xdr:spPr bwMode="auto">
        <a:xfrm>
          <a:off x="12999720" y="3230880"/>
          <a:ext cx="36576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2978</a:t>
          </a:r>
        </a:p>
        <a:p>
          <a:pPr algn="ctr" rtl="0">
            <a:defRPr sz="1000"/>
          </a:pPr>
          <a:endParaRPr lang="en-US" sz="1000" b="1" i="0" u="none" strike="noStrike" baseline="0">
            <a:solidFill>
              <a:srgbClr val="000080"/>
            </a:solidFill>
            <a:latin typeface="Calibri"/>
          </a:endParaRPr>
        </a:p>
      </xdr:txBody>
    </xdr:sp>
    <xdr:clientData/>
  </xdr:twoCellAnchor>
  <xdr:twoCellAnchor>
    <xdr:from>
      <xdr:col>23</xdr:col>
      <xdr:colOff>0</xdr:colOff>
      <xdr:row>10</xdr:row>
      <xdr:rowOff>99060</xdr:rowOff>
    </xdr:from>
    <xdr:to>
      <xdr:col>24</xdr:col>
      <xdr:colOff>0</xdr:colOff>
      <xdr:row>10</xdr:row>
      <xdr:rowOff>312420</xdr:rowOff>
    </xdr:to>
    <xdr:sp macro="" textlink="">
      <xdr:nvSpPr>
        <xdr:cNvPr id="2087" name="Text Box 39"/>
        <xdr:cNvSpPr txBox="1">
          <a:spLocks noChangeArrowheads="1"/>
        </xdr:cNvSpPr>
      </xdr:nvSpPr>
      <xdr:spPr bwMode="auto">
        <a:xfrm>
          <a:off x="13342620" y="3230880"/>
          <a:ext cx="33528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2977</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0</xdr:colOff>
      <xdr:row>10</xdr:row>
      <xdr:rowOff>99060</xdr:rowOff>
    </xdr:from>
    <xdr:to>
      <xdr:col>25</xdr:col>
      <xdr:colOff>0</xdr:colOff>
      <xdr:row>10</xdr:row>
      <xdr:rowOff>327660</xdr:rowOff>
    </xdr:to>
    <xdr:sp macro="" textlink="">
      <xdr:nvSpPr>
        <xdr:cNvPr id="2088" name="Text Box 40"/>
        <xdr:cNvSpPr txBox="1">
          <a:spLocks noChangeArrowheads="1"/>
        </xdr:cNvSpPr>
      </xdr:nvSpPr>
      <xdr:spPr bwMode="auto">
        <a:xfrm>
          <a:off x="13677900" y="323088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2976</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297180</xdr:colOff>
      <xdr:row>9</xdr:row>
      <xdr:rowOff>99060</xdr:rowOff>
    </xdr:from>
    <xdr:to>
      <xdr:col>20</xdr:col>
      <xdr:colOff>45720</xdr:colOff>
      <xdr:row>10</xdr:row>
      <xdr:rowOff>76200</xdr:rowOff>
    </xdr:to>
    <xdr:sp macro="" textlink="">
      <xdr:nvSpPr>
        <xdr:cNvPr id="2089" name="Text Box 41"/>
        <xdr:cNvSpPr txBox="1">
          <a:spLocks noChangeArrowheads="1"/>
        </xdr:cNvSpPr>
      </xdr:nvSpPr>
      <xdr:spPr bwMode="auto">
        <a:xfrm>
          <a:off x="11932920" y="2895600"/>
          <a:ext cx="449580" cy="3124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3081</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9</xdr:row>
      <xdr:rowOff>99060</xdr:rowOff>
    </xdr:from>
    <xdr:to>
      <xdr:col>21</xdr:col>
      <xdr:colOff>0</xdr:colOff>
      <xdr:row>9</xdr:row>
      <xdr:rowOff>327660</xdr:rowOff>
    </xdr:to>
    <xdr:sp macro="" textlink="">
      <xdr:nvSpPr>
        <xdr:cNvPr id="2090" name="Text Box 42"/>
        <xdr:cNvSpPr txBox="1">
          <a:spLocks noChangeArrowheads="1"/>
        </xdr:cNvSpPr>
      </xdr:nvSpPr>
      <xdr:spPr bwMode="auto">
        <a:xfrm>
          <a:off x="12336780" y="289560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304800</xdr:colOff>
      <xdr:row>9</xdr:row>
      <xdr:rowOff>99060</xdr:rowOff>
    </xdr:from>
    <xdr:to>
      <xdr:col>22</xdr:col>
      <xdr:colOff>22860</xdr:colOff>
      <xdr:row>10</xdr:row>
      <xdr:rowOff>7620</xdr:rowOff>
    </xdr:to>
    <xdr:sp macro="" textlink="">
      <xdr:nvSpPr>
        <xdr:cNvPr id="2091" name="Text Box 43"/>
        <xdr:cNvSpPr txBox="1">
          <a:spLocks noChangeArrowheads="1"/>
        </xdr:cNvSpPr>
      </xdr:nvSpPr>
      <xdr:spPr bwMode="auto">
        <a:xfrm>
          <a:off x="12641580" y="28956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312420</xdr:colOff>
      <xdr:row>9</xdr:row>
      <xdr:rowOff>83820</xdr:rowOff>
    </xdr:from>
    <xdr:to>
      <xdr:col>23</xdr:col>
      <xdr:colOff>22860</xdr:colOff>
      <xdr:row>9</xdr:row>
      <xdr:rowOff>304800</xdr:rowOff>
    </xdr:to>
    <xdr:sp macro="" textlink="">
      <xdr:nvSpPr>
        <xdr:cNvPr id="2092" name="Text Box 44"/>
        <xdr:cNvSpPr txBox="1">
          <a:spLocks noChangeArrowheads="1"/>
        </xdr:cNvSpPr>
      </xdr:nvSpPr>
      <xdr:spPr bwMode="auto">
        <a:xfrm>
          <a:off x="12984480" y="2880360"/>
          <a:ext cx="38100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3078</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312420</xdr:colOff>
      <xdr:row>9</xdr:row>
      <xdr:rowOff>83820</xdr:rowOff>
    </xdr:from>
    <xdr:to>
      <xdr:col>24</xdr:col>
      <xdr:colOff>22860</xdr:colOff>
      <xdr:row>9</xdr:row>
      <xdr:rowOff>304800</xdr:rowOff>
    </xdr:to>
    <xdr:sp macro="" textlink="">
      <xdr:nvSpPr>
        <xdr:cNvPr id="2093" name="Text Box 45"/>
        <xdr:cNvSpPr txBox="1">
          <a:spLocks noChangeArrowheads="1"/>
        </xdr:cNvSpPr>
      </xdr:nvSpPr>
      <xdr:spPr bwMode="auto">
        <a:xfrm>
          <a:off x="13319760" y="2880360"/>
          <a:ext cx="38100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3077</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0</xdr:colOff>
      <xdr:row>9</xdr:row>
      <xdr:rowOff>83820</xdr:rowOff>
    </xdr:from>
    <xdr:to>
      <xdr:col>25</xdr:col>
      <xdr:colOff>0</xdr:colOff>
      <xdr:row>9</xdr:row>
      <xdr:rowOff>304800</xdr:rowOff>
    </xdr:to>
    <xdr:sp macro="" textlink="">
      <xdr:nvSpPr>
        <xdr:cNvPr id="2094" name="Text Box 46"/>
        <xdr:cNvSpPr txBox="1">
          <a:spLocks noChangeArrowheads="1"/>
        </xdr:cNvSpPr>
      </xdr:nvSpPr>
      <xdr:spPr bwMode="auto">
        <a:xfrm>
          <a:off x="13677900" y="28803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3076</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304800</xdr:colOff>
      <xdr:row>9</xdr:row>
      <xdr:rowOff>83820</xdr:rowOff>
    </xdr:from>
    <xdr:to>
      <xdr:col>26</xdr:col>
      <xdr:colOff>30480</xdr:colOff>
      <xdr:row>9</xdr:row>
      <xdr:rowOff>304800</xdr:rowOff>
    </xdr:to>
    <xdr:sp macro="" textlink="">
      <xdr:nvSpPr>
        <xdr:cNvPr id="2095" name="Text Box 47"/>
        <xdr:cNvSpPr txBox="1">
          <a:spLocks noChangeArrowheads="1"/>
        </xdr:cNvSpPr>
      </xdr:nvSpPr>
      <xdr:spPr bwMode="auto">
        <a:xfrm>
          <a:off x="13982700" y="2880360"/>
          <a:ext cx="39624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3075</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304800</xdr:colOff>
      <xdr:row>8</xdr:row>
      <xdr:rowOff>30480</xdr:rowOff>
    </xdr:from>
    <xdr:to>
      <xdr:col>20</xdr:col>
      <xdr:colOff>45720</xdr:colOff>
      <xdr:row>9</xdr:row>
      <xdr:rowOff>7620</xdr:rowOff>
    </xdr:to>
    <xdr:sp macro="" textlink="">
      <xdr:nvSpPr>
        <xdr:cNvPr id="2096" name="Text Box 48"/>
        <xdr:cNvSpPr txBox="1">
          <a:spLocks noChangeArrowheads="1"/>
        </xdr:cNvSpPr>
      </xdr:nvSpPr>
      <xdr:spPr bwMode="auto">
        <a:xfrm>
          <a:off x="11940540" y="2491740"/>
          <a:ext cx="441960" cy="3124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3181</a:t>
          </a:r>
        </a:p>
      </xdr:txBody>
    </xdr:sp>
    <xdr:clientData/>
  </xdr:twoCellAnchor>
  <xdr:twoCellAnchor>
    <xdr:from>
      <xdr:col>19</xdr:col>
      <xdr:colOff>312420</xdr:colOff>
      <xdr:row>8</xdr:row>
      <xdr:rowOff>68580</xdr:rowOff>
    </xdr:from>
    <xdr:to>
      <xdr:col>21</xdr:col>
      <xdr:colOff>22860</xdr:colOff>
      <xdr:row>8</xdr:row>
      <xdr:rowOff>327660</xdr:rowOff>
    </xdr:to>
    <xdr:sp macro="" textlink="">
      <xdr:nvSpPr>
        <xdr:cNvPr id="2097" name="Text Box 49"/>
        <xdr:cNvSpPr txBox="1">
          <a:spLocks noChangeArrowheads="1"/>
        </xdr:cNvSpPr>
      </xdr:nvSpPr>
      <xdr:spPr bwMode="auto">
        <a:xfrm>
          <a:off x="1231392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3180</a:t>
          </a:r>
        </a:p>
      </xdr:txBody>
    </xdr:sp>
    <xdr:clientData/>
  </xdr:twoCellAnchor>
  <xdr:twoCellAnchor>
    <xdr:from>
      <xdr:col>20</xdr:col>
      <xdr:colOff>312420</xdr:colOff>
      <xdr:row>8</xdr:row>
      <xdr:rowOff>68580</xdr:rowOff>
    </xdr:from>
    <xdr:to>
      <xdr:col>22</xdr:col>
      <xdr:colOff>22860</xdr:colOff>
      <xdr:row>8</xdr:row>
      <xdr:rowOff>327660</xdr:rowOff>
    </xdr:to>
    <xdr:sp macro="" textlink="">
      <xdr:nvSpPr>
        <xdr:cNvPr id="2098" name="Text Box 50"/>
        <xdr:cNvSpPr txBox="1">
          <a:spLocks noChangeArrowheads="1"/>
        </xdr:cNvSpPr>
      </xdr:nvSpPr>
      <xdr:spPr bwMode="auto">
        <a:xfrm>
          <a:off x="1264920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3179</a:t>
          </a:r>
        </a:p>
      </xdr:txBody>
    </xdr:sp>
    <xdr:clientData/>
  </xdr:twoCellAnchor>
  <xdr:twoCellAnchor>
    <xdr:from>
      <xdr:col>21</xdr:col>
      <xdr:colOff>312420</xdr:colOff>
      <xdr:row>8</xdr:row>
      <xdr:rowOff>68580</xdr:rowOff>
    </xdr:from>
    <xdr:to>
      <xdr:col>23</xdr:col>
      <xdr:colOff>22860</xdr:colOff>
      <xdr:row>8</xdr:row>
      <xdr:rowOff>327660</xdr:rowOff>
    </xdr:to>
    <xdr:sp macro="" textlink="">
      <xdr:nvSpPr>
        <xdr:cNvPr id="2099" name="Text Box 51"/>
        <xdr:cNvSpPr txBox="1">
          <a:spLocks noChangeArrowheads="1"/>
        </xdr:cNvSpPr>
      </xdr:nvSpPr>
      <xdr:spPr bwMode="auto">
        <a:xfrm>
          <a:off x="1298448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3178</a:t>
          </a:r>
        </a:p>
      </xdr:txBody>
    </xdr:sp>
    <xdr:clientData/>
  </xdr:twoCellAnchor>
  <xdr:twoCellAnchor>
    <xdr:from>
      <xdr:col>22</xdr:col>
      <xdr:colOff>312420</xdr:colOff>
      <xdr:row>8</xdr:row>
      <xdr:rowOff>68580</xdr:rowOff>
    </xdr:from>
    <xdr:to>
      <xdr:col>24</xdr:col>
      <xdr:colOff>22860</xdr:colOff>
      <xdr:row>8</xdr:row>
      <xdr:rowOff>327660</xdr:rowOff>
    </xdr:to>
    <xdr:sp macro="" textlink="">
      <xdr:nvSpPr>
        <xdr:cNvPr id="2100" name="Text Box 52"/>
        <xdr:cNvSpPr txBox="1">
          <a:spLocks noChangeArrowheads="1"/>
        </xdr:cNvSpPr>
      </xdr:nvSpPr>
      <xdr:spPr bwMode="auto">
        <a:xfrm>
          <a:off x="1331976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3177</a:t>
          </a:r>
        </a:p>
      </xdr:txBody>
    </xdr:sp>
    <xdr:clientData/>
  </xdr:twoCellAnchor>
  <xdr:twoCellAnchor>
    <xdr:from>
      <xdr:col>23</xdr:col>
      <xdr:colOff>312420</xdr:colOff>
      <xdr:row>8</xdr:row>
      <xdr:rowOff>68580</xdr:rowOff>
    </xdr:from>
    <xdr:to>
      <xdr:col>25</xdr:col>
      <xdr:colOff>22860</xdr:colOff>
      <xdr:row>8</xdr:row>
      <xdr:rowOff>327660</xdr:rowOff>
    </xdr:to>
    <xdr:sp macro="" textlink="">
      <xdr:nvSpPr>
        <xdr:cNvPr id="2101" name="Text Box 53"/>
        <xdr:cNvSpPr txBox="1">
          <a:spLocks noChangeArrowheads="1"/>
        </xdr:cNvSpPr>
      </xdr:nvSpPr>
      <xdr:spPr bwMode="auto">
        <a:xfrm>
          <a:off x="1365504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3176</a:t>
          </a:r>
        </a:p>
      </xdr:txBody>
    </xdr:sp>
    <xdr:clientData/>
  </xdr:twoCellAnchor>
  <xdr:twoCellAnchor>
    <xdr:from>
      <xdr:col>24</xdr:col>
      <xdr:colOff>327660</xdr:colOff>
      <xdr:row>8</xdr:row>
      <xdr:rowOff>68580</xdr:rowOff>
    </xdr:from>
    <xdr:to>
      <xdr:col>26</xdr:col>
      <xdr:colOff>22860</xdr:colOff>
      <xdr:row>8</xdr:row>
      <xdr:rowOff>327660</xdr:rowOff>
    </xdr:to>
    <xdr:sp macro="" textlink="">
      <xdr:nvSpPr>
        <xdr:cNvPr id="2102" name="Text Box 54"/>
        <xdr:cNvSpPr txBox="1">
          <a:spLocks noChangeArrowheads="1"/>
        </xdr:cNvSpPr>
      </xdr:nvSpPr>
      <xdr:spPr bwMode="auto">
        <a:xfrm>
          <a:off x="14005560" y="2529840"/>
          <a:ext cx="36576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3175</a:t>
          </a:r>
        </a:p>
      </xdr:txBody>
    </xdr:sp>
    <xdr:clientData/>
  </xdr:twoCellAnchor>
  <xdr:twoCellAnchor>
    <xdr:from>
      <xdr:col>25</xdr:col>
      <xdr:colOff>312420</xdr:colOff>
      <xdr:row>8</xdr:row>
      <xdr:rowOff>68580</xdr:rowOff>
    </xdr:from>
    <xdr:to>
      <xdr:col>27</xdr:col>
      <xdr:colOff>22860</xdr:colOff>
      <xdr:row>8</xdr:row>
      <xdr:rowOff>327660</xdr:rowOff>
    </xdr:to>
    <xdr:sp macro="" textlink="">
      <xdr:nvSpPr>
        <xdr:cNvPr id="2103" name="Text Box 55"/>
        <xdr:cNvSpPr txBox="1">
          <a:spLocks noChangeArrowheads="1"/>
        </xdr:cNvSpPr>
      </xdr:nvSpPr>
      <xdr:spPr bwMode="auto">
        <a:xfrm>
          <a:off x="1432560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3174</a:t>
          </a:r>
        </a:p>
      </xdr:txBody>
    </xdr:sp>
    <xdr:clientData/>
  </xdr:twoCellAnchor>
  <xdr:twoCellAnchor>
    <xdr:from>
      <xdr:col>19</xdr:col>
      <xdr:colOff>312420</xdr:colOff>
      <xdr:row>7</xdr:row>
      <xdr:rowOff>76200</xdr:rowOff>
    </xdr:from>
    <xdr:to>
      <xdr:col>21</xdr:col>
      <xdr:colOff>22860</xdr:colOff>
      <xdr:row>7</xdr:row>
      <xdr:rowOff>327660</xdr:rowOff>
    </xdr:to>
    <xdr:sp macro="" textlink="">
      <xdr:nvSpPr>
        <xdr:cNvPr id="2104" name="Text Box 56"/>
        <xdr:cNvSpPr txBox="1">
          <a:spLocks noChangeArrowheads="1"/>
        </xdr:cNvSpPr>
      </xdr:nvSpPr>
      <xdr:spPr bwMode="auto">
        <a:xfrm>
          <a:off x="1231392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3280</a:t>
          </a:r>
        </a:p>
      </xdr:txBody>
    </xdr:sp>
    <xdr:clientData/>
  </xdr:twoCellAnchor>
  <xdr:twoCellAnchor>
    <xdr:from>
      <xdr:col>20</xdr:col>
      <xdr:colOff>312420</xdr:colOff>
      <xdr:row>7</xdr:row>
      <xdr:rowOff>76200</xdr:rowOff>
    </xdr:from>
    <xdr:to>
      <xdr:col>22</xdr:col>
      <xdr:colOff>22860</xdr:colOff>
      <xdr:row>7</xdr:row>
      <xdr:rowOff>327660</xdr:rowOff>
    </xdr:to>
    <xdr:sp macro="" textlink="">
      <xdr:nvSpPr>
        <xdr:cNvPr id="2105" name="Text Box 57"/>
        <xdr:cNvSpPr txBox="1">
          <a:spLocks noChangeArrowheads="1"/>
        </xdr:cNvSpPr>
      </xdr:nvSpPr>
      <xdr:spPr bwMode="auto">
        <a:xfrm>
          <a:off x="1264920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3279</a:t>
          </a:r>
        </a:p>
      </xdr:txBody>
    </xdr:sp>
    <xdr:clientData/>
  </xdr:twoCellAnchor>
  <xdr:twoCellAnchor>
    <xdr:from>
      <xdr:col>21</xdr:col>
      <xdr:colOff>312420</xdr:colOff>
      <xdr:row>7</xdr:row>
      <xdr:rowOff>76200</xdr:rowOff>
    </xdr:from>
    <xdr:to>
      <xdr:col>23</xdr:col>
      <xdr:colOff>22860</xdr:colOff>
      <xdr:row>7</xdr:row>
      <xdr:rowOff>327660</xdr:rowOff>
    </xdr:to>
    <xdr:sp macro="" textlink="">
      <xdr:nvSpPr>
        <xdr:cNvPr id="2106" name="Text Box 58"/>
        <xdr:cNvSpPr txBox="1">
          <a:spLocks noChangeArrowheads="1"/>
        </xdr:cNvSpPr>
      </xdr:nvSpPr>
      <xdr:spPr bwMode="auto">
        <a:xfrm>
          <a:off x="1298448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3278</a:t>
          </a:r>
        </a:p>
      </xdr:txBody>
    </xdr:sp>
    <xdr:clientData/>
  </xdr:twoCellAnchor>
  <xdr:twoCellAnchor>
    <xdr:from>
      <xdr:col>22</xdr:col>
      <xdr:colOff>312420</xdr:colOff>
      <xdr:row>7</xdr:row>
      <xdr:rowOff>76200</xdr:rowOff>
    </xdr:from>
    <xdr:to>
      <xdr:col>24</xdr:col>
      <xdr:colOff>22860</xdr:colOff>
      <xdr:row>7</xdr:row>
      <xdr:rowOff>327660</xdr:rowOff>
    </xdr:to>
    <xdr:sp macro="" textlink="">
      <xdr:nvSpPr>
        <xdr:cNvPr id="2107" name="Text Box 59"/>
        <xdr:cNvSpPr txBox="1">
          <a:spLocks noChangeArrowheads="1"/>
        </xdr:cNvSpPr>
      </xdr:nvSpPr>
      <xdr:spPr bwMode="auto">
        <a:xfrm>
          <a:off x="1331976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3277</a:t>
          </a:r>
        </a:p>
      </xdr:txBody>
    </xdr:sp>
    <xdr:clientData/>
  </xdr:twoCellAnchor>
  <xdr:twoCellAnchor>
    <xdr:from>
      <xdr:col>23</xdr:col>
      <xdr:colOff>312420</xdr:colOff>
      <xdr:row>7</xdr:row>
      <xdr:rowOff>76200</xdr:rowOff>
    </xdr:from>
    <xdr:to>
      <xdr:col>25</xdr:col>
      <xdr:colOff>22860</xdr:colOff>
      <xdr:row>7</xdr:row>
      <xdr:rowOff>327660</xdr:rowOff>
    </xdr:to>
    <xdr:sp macro="" textlink="">
      <xdr:nvSpPr>
        <xdr:cNvPr id="2108" name="Text Box 60"/>
        <xdr:cNvSpPr txBox="1">
          <a:spLocks noChangeArrowheads="1"/>
        </xdr:cNvSpPr>
      </xdr:nvSpPr>
      <xdr:spPr bwMode="auto">
        <a:xfrm>
          <a:off x="1365504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3276</a:t>
          </a:r>
        </a:p>
      </xdr:txBody>
    </xdr:sp>
    <xdr:clientData/>
  </xdr:twoCellAnchor>
  <xdr:twoCellAnchor>
    <xdr:from>
      <xdr:col>24</xdr:col>
      <xdr:colOff>312420</xdr:colOff>
      <xdr:row>7</xdr:row>
      <xdr:rowOff>76200</xdr:rowOff>
    </xdr:from>
    <xdr:to>
      <xdr:col>26</xdr:col>
      <xdr:colOff>22860</xdr:colOff>
      <xdr:row>7</xdr:row>
      <xdr:rowOff>327660</xdr:rowOff>
    </xdr:to>
    <xdr:sp macro="" textlink="">
      <xdr:nvSpPr>
        <xdr:cNvPr id="2109" name="Text Box 61"/>
        <xdr:cNvSpPr txBox="1">
          <a:spLocks noChangeArrowheads="1"/>
        </xdr:cNvSpPr>
      </xdr:nvSpPr>
      <xdr:spPr bwMode="auto">
        <a:xfrm>
          <a:off x="1399032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3275</a:t>
          </a:r>
        </a:p>
      </xdr:txBody>
    </xdr:sp>
    <xdr:clientData/>
  </xdr:twoCellAnchor>
  <xdr:twoCellAnchor>
    <xdr:from>
      <xdr:col>25</xdr:col>
      <xdr:colOff>312420</xdr:colOff>
      <xdr:row>7</xdr:row>
      <xdr:rowOff>76200</xdr:rowOff>
    </xdr:from>
    <xdr:to>
      <xdr:col>27</xdr:col>
      <xdr:colOff>22860</xdr:colOff>
      <xdr:row>7</xdr:row>
      <xdr:rowOff>327660</xdr:rowOff>
    </xdr:to>
    <xdr:sp macro="" textlink="">
      <xdr:nvSpPr>
        <xdr:cNvPr id="2110" name="Text Box 62"/>
        <xdr:cNvSpPr txBox="1">
          <a:spLocks noChangeArrowheads="1"/>
        </xdr:cNvSpPr>
      </xdr:nvSpPr>
      <xdr:spPr bwMode="auto">
        <a:xfrm>
          <a:off x="1432560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3274</a:t>
          </a:r>
        </a:p>
      </xdr:txBody>
    </xdr:sp>
    <xdr:clientData/>
  </xdr:twoCellAnchor>
  <xdr:twoCellAnchor>
    <xdr:from>
      <xdr:col>26</xdr:col>
      <xdr:colOff>312420</xdr:colOff>
      <xdr:row>7</xdr:row>
      <xdr:rowOff>76200</xdr:rowOff>
    </xdr:from>
    <xdr:to>
      <xdr:col>28</xdr:col>
      <xdr:colOff>22860</xdr:colOff>
      <xdr:row>7</xdr:row>
      <xdr:rowOff>327660</xdr:rowOff>
    </xdr:to>
    <xdr:sp macro="" textlink="">
      <xdr:nvSpPr>
        <xdr:cNvPr id="2111" name="Text Box 63"/>
        <xdr:cNvSpPr txBox="1">
          <a:spLocks noChangeArrowheads="1"/>
        </xdr:cNvSpPr>
      </xdr:nvSpPr>
      <xdr:spPr bwMode="auto">
        <a:xfrm>
          <a:off x="1466088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3273</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304800</xdr:colOff>
      <xdr:row>6</xdr:row>
      <xdr:rowOff>68580</xdr:rowOff>
    </xdr:from>
    <xdr:to>
      <xdr:col>22</xdr:col>
      <xdr:colOff>22860</xdr:colOff>
      <xdr:row>6</xdr:row>
      <xdr:rowOff>312420</xdr:rowOff>
    </xdr:to>
    <xdr:sp macro="" textlink="">
      <xdr:nvSpPr>
        <xdr:cNvPr id="2112" name="Text Box 64"/>
        <xdr:cNvSpPr txBox="1">
          <a:spLocks noChangeArrowheads="1"/>
        </xdr:cNvSpPr>
      </xdr:nvSpPr>
      <xdr:spPr bwMode="auto">
        <a:xfrm>
          <a:off x="1264158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3379</a:t>
          </a:r>
        </a:p>
      </xdr:txBody>
    </xdr:sp>
    <xdr:clientData/>
  </xdr:twoCellAnchor>
  <xdr:twoCellAnchor>
    <xdr:from>
      <xdr:col>21</xdr:col>
      <xdr:colOff>304800</xdr:colOff>
      <xdr:row>6</xdr:row>
      <xdr:rowOff>68580</xdr:rowOff>
    </xdr:from>
    <xdr:to>
      <xdr:col>23</xdr:col>
      <xdr:colOff>22860</xdr:colOff>
      <xdr:row>6</xdr:row>
      <xdr:rowOff>312420</xdr:rowOff>
    </xdr:to>
    <xdr:sp macro="" textlink="">
      <xdr:nvSpPr>
        <xdr:cNvPr id="2113" name="Text Box 65"/>
        <xdr:cNvSpPr txBox="1">
          <a:spLocks noChangeArrowheads="1"/>
        </xdr:cNvSpPr>
      </xdr:nvSpPr>
      <xdr:spPr bwMode="auto">
        <a:xfrm>
          <a:off x="1297686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3378</a:t>
          </a:r>
        </a:p>
      </xdr:txBody>
    </xdr:sp>
    <xdr:clientData/>
  </xdr:twoCellAnchor>
  <xdr:twoCellAnchor>
    <xdr:from>
      <xdr:col>22</xdr:col>
      <xdr:colOff>304800</xdr:colOff>
      <xdr:row>6</xdr:row>
      <xdr:rowOff>68580</xdr:rowOff>
    </xdr:from>
    <xdr:to>
      <xdr:col>24</xdr:col>
      <xdr:colOff>22860</xdr:colOff>
      <xdr:row>6</xdr:row>
      <xdr:rowOff>312420</xdr:rowOff>
    </xdr:to>
    <xdr:sp macro="" textlink="">
      <xdr:nvSpPr>
        <xdr:cNvPr id="2114" name="Text Box 66"/>
        <xdr:cNvSpPr txBox="1">
          <a:spLocks noChangeArrowheads="1"/>
        </xdr:cNvSpPr>
      </xdr:nvSpPr>
      <xdr:spPr bwMode="auto">
        <a:xfrm>
          <a:off x="1331214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3377</a:t>
          </a:r>
        </a:p>
      </xdr:txBody>
    </xdr:sp>
    <xdr:clientData/>
  </xdr:twoCellAnchor>
  <xdr:twoCellAnchor>
    <xdr:from>
      <xdr:col>23</xdr:col>
      <xdr:colOff>304800</xdr:colOff>
      <xdr:row>6</xdr:row>
      <xdr:rowOff>68580</xdr:rowOff>
    </xdr:from>
    <xdr:to>
      <xdr:col>25</xdr:col>
      <xdr:colOff>22860</xdr:colOff>
      <xdr:row>6</xdr:row>
      <xdr:rowOff>312420</xdr:rowOff>
    </xdr:to>
    <xdr:sp macro="" textlink="">
      <xdr:nvSpPr>
        <xdr:cNvPr id="2115" name="Text Box 67"/>
        <xdr:cNvSpPr txBox="1">
          <a:spLocks noChangeArrowheads="1"/>
        </xdr:cNvSpPr>
      </xdr:nvSpPr>
      <xdr:spPr bwMode="auto">
        <a:xfrm>
          <a:off x="1364742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3376</a:t>
          </a:r>
        </a:p>
      </xdr:txBody>
    </xdr:sp>
    <xdr:clientData/>
  </xdr:twoCellAnchor>
  <xdr:twoCellAnchor>
    <xdr:from>
      <xdr:col>24</xdr:col>
      <xdr:colOff>304800</xdr:colOff>
      <xdr:row>6</xdr:row>
      <xdr:rowOff>68580</xdr:rowOff>
    </xdr:from>
    <xdr:to>
      <xdr:col>26</xdr:col>
      <xdr:colOff>22860</xdr:colOff>
      <xdr:row>6</xdr:row>
      <xdr:rowOff>312420</xdr:rowOff>
    </xdr:to>
    <xdr:sp macro="" textlink="">
      <xdr:nvSpPr>
        <xdr:cNvPr id="2116" name="Text Box 68"/>
        <xdr:cNvSpPr txBox="1">
          <a:spLocks noChangeArrowheads="1"/>
        </xdr:cNvSpPr>
      </xdr:nvSpPr>
      <xdr:spPr bwMode="auto">
        <a:xfrm>
          <a:off x="1398270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3375</a:t>
          </a:r>
        </a:p>
      </xdr:txBody>
    </xdr:sp>
    <xdr:clientData/>
  </xdr:twoCellAnchor>
  <xdr:twoCellAnchor>
    <xdr:from>
      <xdr:col>25</xdr:col>
      <xdr:colOff>304800</xdr:colOff>
      <xdr:row>6</xdr:row>
      <xdr:rowOff>68580</xdr:rowOff>
    </xdr:from>
    <xdr:to>
      <xdr:col>27</xdr:col>
      <xdr:colOff>22860</xdr:colOff>
      <xdr:row>6</xdr:row>
      <xdr:rowOff>312420</xdr:rowOff>
    </xdr:to>
    <xdr:sp macro="" textlink="">
      <xdr:nvSpPr>
        <xdr:cNvPr id="2117" name="Text Box 69"/>
        <xdr:cNvSpPr txBox="1">
          <a:spLocks noChangeArrowheads="1"/>
        </xdr:cNvSpPr>
      </xdr:nvSpPr>
      <xdr:spPr bwMode="auto">
        <a:xfrm>
          <a:off x="1431798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3374</a:t>
          </a:r>
        </a:p>
      </xdr:txBody>
    </xdr:sp>
    <xdr:clientData/>
  </xdr:twoCellAnchor>
  <xdr:twoCellAnchor>
    <xdr:from>
      <xdr:col>26</xdr:col>
      <xdr:colOff>312420</xdr:colOff>
      <xdr:row>6</xdr:row>
      <xdr:rowOff>68580</xdr:rowOff>
    </xdr:from>
    <xdr:to>
      <xdr:col>28</xdr:col>
      <xdr:colOff>22860</xdr:colOff>
      <xdr:row>6</xdr:row>
      <xdr:rowOff>312420</xdr:rowOff>
    </xdr:to>
    <xdr:sp macro="" textlink="">
      <xdr:nvSpPr>
        <xdr:cNvPr id="2118" name="Text Box 70"/>
        <xdr:cNvSpPr txBox="1">
          <a:spLocks noChangeArrowheads="1"/>
        </xdr:cNvSpPr>
      </xdr:nvSpPr>
      <xdr:spPr bwMode="auto">
        <a:xfrm>
          <a:off x="14660880" y="185928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3373</a:t>
          </a:r>
        </a:p>
      </xdr:txBody>
    </xdr:sp>
    <xdr:clientData/>
  </xdr:twoCellAnchor>
  <xdr:twoCellAnchor>
    <xdr:from>
      <xdr:col>27</xdr:col>
      <xdr:colOff>312420</xdr:colOff>
      <xdr:row>6</xdr:row>
      <xdr:rowOff>68580</xdr:rowOff>
    </xdr:from>
    <xdr:to>
      <xdr:col>29</xdr:col>
      <xdr:colOff>22860</xdr:colOff>
      <xdr:row>6</xdr:row>
      <xdr:rowOff>312420</xdr:rowOff>
    </xdr:to>
    <xdr:sp macro="" textlink="">
      <xdr:nvSpPr>
        <xdr:cNvPr id="2119" name="Text Box 71"/>
        <xdr:cNvSpPr txBox="1">
          <a:spLocks noChangeArrowheads="1"/>
        </xdr:cNvSpPr>
      </xdr:nvSpPr>
      <xdr:spPr bwMode="auto">
        <a:xfrm>
          <a:off x="14996160" y="185928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3372</a:t>
          </a:r>
        </a:p>
      </xdr:txBody>
    </xdr:sp>
    <xdr:clientData/>
  </xdr:twoCellAnchor>
  <xdr:twoCellAnchor>
    <xdr:from>
      <xdr:col>22</xdr:col>
      <xdr:colOff>304800</xdr:colOff>
      <xdr:row>5</xdr:row>
      <xdr:rowOff>68580</xdr:rowOff>
    </xdr:from>
    <xdr:to>
      <xdr:col>24</xdr:col>
      <xdr:colOff>22860</xdr:colOff>
      <xdr:row>5</xdr:row>
      <xdr:rowOff>312420</xdr:rowOff>
    </xdr:to>
    <xdr:sp macro="" textlink="">
      <xdr:nvSpPr>
        <xdr:cNvPr id="2120" name="Text Box 72"/>
        <xdr:cNvSpPr txBox="1">
          <a:spLocks noChangeArrowheads="1"/>
        </xdr:cNvSpPr>
      </xdr:nvSpPr>
      <xdr:spPr bwMode="auto">
        <a:xfrm>
          <a:off x="1331214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3477</a:t>
          </a:r>
        </a:p>
      </xdr:txBody>
    </xdr:sp>
    <xdr:clientData/>
  </xdr:twoCellAnchor>
  <xdr:twoCellAnchor>
    <xdr:from>
      <xdr:col>23</xdr:col>
      <xdr:colOff>312420</xdr:colOff>
      <xdr:row>5</xdr:row>
      <xdr:rowOff>68580</xdr:rowOff>
    </xdr:from>
    <xdr:to>
      <xdr:col>25</xdr:col>
      <xdr:colOff>22860</xdr:colOff>
      <xdr:row>5</xdr:row>
      <xdr:rowOff>312420</xdr:rowOff>
    </xdr:to>
    <xdr:sp macro="" textlink="">
      <xdr:nvSpPr>
        <xdr:cNvPr id="2121" name="Text Box 73"/>
        <xdr:cNvSpPr txBox="1">
          <a:spLocks noChangeArrowheads="1"/>
        </xdr:cNvSpPr>
      </xdr:nvSpPr>
      <xdr:spPr bwMode="auto">
        <a:xfrm>
          <a:off x="1365504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3476</a:t>
          </a:r>
        </a:p>
      </xdr:txBody>
    </xdr:sp>
    <xdr:clientData/>
  </xdr:twoCellAnchor>
  <xdr:twoCellAnchor>
    <xdr:from>
      <xdr:col>24</xdr:col>
      <xdr:colOff>312420</xdr:colOff>
      <xdr:row>5</xdr:row>
      <xdr:rowOff>68580</xdr:rowOff>
    </xdr:from>
    <xdr:to>
      <xdr:col>26</xdr:col>
      <xdr:colOff>22860</xdr:colOff>
      <xdr:row>5</xdr:row>
      <xdr:rowOff>312420</xdr:rowOff>
    </xdr:to>
    <xdr:sp macro="" textlink="">
      <xdr:nvSpPr>
        <xdr:cNvPr id="2122" name="Text Box 74"/>
        <xdr:cNvSpPr txBox="1">
          <a:spLocks noChangeArrowheads="1"/>
        </xdr:cNvSpPr>
      </xdr:nvSpPr>
      <xdr:spPr bwMode="auto">
        <a:xfrm>
          <a:off x="1399032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3475</a:t>
          </a:r>
        </a:p>
      </xdr:txBody>
    </xdr:sp>
    <xdr:clientData/>
  </xdr:twoCellAnchor>
  <xdr:twoCellAnchor>
    <xdr:from>
      <xdr:col>25</xdr:col>
      <xdr:colOff>304800</xdr:colOff>
      <xdr:row>5</xdr:row>
      <xdr:rowOff>68580</xdr:rowOff>
    </xdr:from>
    <xdr:to>
      <xdr:col>27</xdr:col>
      <xdr:colOff>22860</xdr:colOff>
      <xdr:row>5</xdr:row>
      <xdr:rowOff>312420</xdr:rowOff>
    </xdr:to>
    <xdr:sp macro="" textlink="">
      <xdr:nvSpPr>
        <xdr:cNvPr id="2123" name="Text Box 75"/>
        <xdr:cNvSpPr txBox="1">
          <a:spLocks noChangeArrowheads="1"/>
        </xdr:cNvSpPr>
      </xdr:nvSpPr>
      <xdr:spPr bwMode="auto">
        <a:xfrm>
          <a:off x="1431798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3474</a:t>
          </a:r>
        </a:p>
      </xdr:txBody>
    </xdr:sp>
    <xdr:clientData/>
  </xdr:twoCellAnchor>
  <xdr:twoCellAnchor>
    <xdr:from>
      <xdr:col>26</xdr:col>
      <xdr:colOff>304800</xdr:colOff>
      <xdr:row>5</xdr:row>
      <xdr:rowOff>68580</xdr:rowOff>
    </xdr:from>
    <xdr:to>
      <xdr:col>28</xdr:col>
      <xdr:colOff>22860</xdr:colOff>
      <xdr:row>5</xdr:row>
      <xdr:rowOff>312420</xdr:rowOff>
    </xdr:to>
    <xdr:sp macro="" textlink="">
      <xdr:nvSpPr>
        <xdr:cNvPr id="2124" name="Text Box 76"/>
        <xdr:cNvSpPr txBox="1">
          <a:spLocks noChangeArrowheads="1"/>
        </xdr:cNvSpPr>
      </xdr:nvSpPr>
      <xdr:spPr bwMode="auto">
        <a:xfrm>
          <a:off x="1465326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3473</a:t>
          </a:r>
        </a:p>
      </xdr:txBody>
    </xdr:sp>
    <xdr:clientData/>
  </xdr:twoCellAnchor>
  <xdr:twoCellAnchor>
    <xdr:from>
      <xdr:col>27</xdr:col>
      <xdr:colOff>312420</xdr:colOff>
      <xdr:row>5</xdr:row>
      <xdr:rowOff>68580</xdr:rowOff>
    </xdr:from>
    <xdr:to>
      <xdr:col>29</xdr:col>
      <xdr:colOff>22860</xdr:colOff>
      <xdr:row>5</xdr:row>
      <xdr:rowOff>312420</xdr:rowOff>
    </xdr:to>
    <xdr:sp macro="" textlink="">
      <xdr:nvSpPr>
        <xdr:cNvPr id="2125" name="Text Box 77"/>
        <xdr:cNvSpPr txBox="1">
          <a:spLocks noChangeArrowheads="1"/>
        </xdr:cNvSpPr>
      </xdr:nvSpPr>
      <xdr:spPr bwMode="auto">
        <a:xfrm>
          <a:off x="1499616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3472</a:t>
          </a:r>
        </a:p>
      </xdr:txBody>
    </xdr:sp>
    <xdr:clientData/>
  </xdr:twoCellAnchor>
  <xdr:twoCellAnchor>
    <xdr:from>
      <xdr:col>28</xdr:col>
      <xdr:colOff>312420</xdr:colOff>
      <xdr:row>5</xdr:row>
      <xdr:rowOff>68580</xdr:rowOff>
    </xdr:from>
    <xdr:to>
      <xdr:col>30</xdr:col>
      <xdr:colOff>22860</xdr:colOff>
      <xdr:row>5</xdr:row>
      <xdr:rowOff>312420</xdr:rowOff>
    </xdr:to>
    <xdr:sp macro="" textlink="">
      <xdr:nvSpPr>
        <xdr:cNvPr id="2126" name="Text Box 78"/>
        <xdr:cNvSpPr txBox="1">
          <a:spLocks noChangeArrowheads="1"/>
        </xdr:cNvSpPr>
      </xdr:nvSpPr>
      <xdr:spPr bwMode="auto">
        <a:xfrm>
          <a:off x="1533144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3471</a:t>
          </a:r>
        </a:p>
      </xdr:txBody>
    </xdr:sp>
    <xdr:clientData/>
  </xdr:twoCellAnchor>
  <xdr:twoCellAnchor>
    <xdr:from>
      <xdr:col>24</xdr:col>
      <xdr:colOff>304800</xdr:colOff>
      <xdr:row>4</xdr:row>
      <xdr:rowOff>83820</xdr:rowOff>
    </xdr:from>
    <xdr:to>
      <xdr:col>26</xdr:col>
      <xdr:colOff>38100</xdr:colOff>
      <xdr:row>4</xdr:row>
      <xdr:rowOff>327660</xdr:rowOff>
    </xdr:to>
    <xdr:sp macro="" textlink="">
      <xdr:nvSpPr>
        <xdr:cNvPr id="2127" name="Text Box 79"/>
        <xdr:cNvSpPr txBox="1">
          <a:spLocks noChangeArrowheads="1"/>
        </xdr:cNvSpPr>
      </xdr:nvSpPr>
      <xdr:spPr bwMode="auto">
        <a:xfrm>
          <a:off x="1398270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3575</a:t>
          </a:r>
        </a:p>
      </xdr:txBody>
    </xdr:sp>
    <xdr:clientData/>
  </xdr:twoCellAnchor>
  <xdr:twoCellAnchor>
    <xdr:from>
      <xdr:col>25</xdr:col>
      <xdr:colOff>304800</xdr:colOff>
      <xdr:row>4</xdr:row>
      <xdr:rowOff>83820</xdr:rowOff>
    </xdr:from>
    <xdr:to>
      <xdr:col>27</xdr:col>
      <xdr:colOff>38100</xdr:colOff>
      <xdr:row>4</xdr:row>
      <xdr:rowOff>327660</xdr:rowOff>
    </xdr:to>
    <xdr:sp macro="" textlink="">
      <xdr:nvSpPr>
        <xdr:cNvPr id="2128" name="Text Box 80"/>
        <xdr:cNvSpPr txBox="1">
          <a:spLocks noChangeArrowheads="1"/>
        </xdr:cNvSpPr>
      </xdr:nvSpPr>
      <xdr:spPr bwMode="auto">
        <a:xfrm>
          <a:off x="1431798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3574</a:t>
          </a:r>
        </a:p>
      </xdr:txBody>
    </xdr:sp>
    <xdr:clientData/>
  </xdr:twoCellAnchor>
  <xdr:twoCellAnchor>
    <xdr:from>
      <xdr:col>26</xdr:col>
      <xdr:colOff>304800</xdr:colOff>
      <xdr:row>4</xdr:row>
      <xdr:rowOff>83820</xdr:rowOff>
    </xdr:from>
    <xdr:to>
      <xdr:col>28</xdr:col>
      <xdr:colOff>38100</xdr:colOff>
      <xdr:row>4</xdr:row>
      <xdr:rowOff>327660</xdr:rowOff>
    </xdr:to>
    <xdr:sp macro="" textlink="">
      <xdr:nvSpPr>
        <xdr:cNvPr id="2129" name="Text Box 81"/>
        <xdr:cNvSpPr txBox="1">
          <a:spLocks noChangeArrowheads="1"/>
        </xdr:cNvSpPr>
      </xdr:nvSpPr>
      <xdr:spPr bwMode="auto">
        <a:xfrm>
          <a:off x="1465326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3573</a:t>
          </a:r>
        </a:p>
      </xdr:txBody>
    </xdr:sp>
    <xdr:clientData/>
  </xdr:twoCellAnchor>
  <xdr:twoCellAnchor>
    <xdr:from>
      <xdr:col>27</xdr:col>
      <xdr:colOff>304800</xdr:colOff>
      <xdr:row>4</xdr:row>
      <xdr:rowOff>83820</xdr:rowOff>
    </xdr:from>
    <xdr:to>
      <xdr:col>29</xdr:col>
      <xdr:colOff>38100</xdr:colOff>
      <xdr:row>4</xdr:row>
      <xdr:rowOff>327660</xdr:rowOff>
    </xdr:to>
    <xdr:sp macro="" textlink="">
      <xdr:nvSpPr>
        <xdr:cNvPr id="2130" name="Text Box 82"/>
        <xdr:cNvSpPr txBox="1">
          <a:spLocks noChangeArrowheads="1"/>
        </xdr:cNvSpPr>
      </xdr:nvSpPr>
      <xdr:spPr bwMode="auto">
        <a:xfrm>
          <a:off x="1498854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3572</a:t>
          </a:r>
        </a:p>
      </xdr:txBody>
    </xdr:sp>
    <xdr:clientData/>
  </xdr:twoCellAnchor>
  <xdr:twoCellAnchor>
    <xdr:from>
      <xdr:col>28</xdr:col>
      <xdr:colOff>304800</xdr:colOff>
      <xdr:row>4</xdr:row>
      <xdr:rowOff>83820</xdr:rowOff>
    </xdr:from>
    <xdr:to>
      <xdr:col>30</xdr:col>
      <xdr:colOff>38100</xdr:colOff>
      <xdr:row>4</xdr:row>
      <xdr:rowOff>327660</xdr:rowOff>
    </xdr:to>
    <xdr:sp macro="" textlink="">
      <xdr:nvSpPr>
        <xdr:cNvPr id="2131" name="Text Box 83"/>
        <xdr:cNvSpPr txBox="1">
          <a:spLocks noChangeArrowheads="1"/>
        </xdr:cNvSpPr>
      </xdr:nvSpPr>
      <xdr:spPr bwMode="auto">
        <a:xfrm>
          <a:off x="1532382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3571</a:t>
          </a:r>
        </a:p>
      </xdr:txBody>
    </xdr:sp>
    <xdr:clientData/>
  </xdr:twoCellAnchor>
  <xdr:twoCellAnchor>
    <xdr:from>
      <xdr:col>29</xdr:col>
      <xdr:colOff>304800</xdr:colOff>
      <xdr:row>4</xdr:row>
      <xdr:rowOff>83820</xdr:rowOff>
    </xdr:from>
    <xdr:to>
      <xdr:col>31</xdr:col>
      <xdr:colOff>38100</xdr:colOff>
      <xdr:row>4</xdr:row>
      <xdr:rowOff>327660</xdr:rowOff>
    </xdr:to>
    <xdr:sp macro="" textlink="">
      <xdr:nvSpPr>
        <xdr:cNvPr id="2132" name="Text Box 84"/>
        <xdr:cNvSpPr txBox="1">
          <a:spLocks noChangeArrowheads="1"/>
        </xdr:cNvSpPr>
      </xdr:nvSpPr>
      <xdr:spPr bwMode="auto">
        <a:xfrm>
          <a:off x="15659100" y="1203960"/>
          <a:ext cx="43434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3570</a:t>
          </a:r>
        </a:p>
      </xdr:txBody>
    </xdr:sp>
    <xdr:clientData/>
  </xdr:twoCellAnchor>
  <xdr:twoCellAnchor>
    <xdr:from>
      <xdr:col>24</xdr:col>
      <xdr:colOff>312420</xdr:colOff>
      <xdr:row>3</xdr:row>
      <xdr:rowOff>76200</xdr:rowOff>
    </xdr:from>
    <xdr:to>
      <xdr:col>26</xdr:col>
      <xdr:colOff>38100</xdr:colOff>
      <xdr:row>3</xdr:row>
      <xdr:rowOff>312420</xdr:rowOff>
    </xdr:to>
    <xdr:sp macro="" textlink="">
      <xdr:nvSpPr>
        <xdr:cNvPr id="2133" name="Text Box 85"/>
        <xdr:cNvSpPr txBox="1">
          <a:spLocks noChangeArrowheads="1"/>
        </xdr:cNvSpPr>
      </xdr:nvSpPr>
      <xdr:spPr bwMode="auto">
        <a:xfrm>
          <a:off x="1399032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3675</a:t>
          </a:r>
        </a:p>
      </xdr:txBody>
    </xdr:sp>
    <xdr:clientData/>
  </xdr:twoCellAnchor>
  <xdr:twoCellAnchor>
    <xdr:from>
      <xdr:col>25</xdr:col>
      <xdr:colOff>312420</xdr:colOff>
      <xdr:row>3</xdr:row>
      <xdr:rowOff>76200</xdr:rowOff>
    </xdr:from>
    <xdr:to>
      <xdr:col>27</xdr:col>
      <xdr:colOff>38100</xdr:colOff>
      <xdr:row>3</xdr:row>
      <xdr:rowOff>312420</xdr:rowOff>
    </xdr:to>
    <xdr:sp macro="" textlink="">
      <xdr:nvSpPr>
        <xdr:cNvPr id="2134" name="Text Box 86"/>
        <xdr:cNvSpPr txBox="1">
          <a:spLocks noChangeArrowheads="1"/>
        </xdr:cNvSpPr>
      </xdr:nvSpPr>
      <xdr:spPr bwMode="auto">
        <a:xfrm>
          <a:off x="1432560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3674</a:t>
          </a:r>
        </a:p>
      </xdr:txBody>
    </xdr:sp>
    <xdr:clientData/>
  </xdr:twoCellAnchor>
  <xdr:twoCellAnchor>
    <xdr:from>
      <xdr:col>26</xdr:col>
      <xdr:colOff>312420</xdr:colOff>
      <xdr:row>3</xdr:row>
      <xdr:rowOff>76200</xdr:rowOff>
    </xdr:from>
    <xdr:to>
      <xdr:col>28</xdr:col>
      <xdr:colOff>38100</xdr:colOff>
      <xdr:row>3</xdr:row>
      <xdr:rowOff>312420</xdr:rowOff>
    </xdr:to>
    <xdr:sp macro="" textlink="">
      <xdr:nvSpPr>
        <xdr:cNvPr id="2135" name="Text Box 87"/>
        <xdr:cNvSpPr txBox="1">
          <a:spLocks noChangeArrowheads="1"/>
        </xdr:cNvSpPr>
      </xdr:nvSpPr>
      <xdr:spPr bwMode="auto">
        <a:xfrm>
          <a:off x="1466088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3673</a:t>
          </a:r>
        </a:p>
      </xdr:txBody>
    </xdr:sp>
    <xdr:clientData/>
  </xdr:twoCellAnchor>
  <xdr:twoCellAnchor>
    <xdr:from>
      <xdr:col>27</xdr:col>
      <xdr:colOff>312420</xdr:colOff>
      <xdr:row>3</xdr:row>
      <xdr:rowOff>76200</xdr:rowOff>
    </xdr:from>
    <xdr:to>
      <xdr:col>29</xdr:col>
      <xdr:colOff>38100</xdr:colOff>
      <xdr:row>3</xdr:row>
      <xdr:rowOff>312420</xdr:rowOff>
    </xdr:to>
    <xdr:sp macro="" textlink="">
      <xdr:nvSpPr>
        <xdr:cNvPr id="2136" name="Text Box 88"/>
        <xdr:cNvSpPr txBox="1">
          <a:spLocks noChangeArrowheads="1"/>
        </xdr:cNvSpPr>
      </xdr:nvSpPr>
      <xdr:spPr bwMode="auto">
        <a:xfrm>
          <a:off x="1499616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3672</a:t>
          </a:r>
        </a:p>
      </xdr:txBody>
    </xdr:sp>
    <xdr:clientData/>
  </xdr:twoCellAnchor>
  <xdr:twoCellAnchor>
    <xdr:from>
      <xdr:col>28</xdr:col>
      <xdr:colOff>312420</xdr:colOff>
      <xdr:row>3</xdr:row>
      <xdr:rowOff>76200</xdr:rowOff>
    </xdr:from>
    <xdr:to>
      <xdr:col>30</xdr:col>
      <xdr:colOff>38100</xdr:colOff>
      <xdr:row>3</xdr:row>
      <xdr:rowOff>312420</xdr:rowOff>
    </xdr:to>
    <xdr:sp macro="" textlink="">
      <xdr:nvSpPr>
        <xdr:cNvPr id="2137" name="Text Box 89"/>
        <xdr:cNvSpPr txBox="1">
          <a:spLocks noChangeArrowheads="1"/>
        </xdr:cNvSpPr>
      </xdr:nvSpPr>
      <xdr:spPr bwMode="auto">
        <a:xfrm>
          <a:off x="1533144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3671</a:t>
          </a:r>
        </a:p>
      </xdr:txBody>
    </xdr:sp>
    <xdr:clientData/>
  </xdr:twoCellAnchor>
  <xdr:twoCellAnchor>
    <xdr:from>
      <xdr:col>29</xdr:col>
      <xdr:colOff>312420</xdr:colOff>
      <xdr:row>3</xdr:row>
      <xdr:rowOff>76200</xdr:rowOff>
    </xdr:from>
    <xdr:to>
      <xdr:col>31</xdr:col>
      <xdr:colOff>38100</xdr:colOff>
      <xdr:row>3</xdr:row>
      <xdr:rowOff>312420</xdr:rowOff>
    </xdr:to>
    <xdr:sp macro="" textlink="">
      <xdr:nvSpPr>
        <xdr:cNvPr id="2138" name="Text Box 90"/>
        <xdr:cNvSpPr txBox="1">
          <a:spLocks noChangeArrowheads="1"/>
        </xdr:cNvSpPr>
      </xdr:nvSpPr>
      <xdr:spPr bwMode="auto">
        <a:xfrm>
          <a:off x="15666720" y="861060"/>
          <a:ext cx="42672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3670</a:t>
          </a:r>
        </a:p>
      </xdr:txBody>
    </xdr:sp>
    <xdr:clientData/>
  </xdr:twoCellAnchor>
  <xdr:twoCellAnchor>
    <xdr:from>
      <xdr:col>30</xdr:col>
      <xdr:colOff>304800</xdr:colOff>
      <xdr:row>3</xdr:row>
      <xdr:rowOff>76200</xdr:rowOff>
    </xdr:from>
    <xdr:to>
      <xdr:col>32</xdr:col>
      <xdr:colOff>38100</xdr:colOff>
      <xdr:row>3</xdr:row>
      <xdr:rowOff>312420</xdr:rowOff>
    </xdr:to>
    <xdr:sp macro="" textlink="">
      <xdr:nvSpPr>
        <xdr:cNvPr id="2139" name="Text Box 91"/>
        <xdr:cNvSpPr txBox="1">
          <a:spLocks noChangeArrowheads="1"/>
        </xdr:cNvSpPr>
      </xdr:nvSpPr>
      <xdr:spPr bwMode="auto">
        <a:xfrm>
          <a:off x="15994380" y="861060"/>
          <a:ext cx="4343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3669</a:t>
          </a:r>
        </a:p>
      </xdr:txBody>
    </xdr:sp>
    <xdr:clientData/>
  </xdr:twoCellAnchor>
  <xdr:twoCellAnchor>
    <xdr:from>
      <xdr:col>26</xdr:col>
      <xdr:colOff>91440</xdr:colOff>
      <xdr:row>10</xdr:row>
      <xdr:rowOff>83820</xdr:rowOff>
    </xdr:from>
    <xdr:to>
      <xdr:col>32</xdr:col>
      <xdr:colOff>198120</xdr:colOff>
      <xdr:row>12</xdr:row>
      <xdr:rowOff>297180</xdr:rowOff>
    </xdr:to>
    <xdr:sp macro="" textlink="">
      <xdr:nvSpPr>
        <xdr:cNvPr id="2141" name="Text Box 93"/>
        <xdr:cNvSpPr txBox="1">
          <a:spLocks noChangeArrowheads="1"/>
        </xdr:cNvSpPr>
      </xdr:nvSpPr>
      <xdr:spPr bwMode="auto">
        <a:xfrm>
          <a:off x="14439900" y="3215640"/>
          <a:ext cx="2148840" cy="883920"/>
        </a:xfrm>
        <a:prstGeom prst="rect">
          <a:avLst/>
        </a:prstGeom>
        <a:noFill/>
        <a:ln w="9525">
          <a:noFill/>
          <a:miter lim="800000"/>
          <a:headEnd/>
          <a:tailEnd/>
        </a:ln>
      </xdr:spPr>
      <xdr:txBody>
        <a:bodyPr vertOverflow="clip" wrap="square" lIns="45720" tIns="41148" rIns="45720" bIns="0" anchor="t" upright="1"/>
        <a:lstStyle/>
        <a:p>
          <a:pPr algn="ctr" rtl="0">
            <a:defRPr sz="1000"/>
          </a:pPr>
          <a:r>
            <a:rPr lang="en-US" sz="1600" b="1" i="0" u="none" strike="noStrike" baseline="0">
              <a:solidFill>
                <a:srgbClr val="000000"/>
              </a:solidFill>
              <a:latin typeface="Calibri"/>
            </a:rPr>
            <a:t>USER-SELECTED SPATIAL CLOSURES MAP</a:t>
          </a:r>
        </a:p>
      </xdr:txBody>
    </xdr:sp>
    <xdr:clientData/>
  </xdr:twoCellAnchor>
  <xdr:twoCellAnchor>
    <xdr:from>
      <xdr:col>35</xdr:col>
      <xdr:colOff>541020</xdr:colOff>
      <xdr:row>40</xdr:row>
      <xdr:rowOff>281940</xdr:rowOff>
    </xdr:from>
    <xdr:to>
      <xdr:col>43</xdr:col>
      <xdr:colOff>350520</xdr:colOff>
      <xdr:row>56</xdr:row>
      <xdr:rowOff>198120</xdr:rowOff>
    </xdr:to>
    <xdr:sp macro="" textlink="">
      <xdr:nvSpPr>
        <xdr:cNvPr id="2142" name="Text Box 94"/>
        <xdr:cNvSpPr txBox="1">
          <a:spLocks noChangeArrowheads="1"/>
        </xdr:cNvSpPr>
      </xdr:nvSpPr>
      <xdr:spPr bwMode="auto">
        <a:xfrm>
          <a:off x="17762220" y="11734800"/>
          <a:ext cx="5097780" cy="477012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en-US" sz="1400" b="1" i="0" u="none" strike="noStrike" baseline="0">
              <a:solidFill>
                <a:srgbClr val="000000"/>
              </a:solidFill>
              <a:latin typeface="Calibri"/>
            </a:rPr>
            <a:t>References</a:t>
          </a:r>
          <a:endParaRPr lang="en-US" sz="1400" b="0" i="0" u="none" strike="noStrike" baseline="0">
            <a:solidFill>
              <a:srgbClr val="000000"/>
            </a:solidFill>
            <a:latin typeface="Calibri"/>
          </a:endParaRPr>
        </a:p>
        <a:p>
          <a:pPr algn="l" rtl="0">
            <a:defRPr sz="1000"/>
          </a:pPr>
          <a:r>
            <a:rPr lang="en-US" sz="1400" b="0" i="0" u="none" strike="noStrike" baseline="0">
              <a:solidFill>
                <a:srgbClr val="000000"/>
              </a:solidFill>
              <a:latin typeface="Calibri"/>
            </a:rPr>
            <a:t>SEDAR 15.  2009.  Stock Assessment Report 1 (SAR 1) South Atlantic red snapper.  Southeast Data, Assessment, and Review, Charleston, SC.  511 pp.</a:t>
          </a:r>
        </a:p>
        <a:p>
          <a:pPr algn="l" rtl="0">
            <a:defRPr sz="1000"/>
          </a:pPr>
          <a:r>
            <a:rPr lang="en-US" sz="1400" b="0" i="0" u="none" strike="noStrike" baseline="0">
              <a:solidFill>
                <a:srgbClr val="000000"/>
              </a:solidFill>
              <a:latin typeface="Calibri"/>
            </a:rPr>
            <a:t>SERO.  2009a.  Evaluating the Effects of Amendment 13C, Amendment 16, and Amendment 17A Regulations on Red Snapper Removals by South Atlantic Commercial Fisheries.  SERO-LAPP-2009-03, NMFS, SERO, St. Petersburg, FL.  41 pp.</a:t>
          </a:r>
        </a:p>
        <a:p>
          <a:pPr algn="l" rtl="0">
            <a:defRPr sz="1000"/>
          </a:pPr>
          <a:r>
            <a:rPr lang="en-US" sz="1400" b="0" i="0" u="none" strike="noStrike" baseline="0">
              <a:solidFill>
                <a:srgbClr val="000000"/>
              </a:solidFill>
              <a:latin typeface="Calibri"/>
            </a:rPr>
            <a:t>SERO.  2009b.  Evaluating the Effects of Amendment 16 Regulations on 2005-2007 South Atlantic Red Snapper Headboat Removals.  SERO-LAPP-2009-04, NMFS, SERO, St. Petersburg, FL.  10 pp.</a:t>
          </a:r>
        </a:p>
        <a:p>
          <a:pPr algn="l" rtl="0">
            <a:defRPr sz="1000"/>
          </a:pPr>
          <a:r>
            <a:rPr lang="en-US" sz="1400" b="0" i="0" u="none" strike="noStrike" baseline="0">
              <a:solidFill>
                <a:srgbClr val="000000"/>
              </a:solidFill>
              <a:latin typeface="Calibri"/>
            </a:rPr>
            <a:t>SERO.  2009c.  Evaluating the Effects of Amendment 16 Regulations on 2005-2007 South Atlantic Red Snapper Private and Charterboat Removals.  SERO-LAPP-2009-05, NMFS, SERO, St. Petersburg, FL.  xx pp.</a:t>
          </a:r>
        </a:p>
        <a:p>
          <a:pPr algn="l" rtl="0">
            <a:defRPr sz="1000"/>
          </a:pPr>
          <a:r>
            <a:rPr lang="en-US" sz="1400" b="0" i="0" u="none" strike="noStrike" baseline="0">
              <a:solidFill>
                <a:srgbClr val="000000"/>
              </a:solidFill>
              <a:latin typeface="Calibri"/>
            </a:rPr>
            <a:t>SERO.  2009d.  Evaluating the Effects of Amendment 17A Regulations on 2005-2007 South Atlantic Red Snapper Headboat Removals.  SERO-LAPP-2009-06, NMFS, SERO, St. Petersburg, FL.  13 pp.</a:t>
          </a:r>
        </a:p>
        <a:p>
          <a:pPr algn="l" rtl="0">
            <a:defRPr sz="1000"/>
          </a:pPr>
          <a:r>
            <a:rPr lang="en-US" sz="1400" b="0" i="0" u="none" strike="noStrike" baseline="0">
              <a:solidFill>
                <a:srgbClr val="000000"/>
              </a:solidFill>
              <a:latin typeface="Calibri"/>
            </a:rPr>
            <a:t>SERO.  2009e.  Projected Combined Effects of Amendments 13C, 16, and 17A Regulations on south Atlantic Red Snapper Removals.  SERO-LAPP-2009-06, NMFS, SERO, St. Petersburg, FL.  17 pp.</a:t>
          </a:r>
        </a:p>
        <a:p>
          <a:pPr algn="l" rtl="0">
            <a:defRPr sz="1000"/>
          </a:pPr>
          <a:endParaRPr lang="en-US" sz="1400" b="0" i="0" u="none" strike="noStrike" baseline="0">
            <a:solidFill>
              <a:srgbClr val="000000"/>
            </a:solidFill>
            <a:latin typeface="Calibri"/>
          </a:endParaRPr>
        </a:p>
      </xdr:txBody>
    </xdr:sp>
    <xdr:clientData/>
  </xdr:twoCellAnchor>
  <xdr:twoCellAnchor editAs="oneCell">
    <xdr:from>
      <xdr:col>36</xdr:col>
      <xdr:colOff>152400</xdr:colOff>
      <xdr:row>59</xdr:row>
      <xdr:rowOff>144780</xdr:rowOff>
    </xdr:from>
    <xdr:to>
      <xdr:col>43</xdr:col>
      <xdr:colOff>426720</xdr:colOff>
      <xdr:row>90</xdr:row>
      <xdr:rowOff>160020</xdr:rowOff>
    </xdr:to>
    <xdr:pic>
      <xdr:nvPicPr>
        <xdr:cNvPr id="2311" name="Picture 99" descr="Bathymetric Closure Alts 4AtoC"/>
        <xdr:cNvPicPr>
          <a:picLocks noChangeAspect="1" noChangeArrowheads="1"/>
        </xdr:cNvPicPr>
      </xdr:nvPicPr>
      <xdr:blipFill>
        <a:blip xmlns:r="http://schemas.openxmlformats.org/officeDocument/2006/relationships" r:embed="rId4" cstate="print"/>
        <a:srcRect/>
        <a:stretch>
          <a:fillRect/>
        </a:stretch>
      </xdr:blipFill>
      <xdr:spPr bwMode="auto">
        <a:xfrm>
          <a:off x="17983200" y="17114520"/>
          <a:ext cx="4953000" cy="6408420"/>
        </a:xfrm>
        <a:prstGeom prst="rect">
          <a:avLst/>
        </a:prstGeom>
        <a:noFill/>
        <a:ln w="38100" cmpd="dbl">
          <a:solidFill>
            <a:srgbClr val="FFFF00"/>
          </a:solidFill>
          <a:miter lim="800000"/>
          <a:headEnd/>
          <a:tailEnd/>
        </a:ln>
      </xdr:spPr>
    </xdr:pic>
    <xdr:clientData/>
  </xdr:twoCellAnchor>
  <xdr:twoCellAnchor editAs="oneCell">
    <xdr:from>
      <xdr:col>35</xdr:col>
      <xdr:colOff>97972</xdr:colOff>
      <xdr:row>0</xdr:row>
      <xdr:rowOff>121045</xdr:rowOff>
    </xdr:from>
    <xdr:to>
      <xdr:col>42</xdr:col>
      <xdr:colOff>479945</xdr:colOff>
      <xdr:row>22</xdr:row>
      <xdr:rowOff>32657</xdr:rowOff>
    </xdr:to>
    <xdr:pic>
      <xdr:nvPicPr>
        <xdr:cNvPr id="85" name="Picture 84" descr="Bathymetric Closure Alts 4AtoC_3.png"/>
        <xdr:cNvPicPr>
          <a:picLocks noChangeAspect="1"/>
        </xdr:cNvPicPr>
      </xdr:nvPicPr>
      <xdr:blipFill>
        <a:blip xmlns:r="http://schemas.openxmlformats.org/officeDocument/2006/relationships" r:embed="rId5" cstate="print"/>
        <a:stretch>
          <a:fillRect/>
        </a:stretch>
      </xdr:blipFill>
      <xdr:spPr>
        <a:xfrm>
          <a:off x="17417143" y="121045"/>
          <a:ext cx="5062831" cy="6551898"/>
        </a:xfrm>
        <a:prstGeom prst="rect">
          <a:avLst/>
        </a:prstGeom>
        <a:ln w="31750" cmpd="dbl">
          <a:solidFill>
            <a:srgbClr val="FFFF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335280</xdr:colOff>
      <xdr:row>82</xdr:row>
      <xdr:rowOff>182880</xdr:rowOff>
    </xdr:from>
    <xdr:to>
      <xdr:col>15</xdr:col>
      <xdr:colOff>419100</xdr:colOff>
      <xdr:row>108</xdr:row>
      <xdr:rowOff>45720</xdr:rowOff>
    </xdr:to>
    <xdr:graphicFrame macro="">
      <xdr:nvGraphicFramePr>
        <xdr:cNvPr id="7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304800</xdr:colOff>
      <xdr:row>30</xdr:row>
      <xdr:rowOff>144780</xdr:rowOff>
    </xdr:from>
    <xdr:to>
      <xdr:col>15</xdr:col>
      <xdr:colOff>342900</xdr:colOff>
      <xdr:row>70</xdr:row>
      <xdr:rowOff>182880</xdr:rowOff>
    </xdr:to>
    <xdr:pic>
      <xdr:nvPicPr>
        <xdr:cNvPr id="7290" name="Picture 3" descr="MARMAP_subgrid_bathy_Find"/>
        <xdr:cNvPicPr>
          <a:picLocks noChangeAspect="1" noChangeArrowheads="1"/>
        </xdr:cNvPicPr>
      </xdr:nvPicPr>
      <xdr:blipFill>
        <a:blip xmlns:r="http://schemas.openxmlformats.org/officeDocument/2006/relationships" r:embed="rId2" cstate="print"/>
        <a:srcRect/>
        <a:stretch>
          <a:fillRect/>
        </a:stretch>
      </xdr:blipFill>
      <xdr:spPr bwMode="auto">
        <a:xfrm>
          <a:off x="6019800" y="6118860"/>
          <a:ext cx="6141720" cy="7962900"/>
        </a:xfrm>
        <a:prstGeom prst="rect">
          <a:avLst/>
        </a:prstGeom>
        <a:noFill/>
        <a:ln w="9525">
          <a:noFill/>
          <a:miter lim="800000"/>
          <a:headEnd/>
          <a:tailEnd/>
        </a:ln>
      </xdr:spPr>
    </xdr:pic>
    <xdr:clientData/>
  </xdr:twoCellAnchor>
  <xdr:twoCellAnchor editAs="oneCell">
    <xdr:from>
      <xdr:col>16</xdr:col>
      <xdr:colOff>68580</xdr:colOff>
      <xdr:row>30</xdr:row>
      <xdr:rowOff>121920</xdr:rowOff>
    </xdr:from>
    <xdr:to>
      <xdr:col>22</xdr:col>
      <xdr:colOff>495300</xdr:colOff>
      <xdr:row>70</xdr:row>
      <xdr:rowOff>167640</xdr:rowOff>
    </xdr:to>
    <xdr:pic>
      <xdr:nvPicPr>
        <xdr:cNvPr id="7291" name="Picture 7" descr="MARMAP_subgrid_bathy_Find_gear"/>
        <xdr:cNvPicPr>
          <a:picLocks noChangeAspect="1" noChangeArrowheads="1"/>
        </xdr:cNvPicPr>
      </xdr:nvPicPr>
      <xdr:blipFill>
        <a:blip xmlns:r="http://schemas.openxmlformats.org/officeDocument/2006/relationships" r:embed="rId3" cstate="print"/>
        <a:srcRect/>
        <a:stretch>
          <a:fillRect/>
        </a:stretch>
      </xdr:blipFill>
      <xdr:spPr bwMode="auto">
        <a:xfrm>
          <a:off x="12504420" y="6096000"/>
          <a:ext cx="6149340" cy="7970520"/>
        </a:xfrm>
        <a:prstGeom prst="rect">
          <a:avLst/>
        </a:prstGeom>
        <a:noFill/>
        <a:ln w="9525">
          <a:noFill/>
          <a:miter lim="800000"/>
          <a:headEnd/>
          <a:tailEnd/>
        </a:ln>
      </xdr:spPr>
    </xdr:pic>
    <xdr:clientData/>
  </xdr:twoCellAnchor>
  <xdr:twoCellAnchor editAs="oneCell">
    <xdr:from>
      <xdr:col>23</xdr:col>
      <xdr:colOff>99060</xdr:colOff>
      <xdr:row>30</xdr:row>
      <xdr:rowOff>83820</xdr:rowOff>
    </xdr:from>
    <xdr:to>
      <xdr:col>30</xdr:col>
      <xdr:colOff>708660</xdr:colOff>
      <xdr:row>70</xdr:row>
      <xdr:rowOff>167640</xdr:rowOff>
    </xdr:to>
    <xdr:pic>
      <xdr:nvPicPr>
        <xdr:cNvPr id="7292" name="Picture 9" descr="MARMAP_subgrid_bathy_Find_RSgear_ZoomSelected"/>
        <xdr:cNvPicPr>
          <a:picLocks noChangeAspect="1" noChangeArrowheads="1"/>
        </xdr:cNvPicPr>
      </xdr:nvPicPr>
      <xdr:blipFill>
        <a:blip xmlns:r="http://schemas.openxmlformats.org/officeDocument/2006/relationships" r:embed="rId4" cstate="print"/>
        <a:srcRect/>
        <a:stretch>
          <a:fillRect/>
        </a:stretch>
      </xdr:blipFill>
      <xdr:spPr bwMode="auto">
        <a:xfrm>
          <a:off x="19034760" y="6057900"/>
          <a:ext cx="6179820" cy="8008620"/>
        </a:xfrm>
        <a:prstGeom prst="rect">
          <a:avLst/>
        </a:prstGeom>
        <a:noFill/>
        <a:ln w="9525">
          <a:noFill/>
          <a:miter lim="800000"/>
          <a:headEnd/>
          <a:tailEnd/>
        </a:ln>
      </xdr:spPr>
    </xdr:pic>
    <xdr:clientData/>
  </xdr:twoCellAnchor>
  <xdr:twoCellAnchor>
    <xdr:from>
      <xdr:col>18</xdr:col>
      <xdr:colOff>510540</xdr:colOff>
      <xdr:row>119</xdr:row>
      <xdr:rowOff>152400</xdr:rowOff>
    </xdr:from>
    <xdr:to>
      <xdr:col>24</xdr:col>
      <xdr:colOff>510540</xdr:colOff>
      <xdr:row>129</xdr:row>
      <xdr:rowOff>190500</xdr:rowOff>
    </xdr:to>
    <xdr:graphicFrame macro="">
      <xdr:nvGraphicFramePr>
        <xdr:cNvPr id="729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495300</xdr:colOff>
      <xdr:row>131</xdr:row>
      <xdr:rowOff>0</xdr:rowOff>
    </xdr:from>
    <xdr:to>
      <xdr:col>24</xdr:col>
      <xdr:colOff>495300</xdr:colOff>
      <xdr:row>141</xdr:row>
      <xdr:rowOff>7620</xdr:rowOff>
    </xdr:to>
    <xdr:graphicFrame macro="">
      <xdr:nvGraphicFramePr>
        <xdr:cNvPr id="729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464820</xdr:colOff>
      <xdr:row>142</xdr:row>
      <xdr:rowOff>106680</xdr:rowOff>
    </xdr:from>
    <xdr:to>
      <xdr:col>24</xdr:col>
      <xdr:colOff>464820</xdr:colOff>
      <xdr:row>152</xdr:row>
      <xdr:rowOff>114300</xdr:rowOff>
    </xdr:to>
    <xdr:graphicFrame macro="">
      <xdr:nvGraphicFramePr>
        <xdr:cNvPr id="729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510540</xdr:colOff>
      <xdr:row>72</xdr:row>
      <xdr:rowOff>38100</xdr:rowOff>
    </xdr:from>
    <xdr:to>
      <xdr:col>15</xdr:col>
      <xdr:colOff>167640</xdr:colOff>
      <xdr:row>79</xdr:row>
      <xdr:rowOff>106680</xdr:rowOff>
    </xdr:to>
    <xdr:sp macro="" textlink="">
      <xdr:nvSpPr>
        <xdr:cNvPr id="7183" name="Text Box 15"/>
        <xdr:cNvSpPr txBox="1">
          <a:spLocks noChangeArrowheads="1"/>
        </xdr:cNvSpPr>
      </xdr:nvSpPr>
      <xdr:spPr bwMode="auto">
        <a:xfrm>
          <a:off x="6225540" y="14333220"/>
          <a:ext cx="5760720" cy="14554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with gears landing at least 1 red snapper.  Note that south Atlantic statistical areas intersecting proposed closure bathymetry (98-240 ft) were subdivided into 4 equal parts to enhance statistical robustness of analysis.  Upon first glance, sampling across domain appears somewhat robust, although sampling is biased towards South Carolina and inshore of the 240 ft bathymetric contour.  However, an examination of the figure to the right illustrates that sampling is biased by gear, and sampling by gears with higher CPUE for red snapper is limited.</a:t>
          </a:r>
        </a:p>
      </xdr:txBody>
    </xdr:sp>
    <xdr:clientData/>
  </xdr:twoCellAnchor>
  <xdr:twoCellAnchor>
    <xdr:from>
      <xdr:col>16</xdr:col>
      <xdr:colOff>274320</xdr:colOff>
      <xdr:row>71</xdr:row>
      <xdr:rowOff>121920</xdr:rowOff>
    </xdr:from>
    <xdr:to>
      <xdr:col>20</xdr:col>
      <xdr:colOff>182880</xdr:colOff>
      <xdr:row>96</xdr:row>
      <xdr:rowOff>152400</xdr:rowOff>
    </xdr:to>
    <xdr:sp macro="" textlink="">
      <xdr:nvSpPr>
        <xdr:cNvPr id="7184" name="Text Box 16"/>
        <xdr:cNvSpPr txBox="1">
          <a:spLocks noChangeArrowheads="1"/>
        </xdr:cNvSpPr>
      </xdr:nvSpPr>
      <xdr:spPr bwMode="auto">
        <a:xfrm>
          <a:off x="12710160" y="14218920"/>
          <a:ext cx="4427220" cy="547116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by gear, for gears landing at least 1 red snapper.  Sites where MARMAP fishery-independent samples did not encounter red snapper are indicated with a black 'X' (only gears with landings of red snapper included).  Sites with landings are indicated by a colored circle, with the color corresponding to the gear.</a:t>
          </a:r>
        </a:p>
        <a:p>
          <a:pPr algn="l" rtl="0">
            <a:defRPr sz="1000"/>
          </a:pPr>
          <a:r>
            <a:rPr lang="en-US" sz="1200" b="0" i="0" u="none" strike="noStrike" baseline="0">
              <a:solidFill>
                <a:srgbClr val="000000"/>
              </a:solidFill>
              <a:latin typeface="Calibri"/>
            </a:rPr>
            <a:t>    * Of the 16,566 total fishery-independent samples by MARMAP during this 31-yr time period, 77% occurred within the cells proposed for closure under Alternative 6, 57% within the cells proposed for closure under Alternative 4. </a:t>
          </a:r>
        </a:p>
        <a:p>
          <a:pPr algn="l" rtl="0">
            <a:defRPr sz="1000"/>
          </a:pPr>
          <a:r>
            <a:rPr lang="en-US" sz="1200" b="0" i="0" u="none" strike="noStrike" baseline="0">
              <a:solidFill>
                <a:srgbClr val="000000"/>
              </a:solidFill>
              <a:latin typeface="Calibri"/>
            </a:rPr>
            <a:t>          o An examination of the image shows that sampling is strongly biased towards the north and west (e.g. inshore off South Carolina).</a:t>
          </a:r>
        </a:p>
        <a:p>
          <a:pPr algn="l" rtl="0">
            <a:defRPr sz="1000"/>
          </a:pPr>
          <a:r>
            <a:rPr lang="en-US" sz="1200" b="0" i="0" u="none" strike="noStrike" baseline="0">
              <a:solidFill>
                <a:srgbClr val="000000"/>
              </a:solidFill>
              <a:latin typeface="Calibri"/>
            </a:rPr>
            <a:t>    * Of the 16,566 samples, only 1.3% (218) landed red snapper.</a:t>
          </a:r>
        </a:p>
        <a:p>
          <a:pPr algn="l" rtl="0">
            <a:defRPr sz="1000"/>
          </a:pPr>
          <a:r>
            <a:rPr lang="en-US" sz="1200" b="0" i="0" u="none" strike="noStrike" baseline="0">
              <a:solidFill>
                <a:srgbClr val="000000"/>
              </a:solidFill>
              <a:latin typeface="Calibri"/>
            </a:rPr>
            <a:t>    * Alternative 4 would close 54% of the area closed by Alternative 6, but contained 93% of the red snapper contained by Alternative 6. </a:t>
          </a:r>
        </a:p>
        <a:p>
          <a:pPr algn="l" rtl="0">
            <a:defRPr sz="1000"/>
          </a:pPr>
          <a:r>
            <a:rPr lang="en-US" sz="1200" b="0" i="0" u="none" strike="noStrike" baseline="0">
              <a:solidFill>
                <a:srgbClr val="000000"/>
              </a:solidFill>
              <a:latin typeface="Calibri"/>
            </a:rPr>
            <a:t>          o Sampling was somewhat biased to overestimate the concentration of red snapper in Alternative 4 (74% of the sampling within Alternative 6 was also contained by Alternative 4).</a:t>
          </a:r>
        </a:p>
        <a:p>
          <a:pPr algn="l" rtl="0">
            <a:defRPr sz="1000"/>
          </a:pPr>
          <a:r>
            <a:rPr lang="en-US" sz="1200" b="0" i="0" u="none" strike="noStrike" baseline="0">
              <a:solidFill>
                <a:srgbClr val="000000"/>
              </a:solidFill>
              <a:latin typeface="Calibri"/>
            </a:rPr>
            <a:t>    * Alternative 3 would close 59% of the area closed by Alternative 5, but contained 85% of the red snapper contained by Alternative 5. </a:t>
          </a:r>
        </a:p>
        <a:p>
          <a:pPr algn="l" rtl="0">
            <a:defRPr sz="1000"/>
          </a:pPr>
          <a:r>
            <a:rPr lang="en-US" sz="1200" b="0" i="0" u="none" strike="noStrike" baseline="0">
              <a:solidFill>
                <a:srgbClr val="000000"/>
              </a:solidFill>
              <a:latin typeface="Calibri"/>
            </a:rPr>
            <a:t>          o Sampling was somewhat biased to underestimate the concentration of red snapper in Alternative 3 (only 48% of the sampling within Alternative 5 was also contained by Alternative 3)</a:t>
          </a:r>
        </a:p>
      </xdr:txBody>
    </xdr:sp>
    <xdr:clientData/>
  </xdr:twoCellAnchor>
  <xdr:twoCellAnchor>
    <xdr:from>
      <xdr:col>25</xdr:col>
      <xdr:colOff>541020</xdr:colOff>
      <xdr:row>71</xdr:row>
      <xdr:rowOff>167640</xdr:rowOff>
    </xdr:from>
    <xdr:to>
      <xdr:col>30</xdr:col>
      <xdr:colOff>693420</xdr:colOff>
      <xdr:row>112</xdr:row>
      <xdr:rowOff>30480</xdr:rowOff>
    </xdr:to>
    <xdr:sp macro="" textlink="">
      <xdr:nvSpPr>
        <xdr:cNvPr id="7185" name="Text Box 17"/>
        <xdr:cNvSpPr txBox="1">
          <a:spLocks noChangeArrowheads="1"/>
        </xdr:cNvSpPr>
      </xdr:nvSpPr>
      <xdr:spPr bwMode="auto">
        <a:xfrm>
          <a:off x="21831300" y="14264640"/>
          <a:ext cx="3368040" cy="89611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by gear, for gears landing &gt;10 red snapper (e.g., chevron trap, hook and line, snapper reel).  Selected cells (turquoise) had sampling inside and outside the proposed bathymetric closure (98-240 ft), and thus were appropriate for use in the regression model of percent area protected vs. percent red snapper 'stock' protected.  Note this regression model is not statistically significant due to the low sample size.  Results derived through use of this regression model should be interpreted with caution, due to the limitations of the MARMAP data for this analysis, including:</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1. Heavily biased towards offshore South Carolina; trends here may not represent red snapper stock distribution off other states.</a:t>
          </a:r>
        </a:p>
        <a:p>
          <a:pPr algn="l" rtl="0">
            <a:defRPr sz="1000"/>
          </a:pPr>
          <a:r>
            <a:rPr lang="en-US" sz="1200" b="0" i="0" u="none" strike="noStrike" baseline="0">
              <a:solidFill>
                <a:srgbClr val="000000"/>
              </a:solidFill>
              <a:latin typeface="Calibri"/>
            </a:rPr>
            <a:t>2. Limited sample size and high number of 100% samples limit statistical robustness of regression model.</a:t>
          </a:r>
        </a:p>
        <a:p>
          <a:pPr algn="l" rtl="0">
            <a:defRPr sz="1000"/>
          </a:pPr>
          <a:r>
            <a:rPr lang="en-US" sz="1200" b="0" i="0" u="none" strike="noStrike" baseline="0">
              <a:solidFill>
                <a:srgbClr val="000000"/>
              </a:solidFill>
              <a:latin typeface="Calibri"/>
            </a:rPr>
            <a:t>3. MARMAP sampling is conducted primarily with gears that are not particularly effective at capturing red snapper (e.g. Chevron traps, Blackfish traps, and Florida 'Antillean' Traps).  Although hook and line and snapper reel gears were only deployed at 9% of the MARMAP sampling sites, they accounted for 30% of the sites landing red snapper.  Whereas only 2% of Chevron trap sets landed red snapper, 5% of snapper reel sets and 8% of hook and line sets landed at least one.  Spatial and temporal differences in where these gears were deployed may have influenced these catch rates.</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MARMAP sampling may not be appropriate for evaluating the distribution of the red snapper stock due to spatial biases in the sampling design and the prevalent use of gears with low catch rates for the species.</a:t>
          </a:r>
        </a:p>
        <a:p>
          <a:pPr algn="l" rtl="0">
            <a:defRPr sz="1000"/>
          </a:pPr>
          <a:endParaRPr lang="en-US" sz="1200" b="0" i="0" u="none" strike="noStrike" baseline="0">
            <a:solidFill>
              <a:srgbClr val="000000"/>
            </a:solidFill>
            <a:latin typeface="Calibri"/>
          </a:endParaRPr>
        </a:p>
      </xdr:txBody>
    </xdr:sp>
    <xdr:clientData/>
  </xdr:twoCellAnchor>
  <xdr:twoCellAnchor editAs="oneCell">
    <xdr:from>
      <xdr:col>21</xdr:col>
      <xdr:colOff>22860</xdr:colOff>
      <xdr:row>72</xdr:row>
      <xdr:rowOff>144780</xdr:rowOff>
    </xdr:from>
    <xdr:to>
      <xdr:col>25</xdr:col>
      <xdr:colOff>289560</xdr:colOff>
      <xdr:row>85</xdr:row>
      <xdr:rowOff>83820</xdr:rowOff>
    </xdr:to>
    <xdr:pic>
      <xdr:nvPicPr>
        <xdr:cNvPr id="729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17571720" y="14439900"/>
          <a:ext cx="4008120" cy="2667000"/>
        </a:xfrm>
        <a:prstGeom prst="rect">
          <a:avLst/>
        </a:prstGeom>
        <a:solidFill>
          <a:srgbClr val="FFFFFF"/>
        </a:solidFill>
        <a:ln w="9525">
          <a:solidFill>
            <a:srgbClr val="000000"/>
          </a:solidFill>
          <a:miter lim="800000"/>
          <a:headEnd/>
          <a:tailEnd/>
        </a:ln>
      </xdr:spPr>
    </xdr:pic>
    <xdr:clientData/>
  </xdr:twoCellAnchor>
  <xdr:twoCellAnchor editAs="oneCell">
    <xdr:from>
      <xdr:col>5</xdr:col>
      <xdr:colOff>929640</xdr:colOff>
      <xdr:row>180</xdr:row>
      <xdr:rowOff>182880</xdr:rowOff>
    </xdr:from>
    <xdr:to>
      <xdr:col>18</xdr:col>
      <xdr:colOff>1181100</xdr:colOff>
      <xdr:row>211</xdr:row>
      <xdr:rowOff>22860</xdr:rowOff>
    </xdr:to>
    <xdr:pic>
      <xdr:nvPicPr>
        <xdr:cNvPr id="7300" name="Picture 24"/>
        <xdr:cNvPicPr>
          <a:picLocks noChangeAspect="1" noChangeArrowheads="1"/>
        </xdr:cNvPicPr>
      </xdr:nvPicPr>
      <xdr:blipFill>
        <a:blip xmlns:r="http://schemas.openxmlformats.org/officeDocument/2006/relationships" r:embed="rId9" cstate="print"/>
        <a:srcRect/>
        <a:stretch>
          <a:fillRect/>
        </a:stretch>
      </xdr:blipFill>
      <xdr:spPr bwMode="auto">
        <a:xfrm>
          <a:off x="6324600" y="37627560"/>
          <a:ext cx="8679180" cy="5981700"/>
        </a:xfrm>
        <a:prstGeom prst="rect">
          <a:avLst/>
        </a:prstGeom>
        <a:noFill/>
        <a:ln w="1">
          <a:noFill/>
          <a:miter lim="800000"/>
          <a:headEnd/>
          <a:tailEnd/>
        </a:ln>
      </xdr:spPr>
    </xdr:pic>
    <xdr:clientData/>
  </xdr:twoCellAnchor>
  <xdr:twoCellAnchor>
    <xdr:from>
      <xdr:col>19</xdr:col>
      <xdr:colOff>22860</xdr:colOff>
      <xdr:row>187</xdr:row>
      <xdr:rowOff>22860</xdr:rowOff>
    </xdr:from>
    <xdr:to>
      <xdr:col>30</xdr:col>
      <xdr:colOff>838200</xdr:colOff>
      <xdr:row>211</xdr:row>
      <xdr:rowOff>0</xdr:rowOff>
    </xdr:to>
    <xdr:sp macro="" textlink="">
      <xdr:nvSpPr>
        <xdr:cNvPr id="7193" name="Text Box 25"/>
        <xdr:cNvSpPr txBox="1">
          <a:spLocks noChangeArrowheads="1"/>
        </xdr:cNvSpPr>
      </xdr:nvSpPr>
      <xdr:spPr bwMode="auto">
        <a:xfrm>
          <a:off x="15392400" y="38854380"/>
          <a:ext cx="9951720" cy="47320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Regression model for headboat landings of red snapper (2005-2007).  An analysis of confidential headboat data indicates the following:</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    * Of the 14,543 total fishery-dependent samples by headboats between 2005-2007, 33% occurred within the cells proposed for closure under Alternative 6, 15% within the cells proposed for closure under Alternative 4. </a:t>
          </a:r>
        </a:p>
        <a:p>
          <a:pPr algn="l" rtl="0">
            <a:defRPr sz="1000"/>
          </a:pPr>
          <a:r>
            <a:rPr lang="en-US" sz="1200" b="0" i="0" u="none" strike="noStrike" baseline="0">
              <a:solidFill>
                <a:srgbClr val="000000"/>
              </a:solidFill>
              <a:latin typeface="Calibri"/>
            </a:rPr>
            <a:t>          o An examination of the spatial data (confidential) shows a complete lack of reporting off Georgia, biasing these findings to trends observed off of north Florida and South Carolina.</a:t>
          </a:r>
        </a:p>
        <a:p>
          <a:pPr algn="l" rtl="0">
            <a:defRPr sz="1000"/>
          </a:pPr>
          <a:r>
            <a:rPr lang="en-US" sz="1200" b="0" i="0" u="none" strike="noStrike" baseline="0">
              <a:solidFill>
                <a:srgbClr val="000000"/>
              </a:solidFill>
              <a:latin typeface="Calibri"/>
            </a:rPr>
            <a:t>          o Headboat 'sampling' off north Florida and South Carolina is spatially well-distributed.</a:t>
          </a:r>
        </a:p>
        <a:p>
          <a:pPr algn="l" rtl="0">
            <a:defRPr sz="1000"/>
          </a:pPr>
          <a:r>
            <a:rPr lang="en-US" sz="1200" b="0" i="0" u="none" strike="noStrike" baseline="0">
              <a:solidFill>
                <a:srgbClr val="000000"/>
              </a:solidFill>
              <a:latin typeface="Calibri"/>
            </a:rPr>
            <a:t>    * Of these 14,543 samples, 27% (3,371) landed red snapper.</a:t>
          </a:r>
        </a:p>
        <a:p>
          <a:pPr algn="l" rtl="0">
            <a:defRPr sz="1000"/>
          </a:pPr>
          <a:r>
            <a:rPr lang="en-US" sz="1200" b="0" i="0" u="none" strike="noStrike" baseline="0">
              <a:solidFill>
                <a:srgbClr val="000000"/>
              </a:solidFill>
              <a:latin typeface="Calibri"/>
            </a:rPr>
            <a:t>    * Alternative 4 would close 54% of the area closed by Alternative 6, and contained 52% of the red snapper contained by Alternative 6. </a:t>
          </a:r>
        </a:p>
        <a:p>
          <a:pPr algn="l" rtl="0">
            <a:defRPr sz="1000"/>
          </a:pPr>
          <a:r>
            <a:rPr lang="en-US" sz="1200" b="0" i="0" u="none" strike="noStrike" baseline="0">
              <a:solidFill>
                <a:srgbClr val="000000"/>
              </a:solidFill>
              <a:latin typeface="Calibri"/>
            </a:rPr>
            <a:t>          o Sampling was somewhat biased to underestimate the concentration of red snapper in Alternative 4 (45% of the sampling within Alternative 6 was also contained by Alternative 4).</a:t>
          </a:r>
        </a:p>
        <a:p>
          <a:pPr algn="l" rtl="0">
            <a:defRPr sz="1000"/>
          </a:pPr>
          <a:r>
            <a:rPr lang="en-US" sz="1200" b="0" i="0" u="none" strike="noStrike" baseline="0">
              <a:solidFill>
                <a:srgbClr val="000000"/>
              </a:solidFill>
              <a:latin typeface="Calibri"/>
            </a:rPr>
            <a:t>    * Alternative 3 would close 59% of the area closed by Alternative 5, but contained 50% of the red snapper contained by Alternative 5. </a:t>
          </a:r>
        </a:p>
        <a:p>
          <a:pPr algn="l" rtl="0">
            <a:defRPr sz="1000"/>
          </a:pPr>
          <a:r>
            <a:rPr lang="en-US" sz="1200" b="0" i="0" u="none" strike="noStrike" baseline="0">
              <a:solidFill>
                <a:srgbClr val="000000"/>
              </a:solidFill>
              <a:latin typeface="Calibri"/>
            </a:rPr>
            <a:t>          o Sampling was somewhat biased to underestimate the concentration of red snapper in Alternative 3 (only 42% of the sampling within Alternative 5 was also contained by Alternative 3).</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Although the regression model for headboat data suggests a homogeneous distribution of the stock (e.g. slope ~ 1, intercept ~ 0), analysis of headboat landings was determined to be inappropriate for this regression modeling effort because headboats report spatial landings locations on a subgrid level (e.g. each statistical area is divided into 36 parts) that is too coarse to evaluate whether landings occured inside or outside the proposed bathymetric closure.</a:t>
          </a:r>
        </a:p>
        <a:p>
          <a:pPr algn="l" rtl="0">
            <a:defRPr sz="1000"/>
          </a:pPr>
          <a:endParaRPr lang="en-US" sz="1200" b="0" i="0" u="none" strike="noStrike" baseline="0">
            <a:solidFill>
              <a:srgbClr val="000000"/>
            </a:solidFill>
            <a:latin typeface="Calibri"/>
          </a:endParaRPr>
        </a:p>
      </xdr:txBody>
    </xdr:sp>
    <xdr:clientData/>
  </xdr:twoCellAnchor>
  <xdr:twoCellAnchor>
    <xdr:from>
      <xdr:col>6</xdr:col>
      <xdr:colOff>30480</xdr:colOff>
      <xdr:row>109</xdr:row>
      <xdr:rowOff>38100</xdr:rowOff>
    </xdr:from>
    <xdr:to>
      <xdr:col>15</xdr:col>
      <xdr:colOff>297180</xdr:colOff>
      <xdr:row>110</xdr:row>
      <xdr:rowOff>121920</xdr:rowOff>
    </xdr:to>
    <xdr:sp macro="" textlink="">
      <xdr:nvSpPr>
        <xdr:cNvPr id="7195" name="Text Box 27"/>
        <xdr:cNvSpPr txBox="1">
          <a:spLocks noChangeArrowheads="1"/>
        </xdr:cNvSpPr>
      </xdr:nvSpPr>
      <xdr:spPr bwMode="auto">
        <a:xfrm>
          <a:off x="6355080" y="22547580"/>
          <a:ext cx="5760720" cy="3124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Regression (not significant) of MARMAP data used for "M" option fit for heterogeneous closure.</a:t>
          </a:r>
        </a:p>
      </xdr:txBody>
    </xdr:sp>
    <xdr:clientData/>
  </xdr:twoCellAnchor>
  <xdr:twoCellAnchor>
    <xdr:from>
      <xdr:col>19</xdr:col>
      <xdr:colOff>609600</xdr:colOff>
      <xdr:row>181</xdr:row>
      <xdr:rowOff>0</xdr:rowOff>
    </xdr:from>
    <xdr:to>
      <xdr:col>27</xdr:col>
      <xdr:colOff>152400</xdr:colOff>
      <xdr:row>185</xdr:row>
      <xdr:rowOff>68580</xdr:rowOff>
    </xdr:to>
    <xdr:sp macro="" textlink="">
      <xdr:nvSpPr>
        <xdr:cNvPr id="7196" name="Text Box 28"/>
        <xdr:cNvSpPr txBox="1">
          <a:spLocks noChangeArrowheads="1"/>
        </xdr:cNvSpPr>
      </xdr:nvSpPr>
      <xdr:spPr bwMode="auto">
        <a:xfrm>
          <a:off x="15979140" y="37642800"/>
          <a:ext cx="668274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HEADBOAT (2005-2007)</a:t>
          </a:r>
        </a:p>
      </xdr:txBody>
    </xdr:sp>
    <xdr:clientData/>
  </xdr:twoCellAnchor>
  <xdr:twoCellAnchor>
    <xdr:from>
      <xdr:col>6</xdr:col>
      <xdr:colOff>38100</xdr:colOff>
      <xdr:row>147</xdr:row>
      <xdr:rowOff>137160</xdr:rowOff>
    </xdr:from>
    <xdr:to>
      <xdr:col>17</xdr:col>
      <xdr:colOff>594360</xdr:colOff>
      <xdr:row>157</xdr:row>
      <xdr:rowOff>45720</xdr:rowOff>
    </xdr:to>
    <xdr:sp macro="" textlink="">
      <xdr:nvSpPr>
        <xdr:cNvPr id="7197" name="Text Box 29"/>
        <xdr:cNvSpPr txBox="1">
          <a:spLocks noChangeArrowheads="1"/>
        </xdr:cNvSpPr>
      </xdr:nvSpPr>
      <xdr:spPr bwMode="auto">
        <a:xfrm>
          <a:off x="6362700" y="31043880"/>
          <a:ext cx="7277100" cy="18897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REGRESSION FIT TO MARMAP DATA</a:t>
          </a:r>
        </a:p>
      </xdr:txBody>
    </xdr:sp>
    <xdr:clientData/>
  </xdr:twoCellAnchor>
  <xdr:twoCellAnchor>
    <xdr:from>
      <xdr:col>16</xdr:col>
      <xdr:colOff>289560</xdr:colOff>
      <xdr:row>100</xdr:row>
      <xdr:rowOff>38100</xdr:rowOff>
    </xdr:from>
    <xdr:to>
      <xdr:col>23</xdr:col>
      <xdr:colOff>320040</xdr:colOff>
      <xdr:row>104</xdr:row>
      <xdr:rowOff>106680</xdr:rowOff>
    </xdr:to>
    <xdr:sp macro="" textlink="">
      <xdr:nvSpPr>
        <xdr:cNvPr id="7198" name="Text Box 30"/>
        <xdr:cNvSpPr txBox="1">
          <a:spLocks noChangeArrowheads="1"/>
        </xdr:cNvSpPr>
      </xdr:nvSpPr>
      <xdr:spPr bwMode="auto">
        <a:xfrm>
          <a:off x="12725400" y="20490180"/>
          <a:ext cx="6530340" cy="98298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MARMAP (1977-2008)</a:t>
          </a:r>
        </a:p>
      </xdr:txBody>
    </xdr:sp>
    <xdr:clientData/>
  </xdr:twoCellAnchor>
  <xdr:twoCellAnchor>
    <xdr:from>
      <xdr:col>31</xdr:col>
      <xdr:colOff>289560</xdr:colOff>
      <xdr:row>73</xdr:row>
      <xdr:rowOff>38100</xdr:rowOff>
    </xdr:from>
    <xdr:to>
      <xdr:col>44</xdr:col>
      <xdr:colOff>883920</xdr:colOff>
      <xdr:row>77</xdr:row>
      <xdr:rowOff>106680</xdr:rowOff>
    </xdr:to>
    <xdr:sp macro="" textlink="">
      <xdr:nvSpPr>
        <xdr:cNvPr id="7199" name="Text Box 31"/>
        <xdr:cNvSpPr txBox="1">
          <a:spLocks noChangeArrowheads="1"/>
        </xdr:cNvSpPr>
      </xdr:nvSpPr>
      <xdr:spPr bwMode="auto">
        <a:xfrm>
          <a:off x="26144220" y="14531340"/>
          <a:ext cx="115747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COMMERCIAL LOGBOOK (2005-2007)</a:t>
          </a:r>
        </a:p>
      </xdr:txBody>
    </xdr:sp>
    <xdr:clientData/>
  </xdr:twoCellAnchor>
  <xdr:twoCellAnchor editAs="oneCell">
    <xdr:from>
      <xdr:col>31</xdr:col>
      <xdr:colOff>289560</xdr:colOff>
      <xdr:row>78</xdr:row>
      <xdr:rowOff>106680</xdr:rowOff>
    </xdr:from>
    <xdr:to>
      <xdr:col>41</xdr:col>
      <xdr:colOff>289560</xdr:colOff>
      <xdr:row>104</xdr:row>
      <xdr:rowOff>99060</xdr:rowOff>
    </xdr:to>
    <xdr:pic>
      <xdr:nvPicPr>
        <xdr:cNvPr id="7307" name="Picture 33" descr="logbook"/>
        <xdr:cNvPicPr>
          <a:picLocks noChangeAspect="1" noChangeArrowheads="1"/>
        </xdr:cNvPicPr>
      </xdr:nvPicPr>
      <xdr:blipFill>
        <a:blip xmlns:r="http://schemas.openxmlformats.org/officeDocument/2006/relationships" r:embed="rId10" cstate="print"/>
        <a:srcRect/>
        <a:stretch>
          <a:fillRect/>
        </a:stretch>
      </xdr:blipFill>
      <xdr:spPr bwMode="auto">
        <a:xfrm>
          <a:off x="26144220" y="15590520"/>
          <a:ext cx="7825740" cy="5875020"/>
        </a:xfrm>
        <a:prstGeom prst="rect">
          <a:avLst/>
        </a:prstGeom>
        <a:noFill/>
        <a:ln w="9525">
          <a:noFill/>
          <a:miter lim="800000"/>
          <a:headEnd/>
          <a:tailEnd/>
        </a:ln>
      </xdr:spPr>
    </xdr:pic>
    <xdr:clientData/>
  </xdr:twoCellAnchor>
  <xdr:twoCellAnchor>
    <xdr:from>
      <xdr:col>43</xdr:col>
      <xdr:colOff>91440</xdr:colOff>
      <xdr:row>122</xdr:row>
      <xdr:rowOff>91440</xdr:rowOff>
    </xdr:from>
    <xdr:to>
      <xdr:col>54</xdr:col>
      <xdr:colOff>274320</xdr:colOff>
      <xdr:row>134</xdr:row>
      <xdr:rowOff>198120</xdr:rowOff>
    </xdr:to>
    <xdr:sp macro="" textlink="">
      <xdr:nvSpPr>
        <xdr:cNvPr id="7202" name="Text Box 34"/>
        <xdr:cNvSpPr txBox="1">
          <a:spLocks noChangeArrowheads="1"/>
        </xdr:cNvSpPr>
      </xdr:nvSpPr>
      <xdr:spPr bwMode="auto">
        <a:xfrm>
          <a:off x="35874960" y="25580340"/>
          <a:ext cx="9982200" cy="288798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S-curve regression model fit to the percent of the area closed by a bathymetric closure between 98-240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S-curve regression is used.</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This curve fit is statistically significant and has a high sample size (1241 trips outside the bathymetric closure, 3616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editAs="oneCell">
    <xdr:from>
      <xdr:col>31</xdr:col>
      <xdr:colOff>289560</xdr:colOff>
      <xdr:row>105</xdr:row>
      <xdr:rowOff>91440</xdr:rowOff>
    </xdr:from>
    <xdr:to>
      <xdr:col>38</xdr:col>
      <xdr:colOff>563880</xdr:colOff>
      <xdr:row>112</xdr:row>
      <xdr:rowOff>106680</xdr:rowOff>
    </xdr:to>
    <xdr:pic>
      <xdr:nvPicPr>
        <xdr:cNvPr id="7309" name="Picture 35"/>
        <xdr:cNvPicPr>
          <a:picLocks noChangeAspect="1" noChangeArrowheads="1"/>
        </xdr:cNvPicPr>
      </xdr:nvPicPr>
      <xdr:blipFill>
        <a:blip xmlns:r="http://schemas.openxmlformats.org/officeDocument/2006/relationships" r:embed="rId11" cstate="print"/>
        <a:srcRect/>
        <a:stretch>
          <a:fillRect/>
        </a:stretch>
      </xdr:blipFill>
      <xdr:spPr bwMode="auto">
        <a:xfrm>
          <a:off x="26144220" y="21686520"/>
          <a:ext cx="5608320" cy="1615440"/>
        </a:xfrm>
        <a:prstGeom prst="rect">
          <a:avLst/>
        </a:prstGeom>
        <a:solidFill>
          <a:srgbClr val="FFFFFF"/>
        </a:solidFill>
        <a:ln w="9525">
          <a:noFill/>
          <a:miter lim="800000"/>
          <a:headEnd/>
          <a:tailEnd/>
        </a:ln>
      </xdr:spPr>
    </xdr:pic>
    <xdr:clientData/>
  </xdr:twoCellAnchor>
  <xdr:twoCellAnchor editAs="oneCell">
    <xdr:from>
      <xdr:col>31</xdr:col>
      <xdr:colOff>274320</xdr:colOff>
      <xdr:row>113</xdr:row>
      <xdr:rowOff>45720</xdr:rowOff>
    </xdr:from>
    <xdr:to>
      <xdr:col>41</xdr:col>
      <xdr:colOff>396240</xdr:colOff>
      <xdr:row>123</xdr:row>
      <xdr:rowOff>22860</xdr:rowOff>
    </xdr:to>
    <xdr:pic>
      <xdr:nvPicPr>
        <xdr:cNvPr id="7310" name="Picture 36"/>
        <xdr:cNvPicPr>
          <a:picLocks noChangeAspect="1" noChangeArrowheads="1"/>
        </xdr:cNvPicPr>
      </xdr:nvPicPr>
      <xdr:blipFill>
        <a:blip xmlns:r="http://schemas.openxmlformats.org/officeDocument/2006/relationships" r:embed="rId12" cstate="print"/>
        <a:srcRect/>
        <a:stretch>
          <a:fillRect/>
        </a:stretch>
      </xdr:blipFill>
      <xdr:spPr bwMode="auto">
        <a:xfrm>
          <a:off x="26128980" y="23469600"/>
          <a:ext cx="7947660" cy="2270760"/>
        </a:xfrm>
        <a:prstGeom prst="rect">
          <a:avLst/>
        </a:prstGeom>
        <a:solidFill>
          <a:srgbClr val="FFFFFF"/>
        </a:solidFill>
        <a:ln w="9525">
          <a:noFill/>
          <a:miter lim="800000"/>
          <a:headEnd/>
          <a:tailEnd/>
        </a:ln>
      </xdr:spPr>
    </xdr:pic>
    <xdr:clientData/>
  </xdr:twoCellAnchor>
  <xdr:twoCellAnchor editAs="oneCell">
    <xdr:from>
      <xdr:col>31</xdr:col>
      <xdr:colOff>274320</xdr:colOff>
      <xdr:row>123</xdr:row>
      <xdr:rowOff>220980</xdr:rowOff>
    </xdr:from>
    <xdr:to>
      <xdr:col>41</xdr:col>
      <xdr:colOff>396240</xdr:colOff>
      <xdr:row>133</xdr:row>
      <xdr:rowOff>121920</xdr:rowOff>
    </xdr:to>
    <xdr:pic>
      <xdr:nvPicPr>
        <xdr:cNvPr id="7311" name="Picture 37"/>
        <xdr:cNvPicPr>
          <a:picLocks noChangeAspect="1" noChangeArrowheads="1"/>
        </xdr:cNvPicPr>
      </xdr:nvPicPr>
      <xdr:blipFill>
        <a:blip xmlns:r="http://schemas.openxmlformats.org/officeDocument/2006/relationships" r:embed="rId13" cstate="print"/>
        <a:srcRect/>
        <a:stretch>
          <a:fillRect/>
        </a:stretch>
      </xdr:blipFill>
      <xdr:spPr bwMode="auto">
        <a:xfrm>
          <a:off x="26128980" y="25938480"/>
          <a:ext cx="7947660" cy="2217420"/>
        </a:xfrm>
        <a:prstGeom prst="rect">
          <a:avLst/>
        </a:prstGeom>
        <a:solidFill>
          <a:srgbClr val="FFFFFF"/>
        </a:solidFill>
        <a:ln w="9525">
          <a:noFill/>
          <a:miter lim="800000"/>
          <a:headEnd/>
          <a:tailEnd/>
        </a:ln>
      </xdr:spPr>
    </xdr:pic>
    <xdr:clientData/>
  </xdr:twoCellAnchor>
  <xdr:twoCellAnchor editAs="oneCell">
    <xdr:from>
      <xdr:col>43</xdr:col>
      <xdr:colOff>289560</xdr:colOff>
      <xdr:row>92</xdr:row>
      <xdr:rowOff>38100</xdr:rowOff>
    </xdr:from>
    <xdr:to>
      <xdr:col>54</xdr:col>
      <xdr:colOff>213360</xdr:colOff>
      <xdr:row>121</xdr:row>
      <xdr:rowOff>53340</xdr:rowOff>
    </xdr:to>
    <xdr:pic>
      <xdr:nvPicPr>
        <xdr:cNvPr id="7312" name="Picture 38"/>
        <xdr:cNvPicPr>
          <a:picLocks noChangeAspect="1" noChangeArrowheads="1"/>
        </xdr:cNvPicPr>
      </xdr:nvPicPr>
      <xdr:blipFill>
        <a:blip xmlns:r="http://schemas.openxmlformats.org/officeDocument/2006/relationships" r:embed="rId14" cstate="print"/>
        <a:srcRect/>
        <a:stretch>
          <a:fillRect/>
        </a:stretch>
      </xdr:blipFill>
      <xdr:spPr bwMode="auto">
        <a:xfrm>
          <a:off x="36073080" y="18661380"/>
          <a:ext cx="9723120" cy="6652260"/>
        </a:xfrm>
        <a:prstGeom prst="rect">
          <a:avLst/>
        </a:prstGeom>
        <a:solidFill>
          <a:srgbClr val="FFFFFF"/>
        </a:solidFill>
        <a:ln w="9525">
          <a:noFill/>
          <a:miter lim="800000"/>
          <a:headEnd/>
          <a:tailEnd/>
        </a:ln>
      </xdr:spPr>
    </xdr:pic>
    <xdr:clientData/>
  </xdr:twoCellAnchor>
  <xdr:twoCellAnchor>
    <xdr:from>
      <xdr:col>44</xdr:col>
      <xdr:colOff>289560</xdr:colOff>
      <xdr:row>86</xdr:row>
      <xdr:rowOff>76200</xdr:rowOff>
    </xdr:from>
    <xdr:to>
      <xdr:col>52</xdr:col>
      <xdr:colOff>579120</xdr:colOff>
      <xdr:row>90</xdr:row>
      <xdr:rowOff>22860</xdr:rowOff>
    </xdr:to>
    <xdr:sp macro="" textlink="">
      <xdr:nvSpPr>
        <xdr:cNvPr id="7207" name="Text Box 39"/>
        <xdr:cNvSpPr txBox="1">
          <a:spLocks noChangeArrowheads="1"/>
        </xdr:cNvSpPr>
      </xdr:nvSpPr>
      <xdr:spPr bwMode="auto">
        <a:xfrm>
          <a:off x="37124640" y="17327880"/>
          <a:ext cx="781812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98 - 240 ft (30 - 73 m)</a:t>
          </a:r>
        </a:p>
      </xdr:txBody>
    </xdr:sp>
    <xdr:clientData/>
  </xdr:twoCellAnchor>
  <xdr:twoCellAnchor>
    <xdr:from>
      <xdr:col>31</xdr:col>
      <xdr:colOff>876300</xdr:colOff>
      <xdr:row>139</xdr:row>
      <xdr:rowOff>60960</xdr:rowOff>
    </xdr:from>
    <xdr:to>
      <xdr:col>53</xdr:col>
      <xdr:colOff>228600</xdr:colOff>
      <xdr:row>143</xdr:row>
      <xdr:rowOff>129540</xdr:rowOff>
    </xdr:to>
    <xdr:sp macro="" textlink="">
      <xdr:nvSpPr>
        <xdr:cNvPr id="7208" name="Text Box 40"/>
        <xdr:cNvSpPr txBox="1">
          <a:spLocks noChangeArrowheads="1"/>
        </xdr:cNvSpPr>
      </xdr:nvSpPr>
      <xdr:spPr bwMode="auto">
        <a:xfrm>
          <a:off x="26730960" y="29375100"/>
          <a:ext cx="184708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66 - 240 ft (20 - 73 m)</a:t>
          </a:r>
        </a:p>
      </xdr:txBody>
    </xdr:sp>
    <xdr:clientData/>
  </xdr:twoCellAnchor>
  <xdr:twoCellAnchor editAs="oneCell">
    <xdr:from>
      <xdr:col>31</xdr:col>
      <xdr:colOff>937260</xdr:colOff>
      <xdr:row>145</xdr:row>
      <xdr:rowOff>137160</xdr:rowOff>
    </xdr:from>
    <xdr:to>
      <xdr:col>41</xdr:col>
      <xdr:colOff>883920</xdr:colOff>
      <xdr:row>196</xdr:row>
      <xdr:rowOff>83820</xdr:rowOff>
    </xdr:to>
    <xdr:pic>
      <xdr:nvPicPr>
        <xdr:cNvPr id="7315" name="Picture 43" descr="Bathymetric Closure 20 to 73 m"/>
        <xdr:cNvPicPr>
          <a:picLocks noChangeAspect="1" noChangeArrowheads="1"/>
        </xdr:cNvPicPr>
      </xdr:nvPicPr>
      <xdr:blipFill>
        <a:blip xmlns:r="http://schemas.openxmlformats.org/officeDocument/2006/relationships" r:embed="rId15" cstate="print"/>
        <a:srcRect/>
        <a:stretch>
          <a:fillRect/>
        </a:stretch>
      </xdr:blipFill>
      <xdr:spPr bwMode="auto">
        <a:xfrm>
          <a:off x="26791920" y="30640020"/>
          <a:ext cx="7772400" cy="10058400"/>
        </a:xfrm>
        <a:prstGeom prst="rect">
          <a:avLst/>
        </a:prstGeom>
        <a:noFill/>
        <a:ln w="9525">
          <a:noFill/>
          <a:miter lim="800000"/>
          <a:headEnd/>
          <a:tailEnd/>
        </a:ln>
      </xdr:spPr>
    </xdr:pic>
    <xdr:clientData/>
  </xdr:twoCellAnchor>
  <xdr:twoCellAnchor editAs="oneCell">
    <xdr:from>
      <xdr:col>42</xdr:col>
      <xdr:colOff>289560</xdr:colOff>
      <xdr:row>145</xdr:row>
      <xdr:rowOff>114300</xdr:rowOff>
    </xdr:from>
    <xdr:to>
      <xdr:col>49</xdr:col>
      <xdr:colOff>701040</xdr:colOff>
      <xdr:row>196</xdr:row>
      <xdr:rowOff>53340</xdr:rowOff>
    </xdr:to>
    <xdr:pic>
      <xdr:nvPicPr>
        <xdr:cNvPr id="7316" name="Picture 44" descr="Bathymetric Closure 20m zoom Moe"/>
        <xdr:cNvPicPr>
          <a:picLocks noChangeAspect="1" noChangeArrowheads="1"/>
        </xdr:cNvPicPr>
      </xdr:nvPicPr>
      <xdr:blipFill>
        <a:blip xmlns:r="http://schemas.openxmlformats.org/officeDocument/2006/relationships" r:embed="rId16" cstate="print"/>
        <a:srcRect/>
        <a:stretch>
          <a:fillRect/>
        </a:stretch>
      </xdr:blipFill>
      <xdr:spPr bwMode="auto">
        <a:xfrm>
          <a:off x="35021520" y="30617160"/>
          <a:ext cx="7772400" cy="10050780"/>
        </a:xfrm>
        <a:prstGeom prst="rect">
          <a:avLst/>
        </a:prstGeom>
        <a:noFill/>
        <a:ln w="9525">
          <a:noFill/>
          <a:miter lim="800000"/>
          <a:headEnd/>
          <a:tailEnd/>
        </a:ln>
      </xdr:spPr>
    </xdr:pic>
    <xdr:clientData/>
  </xdr:twoCellAnchor>
  <xdr:twoCellAnchor>
    <xdr:from>
      <xdr:col>31</xdr:col>
      <xdr:colOff>952500</xdr:colOff>
      <xdr:row>197</xdr:row>
      <xdr:rowOff>38100</xdr:rowOff>
    </xdr:from>
    <xdr:to>
      <xdr:col>49</xdr:col>
      <xdr:colOff>594360</xdr:colOff>
      <xdr:row>201</xdr:row>
      <xdr:rowOff>76200</xdr:rowOff>
    </xdr:to>
    <xdr:sp macro="" textlink="">
      <xdr:nvSpPr>
        <xdr:cNvPr id="7213" name="Text Box 45"/>
        <xdr:cNvSpPr txBox="1">
          <a:spLocks noChangeArrowheads="1"/>
        </xdr:cNvSpPr>
      </xdr:nvSpPr>
      <xdr:spPr bwMode="auto">
        <a:xfrm>
          <a:off x="26807160" y="40850820"/>
          <a:ext cx="15880080" cy="83058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n-US" sz="1600" b="0" i="0" u="none" strike="noStrike" baseline="0">
              <a:solidFill>
                <a:srgbClr val="000000"/>
              </a:solidFill>
              <a:latin typeface="Arial"/>
              <a:cs typeface="Arial"/>
            </a:rPr>
            <a:t>Figure (left) is map of SAFMC commercial logbook statistical areas showing 20 meter bathymetry derived from raster Coastal Relief Model (CRM) data.  This bathymetry was subsequently generalized (right) to encompass red snapper spawning aggregation sites identified by Moe (1963) off northeast Florida.  The 73 m generalized bathymetric is identical to that presented to the SAFMC in Sept 2009.</a:t>
          </a:r>
        </a:p>
      </xdr:txBody>
    </xdr:sp>
    <xdr:clientData/>
  </xdr:twoCellAnchor>
  <xdr:twoCellAnchor editAs="oneCell">
    <xdr:from>
      <xdr:col>32</xdr:col>
      <xdr:colOff>0</xdr:colOff>
      <xdr:row>202</xdr:row>
      <xdr:rowOff>0</xdr:rowOff>
    </xdr:from>
    <xdr:to>
      <xdr:col>39</xdr:col>
      <xdr:colOff>60960</xdr:colOff>
      <xdr:row>209</xdr:row>
      <xdr:rowOff>60960</xdr:rowOff>
    </xdr:to>
    <xdr:pic>
      <xdr:nvPicPr>
        <xdr:cNvPr id="7318" name="Picture 49"/>
        <xdr:cNvPicPr>
          <a:picLocks noChangeAspect="1" noChangeArrowheads="1"/>
        </xdr:cNvPicPr>
      </xdr:nvPicPr>
      <xdr:blipFill>
        <a:blip xmlns:r="http://schemas.openxmlformats.org/officeDocument/2006/relationships" r:embed="rId17" cstate="print"/>
        <a:srcRect/>
        <a:stretch>
          <a:fillRect/>
        </a:stretch>
      </xdr:blipFill>
      <xdr:spPr bwMode="auto">
        <a:xfrm>
          <a:off x="26860500" y="41803320"/>
          <a:ext cx="4998720" cy="1447800"/>
        </a:xfrm>
        <a:prstGeom prst="rect">
          <a:avLst/>
        </a:prstGeom>
        <a:solidFill>
          <a:srgbClr val="FFFFFF"/>
        </a:solidFill>
        <a:ln w="9525">
          <a:noFill/>
          <a:miter lim="800000"/>
          <a:headEnd/>
          <a:tailEnd/>
        </a:ln>
      </xdr:spPr>
    </xdr:pic>
    <xdr:clientData/>
  </xdr:twoCellAnchor>
  <xdr:twoCellAnchor editAs="oneCell">
    <xdr:from>
      <xdr:col>32</xdr:col>
      <xdr:colOff>0</xdr:colOff>
      <xdr:row>213</xdr:row>
      <xdr:rowOff>0</xdr:rowOff>
    </xdr:from>
    <xdr:to>
      <xdr:col>41</xdr:col>
      <xdr:colOff>289560</xdr:colOff>
      <xdr:row>223</xdr:row>
      <xdr:rowOff>53340</xdr:rowOff>
    </xdr:to>
    <xdr:pic>
      <xdr:nvPicPr>
        <xdr:cNvPr id="7319" name="Picture 50"/>
        <xdr:cNvPicPr>
          <a:picLocks noChangeAspect="1" noChangeArrowheads="1"/>
        </xdr:cNvPicPr>
      </xdr:nvPicPr>
      <xdr:blipFill>
        <a:blip xmlns:r="http://schemas.openxmlformats.org/officeDocument/2006/relationships" r:embed="rId18" cstate="print"/>
        <a:srcRect/>
        <a:stretch>
          <a:fillRect/>
        </a:stretch>
      </xdr:blipFill>
      <xdr:spPr bwMode="auto">
        <a:xfrm>
          <a:off x="26860500" y="43982640"/>
          <a:ext cx="7109460" cy="2034540"/>
        </a:xfrm>
        <a:prstGeom prst="rect">
          <a:avLst/>
        </a:prstGeom>
        <a:solidFill>
          <a:srgbClr val="FFFFFF"/>
        </a:solidFill>
        <a:ln w="9525">
          <a:noFill/>
          <a:miter lim="800000"/>
          <a:headEnd/>
          <a:tailEnd/>
        </a:ln>
      </xdr:spPr>
    </xdr:pic>
    <xdr:clientData/>
  </xdr:twoCellAnchor>
  <xdr:twoCellAnchor editAs="oneCell">
    <xdr:from>
      <xdr:col>32</xdr:col>
      <xdr:colOff>0</xdr:colOff>
      <xdr:row>227</xdr:row>
      <xdr:rowOff>137160</xdr:rowOff>
    </xdr:from>
    <xdr:to>
      <xdr:col>41</xdr:col>
      <xdr:colOff>381000</xdr:colOff>
      <xdr:row>236</xdr:row>
      <xdr:rowOff>114300</xdr:rowOff>
    </xdr:to>
    <xdr:pic>
      <xdr:nvPicPr>
        <xdr:cNvPr id="7320" name="Picture 51"/>
        <xdr:cNvPicPr>
          <a:picLocks noChangeAspect="1" noChangeArrowheads="1"/>
        </xdr:cNvPicPr>
      </xdr:nvPicPr>
      <xdr:blipFill>
        <a:blip xmlns:r="http://schemas.openxmlformats.org/officeDocument/2006/relationships" r:embed="rId19" cstate="print"/>
        <a:srcRect/>
        <a:stretch>
          <a:fillRect/>
        </a:stretch>
      </xdr:blipFill>
      <xdr:spPr bwMode="auto">
        <a:xfrm>
          <a:off x="26860500" y="46893480"/>
          <a:ext cx="7200900" cy="1760220"/>
        </a:xfrm>
        <a:prstGeom prst="rect">
          <a:avLst/>
        </a:prstGeom>
        <a:solidFill>
          <a:srgbClr val="FFFFFF"/>
        </a:solidFill>
        <a:ln w="9525">
          <a:noFill/>
          <a:miter lim="800000"/>
          <a:headEnd/>
          <a:tailEnd/>
        </a:ln>
      </xdr:spPr>
    </xdr:pic>
    <xdr:clientData/>
  </xdr:twoCellAnchor>
  <xdr:twoCellAnchor editAs="oneCell">
    <xdr:from>
      <xdr:col>41</xdr:col>
      <xdr:colOff>723900</xdr:colOff>
      <xdr:row>202</xdr:row>
      <xdr:rowOff>114300</xdr:rowOff>
    </xdr:from>
    <xdr:to>
      <xdr:col>53</xdr:col>
      <xdr:colOff>548640</xdr:colOff>
      <xdr:row>240</xdr:row>
      <xdr:rowOff>182880</xdr:rowOff>
    </xdr:to>
    <xdr:pic>
      <xdr:nvPicPr>
        <xdr:cNvPr id="7321" name="Picture 54"/>
        <xdr:cNvPicPr>
          <a:picLocks noChangeAspect="1" noChangeArrowheads="1"/>
        </xdr:cNvPicPr>
      </xdr:nvPicPr>
      <xdr:blipFill>
        <a:blip xmlns:r="http://schemas.openxmlformats.org/officeDocument/2006/relationships" r:embed="rId20" cstate="print"/>
        <a:srcRect/>
        <a:stretch>
          <a:fillRect/>
        </a:stretch>
      </xdr:blipFill>
      <xdr:spPr bwMode="auto">
        <a:xfrm>
          <a:off x="34404300" y="41917620"/>
          <a:ext cx="11117580" cy="7597140"/>
        </a:xfrm>
        <a:prstGeom prst="rect">
          <a:avLst/>
        </a:prstGeom>
        <a:noFill/>
        <a:ln w="9525">
          <a:noFill/>
          <a:miter lim="800000"/>
          <a:headEnd/>
          <a:tailEnd/>
        </a:ln>
      </xdr:spPr>
    </xdr:pic>
    <xdr:clientData/>
  </xdr:twoCellAnchor>
  <xdr:twoCellAnchor>
    <xdr:from>
      <xdr:col>31</xdr:col>
      <xdr:colOff>975360</xdr:colOff>
      <xdr:row>243</xdr:row>
      <xdr:rowOff>76200</xdr:rowOff>
    </xdr:from>
    <xdr:to>
      <xdr:col>53</xdr:col>
      <xdr:colOff>495300</xdr:colOff>
      <xdr:row>250</xdr:row>
      <xdr:rowOff>152400</xdr:rowOff>
    </xdr:to>
    <xdr:sp macro="" textlink="">
      <xdr:nvSpPr>
        <xdr:cNvPr id="7225" name="Text Box 57"/>
        <xdr:cNvSpPr txBox="1">
          <a:spLocks noChangeArrowheads="1"/>
        </xdr:cNvSpPr>
      </xdr:nvSpPr>
      <xdr:spPr bwMode="auto">
        <a:xfrm>
          <a:off x="26830020" y="50002440"/>
          <a:ext cx="18638520" cy="146304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Linear regression model fit to the percent of the area closed by a bathymetric closure between 66-240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linear regression is used.</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This curve fit is statistically significant and has a high sample size (738 trips outside the bathymetric closure, 4703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xdr:from>
      <xdr:col>31</xdr:col>
      <xdr:colOff>937260</xdr:colOff>
      <xdr:row>253</xdr:row>
      <xdr:rowOff>190500</xdr:rowOff>
    </xdr:from>
    <xdr:to>
      <xdr:col>53</xdr:col>
      <xdr:colOff>289560</xdr:colOff>
      <xdr:row>258</xdr:row>
      <xdr:rowOff>53340</xdr:rowOff>
    </xdr:to>
    <xdr:sp macro="" textlink="">
      <xdr:nvSpPr>
        <xdr:cNvPr id="7226" name="Text Box 58"/>
        <xdr:cNvSpPr txBox="1">
          <a:spLocks noChangeArrowheads="1"/>
        </xdr:cNvSpPr>
      </xdr:nvSpPr>
      <xdr:spPr bwMode="auto">
        <a:xfrm>
          <a:off x="26791920" y="52105560"/>
          <a:ext cx="184708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66 - 300 ft (20 - 92 m)</a:t>
          </a:r>
        </a:p>
      </xdr:txBody>
    </xdr:sp>
    <xdr:clientData/>
  </xdr:twoCellAnchor>
  <xdr:twoCellAnchor editAs="oneCell">
    <xdr:from>
      <xdr:col>31</xdr:col>
      <xdr:colOff>952500</xdr:colOff>
      <xdr:row>260</xdr:row>
      <xdr:rowOff>0</xdr:rowOff>
    </xdr:from>
    <xdr:to>
      <xdr:col>41</xdr:col>
      <xdr:colOff>899160</xdr:colOff>
      <xdr:row>310</xdr:row>
      <xdr:rowOff>152400</xdr:rowOff>
    </xdr:to>
    <xdr:pic>
      <xdr:nvPicPr>
        <xdr:cNvPr id="7324" name="Picture 59" descr="Bathymetric Closure 20 to 92 m"/>
        <xdr:cNvPicPr>
          <a:picLocks noChangeAspect="1" noChangeArrowheads="1"/>
        </xdr:cNvPicPr>
      </xdr:nvPicPr>
      <xdr:blipFill>
        <a:blip xmlns:r="http://schemas.openxmlformats.org/officeDocument/2006/relationships" r:embed="rId21" cstate="print"/>
        <a:srcRect/>
        <a:stretch>
          <a:fillRect/>
        </a:stretch>
      </xdr:blipFill>
      <xdr:spPr bwMode="auto">
        <a:xfrm>
          <a:off x="26807160" y="53309520"/>
          <a:ext cx="7772400" cy="10058400"/>
        </a:xfrm>
        <a:prstGeom prst="rect">
          <a:avLst/>
        </a:prstGeom>
        <a:noFill/>
        <a:ln w="9525">
          <a:noFill/>
          <a:miter lim="800000"/>
          <a:headEnd/>
          <a:tailEnd/>
        </a:ln>
      </xdr:spPr>
    </xdr:pic>
    <xdr:clientData/>
  </xdr:twoCellAnchor>
  <xdr:twoCellAnchor>
    <xdr:from>
      <xdr:col>42</xdr:col>
      <xdr:colOff>556260</xdr:colOff>
      <xdr:row>260</xdr:row>
      <xdr:rowOff>22860</xdr:rowOff>
    </xdr:from>
    <xdr:to>
      <xdr:col>53</xdr:col>
      <xdr:colOff>358140</xdr:colOff>
      <xdr:row>266</xdr:row>
      <xdr:rowOff>114300</xdr:rowOff>
    </xdr:to>
    <xdr:sp macro="" textlink="">
      <xdr:nvSpPr>
        <xdr:cNvPr id="7228" name="Text Box 60"/>
        <xdr:cNvSpPr txBox="1">
          <a:spLocks noChangeArrowheads="1"/>
        </xdr:cNvSpPr>
      </xdr:nvSpPr>
      <xdr:spPr bwMode="auto">
        <a:xfrm>
          <a:off x="35288220" y="53332380"/>
          <a:ext cx="10043160" cy="128016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n-US" sz="1600" b="0" i="0" u="none" strike="noStrike" baseline="0">
              <a:solidFill>
                <a:srgbClr val="000000"/>
              </a:solidFill>
              <a:latin typeface="Arial"/>
              <a:cs typeface="Arial"/>
            </a:rPr>
            <a:t>Figure (left) is map of SAFMC commercial logbook statistical areas showing 20 meter bathymetry derived from raster Coastal Relief Model (CRM) data.  This bathymetry was subsequently generalized (see above)  to encompass red snapper spawning aggregation sites identified by Moe (1963) off northeast Florida.  The 92 m generalized bathymetry was also created from the CRM. </a:t>
          </a:r>
        </a:p>
      </xdr:txBody>
    </xdr:sp>
    <xdr:clientData/>
  </xdr:twoCellAnchor>
  <xdr:twoCellAnchor editAs="oneCell">
    <xdr:from>
      <xdr:col>44</xdr:col>
      <xdr:colOff>495300</xdr:colOff>
      <xdr:row>268</xdr:row>
      <xdr:rowOff>0</xdr:rowOff>
    </xdr:from>
    <xdr:to>
      <xdr:col>53</xdr:col>
      <xdr:colOff>518160</xdr:colOff>
      <xdr:row>279</xdr:row>
      <xdr:rowOff>175260</xdr:rowOff>
    </xdr:to>
    <xdr:pic>
      <xdr:nvPicPr>
        <xdr:cNvPr id="7326" name="Picture 61"/>
        <xdr:cNvPicPr>
          <a:picLocks noChangeAspect="1" noChangeArrowheads="1"/>
        </xdr:cNvPicPr>
      </xdr:nvPicPr>
      <xdr:blipFill>
        <a:blip xmlns:r="http://schemas.openxmlformats.org/officeDocument/2006/relationships" r:embed="rId22" cstate="print"/>
        <a:srcRect/>
        <a:stretch>
          <a:fillRect/>
        </a:stretch>
      </xdr:blipFill>
      <xdr:spPr bwMode="auto">
        <a:xfrm>
          <a:off x="37330380" y="54894480"/>
          <a:ext cx="8161020" cy="2354580"/>
        </a:xfrm>
        <a:prstGeom prst="rect">
          <a:avLst/>
        </a:prstGeom>
        <a:solidFill>
          <a:srgbClr val="FFFFFF"/>
        </a:solidFill>
        <a:ln w="9525">
          <a:noFill/>
          <a:miter lim="800000"/>
          <a:headEnd/>
          <a:tailEnd/>
        </a:ln>
      </xdr:spPr>
    </xdr:pic>
    <xdr:clientData/>
  </xdr:twoCellAnchor>
  <xdr:twoCellAnchor editAs="oneCell">
    <xdr:from>
      <xdr:col>42</xdr:col>
      <xdr:colOff>556260</xdr:colOff>
      <xdr:row>281</xdr:row>
      <xdr:rowOff>99060</xdr:rowOff>
    </xdr:from>
    <xdr:to>
      <xdr:col>53</xdr:col>
      <xdr:colOff>579120</xdr:colOff>
      <xdr:row>296</xdr:row>
      <xdr:rowOff>68580</xdr:rowOff>
    </xdr:to>
    <xdr:pic>
      <xdr:nvPicPr>
        <xdr:cNvPr id="7327" name="Picture 62"/>
        <xdr:cNvPicPr>
          <a:picLocks noChangeAspect="1" noChangeArrowheads="1"/>
        </xdr:cNvPicPr>
      </xdr:nvPicPr>
      <xdr:blipFill>
        <a:blip xmlns:r="http://schemas.openxmlformats.org/officeDocument/2006/relationships" r:embed="rId23" cstate="print"/>
        <a:srcRect/>
        <a:stretch>
          <a:fillRect/>
        </a:stretch>
      </xdr:blipFill>
      <xdr:spPr bwMode="auto">
        <a:xfrm>
          <a:off x="35288220" y="57569100"/>
          <a:ext cx="10264140" cy="2941320"/>
        </a:xfrm>
        <a:prstGeom prst="rect">
          <a:avLst/>
        </a:prstGeom>
        <a:solidFill>
          <a:srgbClr val="FFFFFF"/>
        </a:solidFill>
        <a:ln w="9525">
          <a:noFill/>
          <a:miter lim="800000"/>
          <a:headEnd/>
          <a:tailEnd/>
        </a:ln>
      </xdr:spPr>
    </xdr:pic>
    <xdr:clientData/>
  </xdr:twoCellAnchor>
  <xdr:twoCellAnchor editAs="oneCell">
    <xdr:from>
      <xdr:col>42</xdr:col>
      <xdr:colOff>571500</xdr:colOff>
      <xdr:row>297</xdr:row>
      <xdr:rowOff>137160</xdr:rowOff>
    </xdr:from>
    <xdr:to>
      <xdr:col>53</xdr:col>
      <xdr:colOff>571500</xdr:colOff>
      <xdr:row>310</xdr:row>
      <xdr:rowOff>60960</xdr:rowOff>
    </xdr:to>
    <xdr:pic>
      <xdr:nvPicPr>
        <xdr:cNvPr id="7328" name="Picture 63"/>
        <xdr:cNvPicPr>
          <a:picLocks noChangeAspect="1" noChangeArrowheads="1"/>
        </xdr:cNvPicPr>
      </xdr:nvPicPr>
      <xdr:blipFill>
        <a:blip xmlns:r="http://schemas.openxmlformats.org/officeDocument/2006/relationships" r:embed="rId24" cstate="print"/>
        <a:srcRect/>
        <a:stretch>
          <a:fillRect/>
        </a:stretch>
      </xdr:blipFill>
      <xdr:spPr bwMode="auto">
        <a:xfrm>
          <a:off x="35303460" y="60777120"/>
          <a:ext cx="10241280" cy="2499360"/>
        </a:xfrm>
        <a:prstGeom prst="rect">
          <a:avLst/>
        </a:prstGeom>
        <a:solidFill>
          <a:srgbClr val="FFFFFF"/>
        </a:solidFill>
        <a:ln w="9525">
          <a:noFill/>
          <a:miter lim="800000"/>
          <a:headEnd/>
          <a:tailEnd/>
        </a:ln>
      </xdr:spPr>
    </xdr:pic>
    <xdr:clientData/>
  </xdr:twoCellAnchor>
  <xdr:twoCellAnchor editAs="oneCell">
    <xdr:from>
      <xdr:col>31</xdr:col>
      <xdr:colOff>937260</xdr:colOff>
      <xdr:row>312</xdr:row>
      <xdr:rowOff>137160</xdr:rowOff>
    </xdr:from>
    <xdr:to>
      <xdr:col>45</xdr:col>
      <xdr:colOff>464820</xdr:colOff>
      <xdr:row>352</xdr:row>
      <xdr:rowOff>114300</xdr:rowOff>
    </xdr:to>
    <xdr:pic>
      <xdr:nvPicPr>
        <xdr:cNvPr id="7329" name="Picture 65"/>
        <xdr:cNvPicPr>
          <a:picLocks noChangeAspect="1" noChangeArrowheads="1"/>
        </xdr:cNvPicPr>
      </xdr:nvPicPr>
      <xdr:blipFill>
        <a:blip xmlns:r="http://schemas.openxmlformats.org/officeDocument/2006/relationships" r:embed="rId25" cstate="print"/>
        <a:srcRect/>
        <a:stretch>
          <a:fillRect/>
        </a:stretch>
      </xdr:blipFill>
      <xdr:spPr bwMode="auto">
        <a:xfrm>
          <a:off x="26791920" y="63748920"/>
          <a:ext cx="11559540" cy="7901940"/>
        </a:xfrm>
        <a:prstGeom prst="rect">
          <a:avLst/>
        </a:prstGeom>
        <a:noFill/>
        <a:ln w="9525">
          <a:noFill/>
          <a:miter lim="800000"/>
          <a:headEnd/>
          <a:tailEnd/>
        </a:ln>
      </xdr:spPr>
    </xdr:pic>
    <xdr:clientData/>
  </xdr:twoCellAnchor>
  <xdr:twoCellAnchor>
    <xdr:from>
      <xdr:col>31</xdr:col>
      <xdr:colOff>861060</xdr:colOff>
      <xdr:row>354</xdr:row>
      <xdr:rowOff>38100</xdr:rowOff>
    </xdr:from>
    <xdr:to>
      <xdr:col>45</xdr:col>
      <xdr:colOff>457200</xdr:colOff>
      <xdr:row>366</xdr:row>
      <xdr:rowOff>190500</xdr:rowOff>
    </xdr:to>
    <xdr:sp macro="" textlink="">
      <xdr:nvSpPr>
        <xdr:cNvPr id="7234" name="Text Box 66"/>
        <xdr:cNvSpPr txBox="1">
          <a:spLocks noChangeArrowheads="1"/>
        </xdr:cNvSpPr>
      </xdr:nvSpPr>
      <xdr:spPr bwMode="auto">
        <a:xfrm>
          <a:off x="26715720" y="71970900"/>
          <a:ext cx="11628120" cy="252984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en-US" sz="1400" b="0" i="0" u="none" strike="noStrike" baseline="0">
              <a:solidFill>
                <a:srgbClr val="000000"/>
              </a:solidFill>
              <a:latin typeface="Calibri"/>
            </a:rPr>
            <a:t>Linear regression model fit to the percent of the area closed by a bathymetric closure between 66-300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linear regression is used.</a:t>
          </a:r>
        </a:p>
        <a:p>
          <a:pPr algn="l" rtl="0">
            <a:defRPr sz="1000"/>
          </a:pPr>
          <a:endParaRPr lang="en-US" sz="1400" b="0" i="0" u="none" strike="noStrike" baseline="0">
            <a:solidFill>
              <a:srgbClr val="000000"/>
            </a:solidFill>
            <a:latin typeface="Calibri"/>
          </a:endParaRPr>
        </a:p>
        <a:p>
          <a:pPr algn="l" rtl="0">
            <a:defRPr sz="1000"/>
          </a:pPr>
          <a:r>
            <a:rPr lang="en-US" sz="1400" b="0" i="0" u="none" strike="noStrike" baseline="0">
              <a:solidFill>
                <a:srgbClr val="000000"/>
              </a:solidFill>
              <a:latin typeface="Calibri"/>
            </a:rPr>
            <a:t>This curve fit is statistically significant and has a high sample size (611 trips outside the bathymetric closure, 4830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xdr:from>
      <xdr:col>54</xdr:col>
      <xdr:colOff>487680</xdr:colOff>
      <xdr:row>73</xdr:row>
      <xdr:rowOff>30480</xdr:rowOff>
    </xdr:from>
    <xdr:to>
      <xdr:col>59</xdr:col>
      <xdr:colOff>114300</xdr:colOff>
      <xdr:row>86</xdr:row>
      <xdr:rowOff>213360</xdr:rowOff>
    </xdr:to>
    <xdr:sp macro="" textlink="">
      <xdr:nvSpPr>
        <xdr:cNvPr id="7236" name="Text Box 68"/>
        <xdr:cNvSpPr txBox="1">
          <a:spLocks noChangeArrowheads="1"/>
        </xdr:cNvSpPr>
      </xdr:nvSpPr>
      <xdr:spPr bwMode="auto">
        <a:xfrm>
          <a:off x="46070520" y="14523720"/>
          <a:ext cx="2674620" cy="2941320"/>
        </a:xfrm>
        <a:prstGeom prst="rect">
          <a:avLst/>
        </a:prstGeom>
        <a:solidFill>
          <a:srgbClr val="FFFFFF"/>
        </a:solidFill>
        <a:ln w="9525">
          <a:solidFill>
            <a:srgbClr val="000000"/>
          </a:solidFill>
          <a:miter lim="800000"/>
          <a:headEnd/>
          <a:tailEnd/>
        </a:ln>
      </xdr:spPr>
      <xdr:txBody>
        <a:bodyPr vertOverflow="clip" wrap="square" lIns="45720" tIns="32004" rIns="0" bIns="0" anchor="t" upright="1"/>
        <a:lstStyle/>
        <a:p>
          <a:pPr algn="l" rtl="0">
            <a:defRPr sz="1000"/>
          </a:pPr>
          <a:r>
            <a:rPr lang="en-US" sz="1400" b="0" i="0" u="none" strike="noStrike" baseline="0">
              <a:solidFill>
                <a:srgbClr val="000000"/>
              </a:solidFill>
              <a:latin typeface="Arial"/>
              <a:cs typeface="Arial"/>
            </a:rPr>
            <a:t>Figure (right) is map of SAFMC commercial logbook statistical areas showing generalized bathymetry closures for Alternative 4A (98-240 ft), Alternative 4B (66-240 ft), Alternative 4C (66-300 ft), and Alternative 6 (full cell closure).  Note red snapper spawning aggregation sites identified by Moe (1963) have been overplotted for reference.</a:t>
          </a:r>
        </a:p>
      </xdr:txBody>
    </xdr:sp>
    <xdr:clientData/>
  </xdr:twoCellAnchor>
  <xdr:twoCellAnchor editAs="oneCell">
    <xdr:from>
      <xdr:col>60</xdr:col>
      <xdr:colOff>30480</xdr:colOff>
      <xdr:row>72</xdr:row>
      <xdr:rowOff>152400</xdr:rowOff>
    </xdr:from>
    <xdr:to>
      <xdr:col>71</xdr:col>
      <xdr:colOff>30480</xdr:colOff>
      <xdr:row>118</xdr:row>
      <xdr:rowOff>22860</xdr:rowOff>
    </xdr:to>
    <xdr:pic>
      <xdr:nvPicPr>
        <xdr:cNvPr id="7332" name="Picture 69" descr="Bathymetric Closure Alts 4AtoC"/>
        <xdr:cNvPicPr>
          <a:picLocks noChangeAspect="1" noChangeArrowheads="1"/>
        </xdr:cNvPicPr>
      </xdr:nvPicPr>
      <xdr:blipFill>
        <a:blip xmlns:r="http://schemas.openxmlformats.org/officeDocument/2006/relationships" r:embed="rId26" cstate="print"/>
        <a:srcRect/>
        <a:stretch>
          <a:fillRect/>
        </a:stretch>
      </xdr:blipFill>
      <xdr:spPr bwMode="auto">
        <a:xfrm>
          <a:off x="49110900" y="14447520"/>
          <a:ext cx="7787640" cy="10149840"/>
        </a:xfrm>
        <a:prstGeom prst="rect">
          <a:avLst/>
        </a:prstGeom>
        <a:noFill/>
        <a:ln w="9525">
          <a:noFill/>
          <a:miter lim="800000"/>
          <a:headEnd/>
          <a:tailEnd/>
        </a:ln>
      </xdr:spPr>
    </xdr:pic>
    <xdr:clientData/>
  </xdr:twoCellAnchor>
  <xdr:twoCellAnchor editAs="oneCell">
    <xdr:from>
      <xdr:col>57</xdr:col>
      <xdr:colOff>487680</xdr:colOff>
      <xdr:row>120</xdr:row>
      <xdr:rowOff>121920</xdr:rowOff>
    </xdr:from>
    <xdr:to>
      <xdr:col>71</xdr:col>
      <xdr:colOff>99060</xdr:colOff>
      <xdr:row>133</xdr:row>
      <xdr:rowOff>121920</xdr:rowOff>
    </xdr:to>
    <xdr:pic>
      <xdr:nvPicPr>
        <xdr:cNvPr id="7333" name="Picture 71"/>
        <xdr:cNvPicPr>
          <a:picLocks noChangeAspect="1" noChangeArrowheads="1"/>
        </xdr:cNvPicPr>
      </xdr:nvPicPr>
      <xdr:blipFill>
        <a:blip xmlns:r="http://schemas.openxmlformats.org/officeDocument/2006/relationships" r:embed="rId27" cstate="print"/>
        <a:srcRect/>
        <a:stretch>
          <a:fillRect/>
        </a:stretch>
      </xdr:blipFill>
      <xdr:spPr bwMode="auto">
        <a:xfrm>
          <a:off x="47899320" y="25153620"/>
          <a:ext cx="9067800" cy="3002280"/>
        </a:xfrm>
        <a:prstGeom prst="rect">
          <a:avLst/>
        </a:prstGeom>
        <a:noFill/>
        <a:ln w="9525">
          <a:noFill/>
          <a:miter lim="800000"/>
          <a:headEnd/>
          <a:tailEnd/>
        </a:ln>
      </xdr:spPr>
    </xdr:pic>
    <xdr:clientData/>
  </xdr:twoCellAnchor>
  <xdr:twoCellAnchor>
    <xdr:from>
      <xdr:col>50</xdr:col>
      <xdr:colOff>152400</xdr:colOff>
      <xdr:row>146</xdr:row>
      <xdr:rowOff>175260</xdr:rowOff>
    </xdr:from>
    <xdr:to>
      <xdr:col>54</xdr:col>
      <xdr:colOff>137160</xdr:colOff>
      <xdr:row>200</xdr:row>
      <xdr:rowOff>68580</xdr:rowOff>
    </xdr:to>
    <xdr:sp macro="" textlink="">
      <xdr:nvSpPr>
        <xdr:cNvPr id="7240" name="Text Box 72"/>
        <xdr:cNvSpPr txBox="1">
          <a:spLocks noChangeArrowheads="1"/>
        </xdr:cNvSpPr>
      </xdr:nvSpPr>
      <xdr:spPr bwMode="auto">
        <a:xfrm>
          <a:off x="43296840" y="30883860"/>
          <a:ext cx="2423160" cy="1059180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US" sz="2000" b="0" i="0" u="none" strike="noStrike" baseline="0">
              <a:solidFill>
                <a:srgbClr val="000000"/>
              </a:solidFill>
              <a:latin typeface="Arial"/>
              <a:cs typeface="Arial"/>
            </a:rPr>
            <a:t>Percent stock protected computed directly from logbook (not regression):</a:t>
          </a:r>
        </a:p>
        <a:p>
          <a:pPr algn="ctr" rtl="0">
            <a:defRPr sz="1000"/>
          </a:pPr>
          <a:endParaRPr lang="en-US" sz="2000" b="0" i="0" u="none" strike="noStrike" baseline="0">
            <a:solidFill>
              <a:srgbClr val="000000"/>
            </a:solidFill>
            <a:latin typeface="Arial"/>
            <a:cs typeface="Arial"/>
          </a:endParaRPr>
        </a:p>
        <a:p>
          <a:pPr algn="ctr" rtl="0">
            <a:defRPr sz="1000"/>
          </a:pPr>
          <a:r>
            <a:rPr lang="en-US" sz="2000" b="0" i="0" u="none" strike="noStrike" baseline="0">
              <a:solidFill>
                <a:srgbClr val="000000"/>
              </a:solidFill>
              <a:latin typeface="Arial"/>
              <a:cs typeface="Arial"/>
            </a:rPr>
            <a:t>2480</a:t>
          </a:r>
        </a:p>
        <a:p>
          <a:pPr algn="ctr" rtl="0">
            <a:defRPr sz="1000"/>
          </a:pPr>
          <a:r>
            <a:rPr lang="en-US" sz="2000" b="0" i="0" u="none" strike="noStrike" baseline="0">
              <a:solidFill>
                <a:srgbClr val="000000"/>
              </a:solidFill>
              <a:latin typeface="Arial"/>
              <a:cs typeface="Arial"/>
            </a:rPr>
            <a:t>2481</a:t>
          </a:r>
        </a:p>
        <a:p>
          <a:pPr algn="ctr" rtl="0">
            <a:defRPr sz="1000"/>
          </a:pPr>
          <a:r>
            <a:rPr lang="en-US" sz="2000" b="0" i="0" u="none" strike="noStrike" baseline="0">
              <a:solidFill>
                <a:srgbClr val="000000"/>
              </a:solidFill>
              <a:latin typeface="Arial"/>
              <a:cs typeface="Arial"/>
            </a:rPr>
            <a:t>2482</a:t>
          </a:r>
        </a:p>
        <a:p>
          <a:pPr algn="ctr" rtl="0">
            <a:defRPr sz="1000"/>
          </a:pPr>
          <a:r>
            <a:rPr lang="en-US" sz="2000" b="0" i="0" u="none" strike="noStrike" baseline="0">
              <a:solidFill>
                <a:srgbClr val="000000"/>
              </a:solidFill>
              <a:latin typeface="Arial"/>
              <a:cs typeface="Arial"/>
            </a:rPr>
            <a:t>2580</a:t>
          </a:r>
        </a:p>
        <a:p>
          <a:pPr algn="ctr" rtl="0">
            <a:defRPr sz="1000"/>
          </a:pPr>
          <a:r>
            <a:rPr lang="en-US" sz="2000" b="0" i="0" u="none" strike="noStrike" baseline="0">
              <a:solidFill>
                <a:srgbClr val="000000"/>
              </a:solidFill>
              <a:latin typeface="Arial"/>
              <a:cs typeface="Arial"/>
            </a:rPr>
            <a:t>2679</a:t>
          </a:r>
        </a:p>
        <a:p>
          <a:pPr algn="ctr" rtl="0">
            <a:defRPr sz="1000"/>
          </a:pPr>
          <a:r>
            <a:rPr lang="en-US" sz="2000" b="0" i="0" u="none" strike="noStrike" baseline="0">
              <a:solidFill>
                <a:srgbClr val="000000"/>
              </a:solidFill>
              <a:latin typeface="Arial"/>
              <a:cs typeface="Arial"/>
            </a:rPr>
            <a:t>2779</a:t>
          </a:r>
        </a:p>
        <a:p>
          <a:pPr algn="ctr" rtl="0">
            <a:defRPr sz="1000"/>
          </a:pPr>
          <a:r>
            <a:rPr lang="en-US" sz="2000" b="0" i="0" u="none" strike="noStrike" baseline="0">
              <a:solidFill>
                <a:srgbClr val="000000"/>
              </a:solidFill>
              <a:latin typeface="Arial"/>
              <a:cs typeface="Arial"/>
            </a:rPr>
            <a:t>2780</a:t>
          </a:r>
        </a:p>
        <a:p>
          <a:pPr algn="ctr" rtl="0">
            <a:defRPr sz="1000"/>
          </a:pPr>
          <a:r>
            <a:rPr lang="en-US" sz="2000" b="0" i="0" u="none" strike="noStrike" baseline="0">
              <a:solidFill>
                <a:srgbClr val="000000"/>
              </a:solidFill>
              <a:latin typeface="Arial"/>
              <a:cs typeface="Arial"/>
            </a:rPr>
            <a:t>2879</a:t>
          </a:r>
        </a:p>
        <a:p>
          <a:pPr algn="ctr" rtl="0">
            <a:defRPr sz="1000"/>
          </a:pPr>
          <a:r>
            <a:rPr lang="en-US" sz="2000" b="0" i="0" u="none" strike="noStrike" baseline="0">
              <a:solidFill>
                <a:srgbClr val="000000"/>
              </a:solidFill>
              <a:latin typeface="Arial"/>
              <a:cs typeface="Arial"/>
            </a:rPr>
            <a:t>2880</a:t>
          </a:r>
        </a:p>
        <a:p>
          <a:pPr algn="ctr" rtl="0">
            <a:defRPr sz="1000"/>
          </a:pPr>
          <a:r>
            <a:rPr lang="en-US" sz="2000" b="0" i="0" u="none" strike="noStrike" baseline="0">
              <a:solidFill>
                <a:srgbClr val="000000"/>
              </a:solidFill>
              <a:latin typeface="Arial"/>
              <a:cs typeface="Arial"/>
            </a:rPr>
            <a:t>2980</a:t>
          </a:r>
        </a:p>
        <a:p>
          <a:pPr algn="ctr" rtl="0">
            <a:defRPr sz="1000"/>
          </a:pPr>
          <a:r>
            <a:rPr lang="en-US" sz="2000" b="0" i="0" u="none" strike="noStrike" baseline="0">
              <a:solidFill>
                <a:srgbClr val="000000"/>
              </a:solidFill>
              <a:latin typeface="Arial"/>
              <a:cs typeface="Arial"/>
            </a:rPr>
            <a:t>2981</a:t>
          </a:r>
        </a:p>
        <a:p>
          <a:pPr algn="ctr" rtl="0">
            <a:defRPr sz="1000"/>
          </a:pPr>
          <a:r>
            <a:rPr lang="en-US" sz="2000" b="0" i="0" u="none" strike="noStrike" baseline="0">
              <a:solidFill>
                <a:srgbClr val="000000"/>
              </a:solidFill>
              <a:latin typeface="Arial"/>
              <a:cs typeface="Arial"/>
            </a:rPr>
            <a:t>3080</a:t>
          </a:r>
        </a:p>
        <a:p>
          <a:pPr algn="ctr" rtl="0">
            <a:defRPr sz="1000"/>
          </a:pPr>
          <a:r>
            <a:rPr lang="en-US" sz="2000" b="0" i="0" u="none" strike="noStrike" baseline="0">
              <a:solidFill>
                <a:srgbClr val="000000"/>
              </a:solidFill>
              <a:latin typeface="Arial"/>
              <a:cs typeface="Arial"/>
            </a:rPr>
            <a:t>3081</a:t>
          </a:r>
        </a:p>
        <a:p>
          <a:pPr algn="ctr" rtl="0">
            <a:defRPr sz="1000"/>
          </a:pPr>
          <a:r>
            <a:rPr lang="en-US" sz="2000" b="0" i="0" u="none" strike="noStrike" baseline="0">
              <a:solidFill>
                <a:srgbClr val="000000"/>
              </a:solidFill>
              <a:latin typeface="Arial"/>
              <a:cs typeface="Arial"/>
            </a:rPr>
            <a:t>3179</a:t>
          </a:r>
        </a:p>
        <a:p>
          <a:pPr algn="ctr" rtl="0">
            <a:defRPr sz="1000"/>
          </a:pPr>
          <a:r>
            <a:rPr lang="en-US" sz="2000" b="0" i="0" u="none" strike="noStrike" baseline="0">
              <a:solidFill>
                <a:srgbClr val="000000"/>
              </a:solidFill>
              <a:latin typeface="Arial"/>
              <a:cs typeface="Arial"/>
            </a:rPr>
            <a:t>3180</a:t>
          </a:r>
        </a:p>
        <a:p>
          <a:pPr algn="ctr" rtl="0">
            <a:defRPr sz="1000"/>
          </a:pPr>
          <a:r>
            <a:rPr lang="en-US" sz="2000" b="0" i="0" u="none" strike="noStrike" baseline="0">
              <a:solidFill>
                <a:srgbClr val="000000"/>
              </a:solidFill>
              <a:latin typeface="Arial"/>
              <a:cs typeface="Arial"/>
            </a:rPr>
            <a:t>3278</a:t>
          </a:r>
        </a:p>
        <a:p>
          <a:pPr algn="ctr" rtl="0">
            <a:defRPr sz="1000"/>
          </a:pPr>
          <a:r>
            <a:rPr lang="en-US" sz="2000" b="0" i="0" u="none" strike="noStrike" baseline="0">
              <a:solidFill>
                <a:srgbClr val="000000"/>
              </a:solidFill>
              <a:latin typeface="Arial"/>
              <a:cs typeface="Arial"/>
            </a:rPr>
            <a:t>3279</a:t>
          </a:r>
        </a:p>
        <a:p>
          <a:pPr algn="ctr" rtl="0">
            <a:defRPr sz="1000"/>
          </a:pPr>
          <a:r>
            <a:rPr lang="en-US" sz="2000" b="0" i="0" u="none" strike="noStrike" baseline="0">
              <a:solidFill>
                <a:srgbClr val="000000"/>
              </a:solidFill>
              <a:latin typeface="Arial"/>
              <a:cs typeface="Arial"/>
            </a:rPr>
            <a:t>3280</a:t>
          </a:r>
        </a:p>
        <a:p>
          <a:pPr algn="ctr" rtl="0">
            <a:defRPr sz="1000"/>
          </a:pPr>
          <a:r>
            <a:rPr lang="en-US" sz="2000" b="0" i="0" u="none" strike="noStrike" baseline="0">
              <a:solidFill>
                <a:srgbClr val="000000"/>
              </a:solidFill>
              <a:latin typeface="Arial"/>
              <a:cs typeface="Arial"/>
            </a:rPr>
            <a:t>3376</a:t>
          </a:r>
        </a:p>
        <a:p>
          <a:pPr algn="ctr" rtl="0">
            <a:defRPr sz="1000"/>
          </a:pPr>
          <a:r>
            <a:rPr lang="en-US" sz="2000" b="0" i="0" u="none" strike="noStrike" baseline="0">
              <a:solidFill>
                <a:srgbClr val="000000"/>
              </a:solidFill>
              <a:latin typeface="Arial"/>
              <a:cs typeface="Arial"/>
            </a:rPr>
            <a:t>3377</a:t>
          </a:r>
        </a:p>
        <a:p>
          <a:pPr algn="ctr" rtl="0">
            <a:defRPr sz="1000"/>
          </a:pPr>
          <a:r>
            <a:rPr lang="en-US" sz="2000" b="0" i="0" u="none" strike="noStrike" baseline="0">
              <a:solidFill>
                <a:srgbClr val="000000"/>
              </a:solidFill>
              <a:latin typeface="Arial"/>
              <a:cs typeface="Arial"/>
            </a:rPr>
            <a:t>3378</a:t>
          </a:r>
        </a:p>
        <a:p>
          <a:pPr algn="ctr" rtl="0">
            <a:defRPr sz="1000"/>
          </a:pPr>
          <a:r>
            <a:rPr lang="en-US" sz="2000" b="0" i="0" u="none" strike="noStrike" baseline="0">
              <a:solidFill>
                <a:srgbClr val="000000"/>
              </a:solidFill>
              <a:latin typeface="Arial"/>
              <a:cs typeface="Arial"/>
            </a:rPr>
            <a:t>3475</a:t>
          </a:r>
        </a:p>
        <a:p>
          <a:pPr algn="ctr" rtl="0">
            <a:defRPr sz="1000"/>
          </a:pPr>
          <a:r>
            <a:rPr lang="en-US" sz="2000" b="0" i="0" u="none" strike="noStrike" baseline="0">
              <a:solidFill>
                <a:srgbClr val="000000"/>
              </a:solidFill>
              <a:latin typeface="Arial"/>
              <a:cs typeface="Arial"/>
            </a:rPr>
            <a:t>3476</a:t>
          </a:r>
        </a:p>
        <a:p>
          <a:pPr algn="ctr" rtl="0">
            <a:defRPr sz="1000"/>
          </a:pPr>
          <a:r>
            <a:rPr lang="en-US" sz="2000" b="0" i="0" u="none" strike="noStrike" baseline="0">
              <a:solidFill>
                <a:srgbClr val="000000"/>
              </a:solidFill>
              <a:latin typeface="Arial"/>
              <a:cs typeface="Arial"/>
            </a:rPr>
            <a:t>3477</a:t>
          </a:r>
        </a:p>
        <a:p>
          <a:pPr algn="ctr" rtl="0">
            <a:defRPr sz="1000"/>
          </a:pPr>
          <a:r>
            <a:rPr lang="en-US" sz="2000" b="0" i="0" u="none" strike="noStrike" baseline="0">
              <a:solidFill>
                <a:srgbClr val="000000"/>
              </a:solidFill>
              <a:latin typeface="Arial"/>
              <a:cs typeface="Arial"/>
            </a:rPr>
            <a:t>3575</a:t>
          </a: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twoCellAnchor>
    <xdr:from>
      <xdr:col>46</xdr:col>
      <xdr:colOff>952500</xdr:colOff>
      <xdr:row>312</xdr:row>
      <xdr:rowOff>114300</xdr:rowOff>
    </xdr:from>
    <xdr:to>
      <xdr:col>49</xdr:col>
      <xdr:colOff>220980</xdr:colOff>
      <xdr:row>364</xdr:row>
      <xdr:rowOff>53340</xdr:rowOff>
    </xdr:to>
    <xdr:sp macro="" textlink="">
      <xdr:nvSpPr>
        <xdr:cNvPr id="7241" name="Text Box 73"/>
        <xdr:cNvSpPr txBox="1">
          <a:spLocks noChangeArrowheads="1"/>
        </xdr:cNvSpPr>
      </xdr:nvSpPr>
      <xdr:spPr bwMode="auto">
        <a:xfrm>
          <a:off x="39890700" y="63726060"/>
          <a:ext cx="2423160" cy="1024128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US" sz="2000" b="0" i="0" u="none" strike="noStrike" baseline="0">
              <a:solidFill>
                <a:srgbClr val="000000"/>
              </a:solidFill>
              <a:latin typeface="Arial"/>
              <a:cs typeface="Arial"/>
            </a:rPr>
            <a:t>Percent stock protected computed directly from logbook (not regression):</a:t>
          </a:r>
        </a:p>
        <a:p>
          <a:pPr algn="ctr" rtl="0">
            <a:defRPr sz="1000"/>
          </a:pPr>
          <a:endParaRPr lang="en-US" sz="2000" b="0" i="0" u="none" strike="noStrike" baseline="0">
            <a:solidFill>
              <a:srgbClr val="000000"/>
            </a:solidFill>
            <a:latin typeface="Arial"/>
            <a:cs typeface="Arial"/>
          </a:endParaRPr>
        </a:p>
        <a:p>
          <a:pPr algn="ctr" rtl="0">
            <a:defRPr sz="1000"/>
          </a:pPr>
          <a:r>
            <a:rPr lang="en-US" sz="2000" b="0" i="0" u="none" strike="noStrike" baseline="0">
              <a:solidFill>
                <a:srgbClr val="000000"/>
              </a:solidFill>
              <a:latin typeface="Arial"/>
              <a:cs typeface="Arial"/>
            </a:rPr>
            <a:t>2480</a:t>
          </a:r>
        </a:p>
        <a:p>
          <a:pPr algn="ctr" rtl="0">
            <a:defRPr sz="1000"/>
          </a:pPr>
          <a:r>
            <a:rPr lang="en-US" sz="2000" b="0" i="0" u="none" strike="noStrike" baseline="0">
              <a:solidFill>
                <a:srgbClr val="000000"/>
              </a:solidFill>
              <a:latin typeface="Arial"/>
              <a:cs typeface="Arial"/>
            </a:rPr>
            <a:t>2481</a:t>
          </a:r>
        </a:p>
        <a:p>
          <a:pPr algn="ctr" rtl="0">
            <a:defRPr sz="1000"/>
          </a:pPr>
          <a:r>
            <a:rPr lang="en-US" sz="2000" b="0" i="0" u="none" strike="noStrike" baseline="0">
              <a:solidFill>
                <a:srgbClr val="000000"/>
              </a:solidFill>
              <a:latin typeface="Arial"/>
              <a:cs typeface="Arial"/>
            </a:rPr>
            <a:t>2482</a:t>
          </a:r>
        </a:p>
        <a:p>
          <a:pPr algn="ctr" rtl="0">
            <a:defRPr sz="1000"/>
          </a:pPr>
          <a:r>
            <a:rPr lang="en-US" sz="2000" b="0" i="0" u="none" strike="noStrike" baseline="0">
              <a:solidFill>
                <a:srgbClr val="000000"/>
              </a:solidFill>
              <a:latin typeface="Arial"/>
              <a:cs typeface="Arial"/>
            </a:rPr>
            <a:t>2580</a:t>
          </a:r>
        </a:p>
        <a:p>
          <a:pPr algn="ctr" rtl="0">
            <a:defRPr sz="1000"/>
          </a:pPr>
          <a:r>
            <a:rPr lang="en-US" sz="2000" b="0" i="0" u="none" strike="noStrike" baseline="0">
              <a:solidFill>
                <a:srgbClr val="000000"/>
              </a:solidFill>
              <a:latin typeface="Arial"/>
              <a:cs typeface="Arial"/>
            </a:rPr>
            <a:t>2679</a:t>
          </a:r>
        </a:p>
        <a:p>
          <a:pPr algn="ctr" rtl="0">
            <a:defRPr sz="1000"/>
          </a:pPr>
          <a:r>
            <a:rPr lang="en-US" sz="2000" b="0" i="0" u="none" strike="noStrike" baseline="0">
              <a:solidFill>
                <a:srgbClr val="000000"/>
              </a:solidFill>
              <a:latin typeface="Arial"/>
              <a:cs typeface="Arial"/>
            </a:rPr>
            <a:t>2779</a:t>
          </a:r>
        </a:p>
        <a:p>
          <a:pPr algn="ctr" rtl="0">
            <a:defRPr sz="1000"/>
          </a:pPr>
          <a:r>
            <a:rPr lang="en-US" sz="2000" b="0" i="0" u="none" strike="noStrike" baseline="0">
              <a:solidFill>
                <a:srgbClr val="000000"/>
              </a:solidFill>
              <a:latin typeface="Arial"/>
              <a:cs typeface="Arial"/>
            </a:rPr>
            <a:t>2780</a:t>
          </a:r>
        </a:p>
        <a:p>
          <a:pPr algn="ctr" rtl="0">
            <a:defRPr sz="1000"/>
          </a:pPr>
          <a:r>
            <a:rPr lang="en-US" sz="2000" b="0" i="0" u="none" strike="noStrike" baseline="0">
              <a:solidFill>
                <a:srgbClr val="000000"/>
              </a:solidFill>
              <a:latin typeface="Arial"/>
              <a:cs typeface="Arial"/>
            </a:rPr>
            <a:t>2880</a:t>
          </a:r>
        </a:p>
        <a:p>
          <a:pPr algn="ctr" rtl="0">
            <a:defRPr sz="1000"/>
          </a:pPr>
          <a:r>
            <a:rPr lang="en-US" sz="2000" b="0" i="0" u="none" strike="noStrike" baseline="0">
              <a:solidFill>
                <a:srgbClr val="000000"/>
              </a:solidFill>
              <a:latin typeface="Arial"/>
              <a:cs typeface="Arial"/>
            </a:rPr>
            <a:t>2980</a:t>
          </a:r>
        </a:p>
        <a:p>
          <a:pPr algn="ctr" rtl="0">
            <a:defRPr sz="1000"/>
          </a:pPr>
          <a:r>
            <a:rPr lang="en-US" sz="2000" b="0" i="0" u="none" strike="noStrike" baseline="0">
              <a:solidFill>
                <a:srgbClr val="000000"/>
              </a:solidFill>
              <a:latin typeface="Arial"/>
              <a:cs typeface="Arial"/>
            </a:rPr>
            <a:t>2981</a:t>
          </a:r>
        </a:p>
        <a:p>
          <a:pPr algn="ctr" rtl="0">
            <a:defRPr sz="1000"/>
          </a:pPr>
          <a:r>
            <a:rPr lang="en-US" sz="2000" b="0" i="0" u="none" strike="noStrike" baseline="0">
              <a:solidFill>
                <a:srgbClr val="000000"/>
              </a:solidFill>
              <a:latin typeface="Arial"/>
              <a:cs typeface="Arial"/>
            </a:rPr>
            <a:t>3080</a:t>
          </a:r>
        </a:p>
        <a:p>
          <a:pPr algn="ctr" rtl="0">
            <a:defRPr sz="1000"/>
          </a:pPr>
          <a:r>
            <a:rPr lang="en-US" sz="2000" b="0" i="0" u="none" strike="noStrike" baseline="0">
              <a:solidFill>
                <a:srgbClr val="000000"/>
              </a:solidFill>
              <a:latin typeface="Arial"/>
              <a:cs typeface="Arial"/>
            </a:rPr>
            <a:t>3081</a:t>
          </a:r>
        </a:p>
        <a:p>
          <a:pPr algn="ctr" rtl="0">
            <a:defRPr sz="1000"/>
          </a:pPr>
          <a:r>
            <a:rPr lang="en-US" sz="2000" b="0" i="0" u="none" strike="noStrike" baseline="0">
              <a:solidFill>
                <a:srgbClr val="000000"/>
              </a:solidFill>
              <a:latin typeface="Arial"/>
              <a:cs typeface="Arial"/>
            </a:rPr>
            <a:t>3179</a:t>
          </a:r>
        </a:p>
        <a:p>
          <a:pPr algn="ctr" rtl="0">
            <a:defRPr sz="1000"/>
          </a:pPr>
          <a:r>
            <a:rPr lang="en-US" sz="2000" b="0" i="0" u="none" strike="noStrike" baseline="0">
              <a:solidFill>
                <a:srgbClr val="000000"/>
              </a:solidFill>
              <a:latin typeface="Arial"/>
              <a:cs typeface="Arial"/>
            </a:rPr>
            <a:t>3180</a:t>
          </a:r>
        </a:p>
        <a:p>
          <a:pPr algn="ctr" rtl="0">
            <a:defRPr sz="1000"/>
          </a:pPr>
          <a:r>
            <a:rPr lang="en-US" sz="2000" b="0" i="0" u="none" strike="noStrike" baseline="0">
              <a:solidFill>
                <a:srgbClr val="000000"/>
              </a:solidFill>
              <a:latin typeface="Arial"/>
              <a:cs typeface="Arial"/>
            </a:rPr>
            <a:t>3278</a:t>
          </a:r>
        </a:p>
        <a:p>
          <a:pPr algn="ctr" rtl="0">
            <a:defRPr sz="1000"/>
          </a:pPr>
          <a:r>
            <a:rPr lang="en-US" sz="2000" b="0" i="0" u="none" strike="noStrike" baseline="0">
              <a:solidFill>
                <a:srgbClr val="000000"/>
              </a:solidFill>
              <a:latin typeface="Arial"/>
              <a:cs typeface="Arial"/>
            </a:rPr>
            <a:t>3279</a:t>
          </a:r>
        </a:p>
        <a:p>
          <a:pPr algn="ctr" rtl="0">
            <a:defRPr sz="1000"/>
          </a:pPr>
          <a:r>
            <a:rPr lang="en-US" sz="2000" b="0" i="0" u="none" strike="noStrike" baseline="0">
              <a:solidFill>
                <a:srgbClr val="000000"/>
              </a:solidFill>
              <a:latin typeface="Arial"/>
              <a:cs typeface="Arial"/>
            </a:rPr>
            <a:t>3280</a:t>
          </a:r>
        </a:p>
        <a:p>
          <a:pPr algn="ctr" rtl="0">
            <a:defRPr sz="1000"/>
          </a:pPr>
          <a:r>
            <a:rPr lang="en-US" sz="2000" b="0" i="0" u="none" strike="noStrike" baseline="0">
              <a:solidFill>
                <a:srgbClr val="000000"/>
              </a:solidFill>
              <a:latin typeface="Arial"/>
              <a:cs typeface="Arial"/>
            </a:rPr>
            <a:t>3376</a:t>
          </a:r>
        </a:p>
        <a:p>
          <a:pPr algn="ctr" rtl="0">
            <a:defRPr sz="1000"/>
          </a:pPr>
          <a:r>
            <a:rPr lang="en-US" sz="2000" b="0" i="0" u="none" strike="noStrike" baseline="0">
              <a:solidFill>
                <a:srgbClr val="000000"/>
              </a:solidFill>
              <a:latin typeface="Arial"/>
              <a:cs typeface="Arial"/>
            </a:rPr>
            <a:t>3377</a:t>
          </a:r>
        </a:p>
        <a:p>
          <a:pPr algn="ctr" rtl="0">
            <a:defRPr sz="1000"/>
          </a:pPr>
          <a:r>
            <a:rPr lang="en-US" sz="2000" b="0" i="0" u="none" strike="noStrike" baseline="0">
              <a:solidFill>
                <a:srgbClr val="000000"/>
              </a:solidFill>
              <a:latin typeface="Arial"/>
              <a:cs typeface="Arial"/>
            </a:rPr>
            <a:t>3378</a:t>
          </a:r>
        </a:p>
        <a:p>
          <a:pPr algn="ctr" rtl="0">
            <a:defRPr sz="1000"/>
          </a:pPr>
          <a:r>
            <a:rPr lang="en-US" sz="2000" b="0" i="0" u="none" strike="noStrike" baseline="0">
              <a:solidFill>
                <a:srgbClr val="000000"/>
              </a:solidFill>
              <a:latin typeface="Arial"/>
              <a:cs typeface="Arial"/>
            </a:rPr>
            <a:t>3476</a:t>
          </a:r>
        </a:p>
        <a:p>
          <a:pPr algn="ctr" rtl="0">
            <a:defRPr sz="1000"/>
          </a:pPr>
          <a:r>
            <a:rPr lang="en-US" sz="2000" b="0" i="0" u="none" strike="noStrike" baseline="0">
              <a:solidFill>
                <a:srgbClr val="000000"/>
              </a:solidFill>
              <a:latin typeface="Arial"/>
              <a:cs typeface="Arial"/>
            </a:rPr>
            <a:t>3477</a:t>
          </a:r>
        </a:p>
        <a:p>
          <a:pPr algn="ctr" rtl="0">
            <a:defRPr sz="1000"/>
          </a:pPr>
          <a:r>
            <a:rPr lang="en-US" sz="2000" b="0" i="0" u="none" strike="noStrike" baseline="0">
              <a:solidFill>
                <a:srgbClr val="000000"/>
              </a:solidFill>
              <a:latin typeface="Arial"/>
              <a:cs typeface="Arial"/>
            </a:rPr>
            <a:t>3575</a:t>
          </a: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6</xdr:row>
      <xdr:rowOff>121920</xdr:rowOff>
    </xdr:from>
    <xdr:to>
      <xdr:col>26</xdr:col>
      <xdr:colOff>15240</xdr:colOff>
      <xdr:row>29</xdr:row>
      <xdr:rowOff>68580</xdr:rowOff>
    </xdr:to>
    <xdr:sp macro="" textlink="">
      <xdr:nvSpPr>
        <xdr:cNvPr id="9218" name="Text Box 2"/>
        <xdr:cNvSpPr txBox="1">
          <a:spLocks noChangeArrowheads="1"/>
        </xdr:cNvSpPr>
      </xdr:nvSpPr>
      <xdr:spPr bwMode="auto">
        <a:xfrm>
          <a:off x="10972800" y="1127760"/>
          <a:ext cx="4892040" cy="38023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IMPACTS OF BATHYMETRIC CLOSURES: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Across the fishery, prior to closures, red snapper were landed at an average depth of 140 ft.  Bathymetric closures eliminate the majority of red snapper landings, but only change the average depth of fishing by +/- 10 ft, because a greater emphasis is given to deep water landings outside of the bathymetric closures.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Within the cells impacted by the bathymetric closure (e.g. the cells that would be closed by Alt 6), the average depth of fishing prior to any closure is 133 ft.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4A reduces this average depth of fishing within the Alt 6 cells to 85 ft (26 m) - a meta-analysis by Diamond suggests a release mortality rate around 40% at this depth (e.g., no change).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4B reduces this average depth of fishing within the Alt 6 cells to 98 ft (30 m) - a meta-analysis by Diamond suggests a release mortality rate around 40% at this depth (e.g., no change).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4C reduces this average depth of fishing within the Alt 6 cells to 61 ft (19 m) - a meta-analysis by Diamond suggests a release mortality rate around 20% at this depth (e.g., a substantial reduction).</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8</xdr:col>
      <xdr:colOff>525780</xdr:colOff>
      <xdr:row>30</xdr:row>
      <xdr:rowOff>30480</xdr:rowOff>
    </xdr:from>
    <xdr:to>
      <xdr:col>26</xdr:col>
      <xdr:colOff>53340</xdr:colOff>
      <xdr:row>39</xdr:row>
      <xdr:rowOff>53340</xdr:rowOff>
    </xdr:to>
    <xdr:sp macro="" textlink="">
      <xdr:nvSpPr>
        <xdr:cNvPr id="9219" name="Text Box 3"/>
        <xdr:cNvSpPr txBox="1">
          <a:spLocks noChangeArrowheads="1"/>
        </xdr:cNvSpPr>
      </xdr:nvSpPr>
      <xdr:spPr bwMode="auto">
        <a:xfrm>
          <a:off x="5402580" y="5059680"/>
          <a:ext cx="10500360" cy="153162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DIAMOND ET AL. METAANALYSIS (unpublished data):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Delayed mortality estimates (cage studies) from Burns et al. (2002) in the Eastern Gulf and Diamond and Campbell (2009) in the Western Gulf are now available for use in updating the release mortality estimates for the recreational fisheries.  The following logistic equation for delayed mortality is derived from these cage studies, as well as Gitschlag and Renaud (1994).  </a:t>
          </a:r>
        </a:p>
        <a:p>
          <a:pPr algn="l" rtl="0">
            <a:defRPr sz="1000"/>
          </a:pPr>
          <a:r>
            <a:rPr lang="en-US" sz="1000" b="0" i="0" u="none" strike="noStrike" baseline="0">
              <a:solidFill>
                <a:srgbClr val="000000"/>
              </a:solidFill>
              <a:latin typeface="Arial"/>
              <a:cs typeface="Arial"/>
            </a:rPr>
            <a:t>Average depths of recreational fishing effort are estimated from tagging studies in Florida and Texas.  Average depth is estimated as 30 m in the Eastern Gulf (Burns, unpublished data) based on over 7,000 records of fishing effort and 40 m in the Western Gulf (Diamond, unpublished data), based on over 7,000 records of fishing effort. </a:t>
          </a:r>
        </a:p>
        <a:p>
          <a:pPr algn="l" rtl="0">
            <a:defRPr sz="1000"/>
          </a:pPr>
          <a:r>
            <a:rPr lang="en-US" sz="1000" b="0" i="0" u="none" strike="noStrike" baseline="0">
              <a:solidFill>
                <a:srgbClr val="000000"/>
              </a:solidFill>
              <a:latin typeface="Arial"/>
              <a:cs typeface="Arial"/>
            </a:rPr>
            <a:t>Combined survival estimates from the literature by depth for surface observation studies for immediate (float or swim) survival, and for cage studies from the literature with for estimates of delayed survival.  Fit a sigmoidal curve (survival = a / (1 + e -(x-x0)/b ) to the estimates of delayed survival as follows:  a  = 119.703, b = -15.2452, and x0 = 32.0323.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160020</xdr:colOff>
      <xdr:row>43</xdr:row>
      <xdr:rowOff>137160</xdr:rowOff>
    </xdr:from>
    <xdr:to>
      <xdr:col>8</xdr:col>
      <xdr:colOff>426720</xdr:colOff>
      <xdr:row>53</xdr:row>
      <xdr:rowOff>68580</xdr:rowOff>
    </xdr:to>
    <xdr:sp macro="" textlink="">
      <xdr:nvSpPr>
        <xdr:cNvPr id="9221" name="Text Box 5"/>
        <xdr:cNvSpPr txBox="1">
          <a:spLocks noChangeArrowheads="1"/>
        </xdr:cNvSpPr>
      </xdr:nvSpPr>
      <xdr:spPr bwMode="auto">
        <a:xfrm>
          <a:off x="160020" y="7345680"/>
          <a:ext cx="5143500" cy="160782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Figure 1:</a:t>
          </a:r>
          <a:r>
            <a:rPr lang="en-US" sz="1000" b="0" i="0" u="none" strike="noStrike" baseline="0">
              <a:solidFill>
                <a:srgbClr val="000000"/>
              </a:solidFill>
              <a:latin typeface="Arial"/>
              <a:cs typeface="Arial"/>
            </a:rPr>
            <a:t>  Immediate (open and gray symbols) and delayed (black symbols) survival by depth from literature studies.  Immediate mortality estimates are taken from: Dorf  (2003, open circles), Gitschlag and Renaud (1994, gray squares), Diamond and Campbell (2009, open crossed squares), Parker (1991, open triangles), Patterson et al. (2002, grey triangles), and Render and Wilson (1994, grey diamonds).  Delayed mortality estimates are taken from:  Gitschlag and Renaud (1994, black triangles), Diamond and Campbell (2009, black squares), and Burns et al. (2002, black circles).  Points are fit to a sigmoidal curve.  Immediate mortality is the flatter of the two lines. [from Diamond et al.  metaanalysis; unpublished data].</a:t>
          </a:r>
        </a:p>
      </xdr:txBody>
    </xdr:sp>
    <xdr:clientData/>
  </xdr:twoCellAnchor>
  <xdr:twoCellAnchor>
    <xdr:from>
      <xdr:col>8</xdr:col>
      <xdr:colOff>541020</xdr:colOff>
      <xdr:row>40</xdr:row>
      <xdr:rowOff>7620</xdr:rowOff>
    </xdr:from>
    <xdr:to>
      <xdr:col>16</xdr:col>
      <xdr:colOff>121920</xdr:colOff>
      <xdr:row>47</xdr:row>
      <xdr:rowOff>0</xdr:rowOff>
    </xdr:to>
    <xdr:sp macro="" textlink="">
      <xdr:nvSpPr>
        <xdr:cNvPr id="9222" name="Text Box 6"/>
        <xdr:cNvSpPr txBox="1">
          <a:spLocks noChangeArrowheads="1"/>
        </xdr:cNvSpPr>
      </xdr:nvSpPr>
      <xdr:spPr bwMode="auto">
        <a:xfrm>
          <a:off x="5417820" y="6713220"/>
          <a:ext cx="4457700" cy="116586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Notes: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logistic curve (left) is based upon a study using exclusively circle hooks from a chartered recreational vessel in the Gulf of Mexico.  Most fish were &lt;16 inches TL, which may be smaller than the average size of a discarded fish in SAFMC waters, given that the size limit in SAFMC waters is 20 inches TL.</a:t>
          </a:r>
        </a:p>
      </xdr:txBody>
    </xdr:sp>
    <xdr:clientData/>
  </xdr:twoCellAnchor>
  <xdr:twoCellAnchor>
    <xdr:from>
      <xdr:col>0</xdr:col>
      <xdr:colOff>198120</xdr:colOff>
      <xdr:row>6</xdr:row>
      <xdr:rowOff>106680</xdr:rowOff>
    </xdr:from>
    <xdr:to>
      <xdr:col>8</xdr:col>
      <xdr:colOff>441960</xdr:colOff>
      <xdr:row>19</xdr:row>
      <xdr:rowOff>129540</xdr:rowOff>
    </xdr:to>
    <xdr:sp macro="" textlink="">
      <xdr:nvSpPr>
        <xdr:cNvPr id="9223" name="Text Box 7"/>
        <xdr:cNvSpPr txBox="1">
          <a:spLocks noChangeArrowheads="1"/>
        </xdr:cNvSpPr>
      </xdr:nvSpPr>
      <xdr:spPr bwMode="auto">
        <a:xfrm>
          <a:off x="198120" y="1112520"/>
          <a:ext cx="5120640" cy="22021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SEDAR 15: COMMERCIAL RELEASE MORTALITY = 90%</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Higher release mortality was attributed to the commercial fishery in the Gulf of Mexico</a:t>
          </a:r>
        </a:p>
        <a:p>
          <a:pPr algn="l" rtl="0">
            <a:defRPr sz="1000"/>
          </a:pPr>
          <a:r>
            <a:rPr lang="en-US" sz="1000" b="0" i="0" u="none" strike="noStrike" baseline="0">
              <a:solidFill>
                <a:srgbClr val="000000"/>
              </a:solidFill>
              <a:latin typeface="Arial"/>
              <a:cs typeface="Arial"/>
            </a:rPr>
            <a:t>than to the recreational fishery due to different handling times and depths fished.</a:t>
          </a:r>
        </a:p>
        <a:p>
          <a:pPr algn="l" rtl="0">
            <a:defRPr sz="1000"/>
          </a:pPr>
          <a:r>
            <a:rPr lang="en-US" sz="1000" b="0" i="0" u="none" strike="noStrike" baseline="0">
              <a:solidFill>
                <a:srgbClr val="000000"/>
              </a:solidFill>
              <a:latin typeface="Arial"/>
              <a:cs typeface="Arial"/>
            </a:rPr>
            <a:t>Commercial fishermen have been observed to hold fish on deck until fishing at a site has</a:t>
          </a:r>
        </a:p>
        <a:p>
          <a:pPr algn="l" rtl="0">
            <a:defRPr sz="1000"/>
          </a:pPr>
          <a:r>
            <a:rPr lang="en-US" sz="1000" b="0" i="0" u="none" strike="noStrike" baseline="0">
              <a:solidFill>
                <a:srgbClr val="000000"/>
              </a:solidFill>
              <a:latin typeface="Arial"/>
              <a:cs typeface="Arial"/>
            </a:rPr>
            <a:t>ceased. After fishing activity has slackened, fishermen measure and release undersized</a:t>
          </a:r>
        </a:p>
        <a:p>
          <a:pPr algn="l" rtl="0">
            <a:defRPr sz="1000"/>
          </a:pPr>
          <a:r>
            <a:rPr lang="en-US" sz="1000" b="0" i="0" u="none" strike="noStrike" baseline="0">
              <a:solidFill>
                <a:srgbClr val="000000"/>
              </a:solidFill>
              <a:latin typeface="Arial"/>
              <a:cs typeface="Arial"/>
            </a:rPr>
            <a:t>fish. The prevalence of this practice in the commercial fishery is unknown, but higher</a:t>
          </a:r>
        </a:p>
        <a:p>
          <a:pPr algn="l" rtl="0">
            <a:defRPr sz="1000"/>
          </a:pPr>
          <a:r>
            <a:rPr lang="en-US" sz="1000" b="0" i="0" u="none" strike="noStrike" baseline="0">
              <a:solidFill>
                <a:srgbClr val="000000"/>
              </a:solidFill>
              <a:latin typeface="Arial"/>
              <a:cs typeface="Arial"/>
            </a:rPr>
            <a:t>mortality due to handling time (Koenig 2001 as cited in SEDAR7-RW) and the effect of</a:t>
          </a:r>
        </a:p>
        <a:p>
          <a:pPr algn="l" rtl="0">
            <a:defRPr sz="1000"/>
          </a:pPr>
          <a:r>
            <a:rPr lang="en-US" sz="1000" b="0" i="0" u="none" strike="noStrike" baseline="0">
              <a:solidFill>
                <a:srgbClr val="000000"/>
              </a:solidFill>
              <a:latin typeface="Arial"/>
              <a:cs typeface="Arial"/>
            </a:rPr>
            <a:t>hooking noted above may explain the </a:t>
          </a:r>
          <a:r>
            <a:rPr lang="en-US" sz="1000" b="1" i="0" u="none" strike="noStrike" baseline="0">
              <a:solidFill>
                <a:srgbClr val="000000"/>
              </a:solidFill>
              <a:latin typeface="Arial"/>
              <a:cs typeface="Arial"/>
            </a:rPr>
            <a:t>high mortality (94% of 31 red snapper released) observed in a study of the discards of one commercial fisherman from the Atlantic coast </a:t>
          </a:r>
          <a:r>
            <a:rPr lang="en-US" sz="1000" b="0" i="0" u="none" strike="noStrike" baseline="0">
              <a:solidFill>
                <a:srgbClr val="000000"/>
              </a:solidFill>
              <a:latin typeface="Arial"/>
              <a:cs typeface="Arial"/>
            </a:rPr>
            <a:t>(SEDAR15-RD07).</a:t>
          </a:r>
        </a:p>
      </xdr:txBody>
    </xdr:sp>
    <xdr:clientData/>
  </xdr:twoCellAnchor>
  <xdr:twoCellAnchor>
    <xdr:from>
      <xdr:col>8</xdr:col>
      <xdr:colOff>525780</xdr:colOff>
      <xdr:row>6</xdr:row>
      <xdr:rowOff>121920</xdr:rowOff>
    </xdr:from>
    <xdr:to>
      <xdr:col>17</xdr:col>
      <xdr:colOff>472440</xdr:colOff>
      <xdr:row>29</xdr:row>
      <xdr:rowOff>76200</xdr:rowOff>
    </xdr:to>
    <xdr:sp macro="" textlink="">
      <xdr:nvSpPr>
        <xdr:cNvPr id="9224" name="Text Box 8"/>
        <xdr:cNvSpPr txBox="1">
          <a:spLocks noChangeArrowheads="1"/>
        </xdr:cNvSpPr>
      </xdr:nvSpPr>
      <xdr:spPr bwMode="auto">
        <a:xfrm>
          <a:off x="5402580" y="1127760"/>
          <a:ext cx="5433060" cy="38100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RECREATIONAL ESTIMATE: 40%</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study by Burns et al. (2004) conducted on headboats off Florida in the Atlantic and</a:t>
          </a:r>
        </a:p>
        <a:p>
          <a:pPr algn="l" rtl="0">
            <a:defRPr sz="1000"/>
          </a:pPr>
          <a:r>
            <a:rPr lang="en-US" sz="1000" b="0" i="0" u="none" strike="noStrike" baseline="0">
              <a:solidFill>
                <a:srgbClr val="000000"/>
              </a:solidFill>
              <a:latin typeface="Arial"/>
              <a:cs typeface="Arial"/>
            </a:rPr>
            <a:t>Gulf of Mexico found a release mortality of 64 % for red snapper. The majority of acute</a:t>
          </a:r>
        </a:p>
        <a:p>
          <a:pPr algn="l" rtl="0">
            <a:defRPr sz="1000"/>
          </a:pPr>
          <a:r>
            <a:rPr lang="en-US" sz="1000" b="0" i="0" u="none" strike="noStrike" baseline="0">
              <a:solidFill>
                <a:srgbClr val="000000"/>
              </a:solidFill>
              <a:latin typeface="Arial"/>
              <a:cs typeface="Arial"/>
            </a:rPr>
            <a:t>mortalities in this study (capture depth of 9–42 m) were attributed to hooking (49%),</a:t>
          </a:r>
        </a:p>
        <a:p>
          <a:pPr algn="l" rtl="0">
            <a:defRPr sz="1000"/>
          </a:pPr>
          <a:r>
            <a:rPr lang="en-US" sz="1000" b="0" i="0" u="none" strike="noStrike" baseline="0">
              <a:solidFill>
                <a:srgbClr val="000000"/>
              </a:solidFill>
              <a:latin typeface="Arial"/>
              <a:cs typeface="Arial"/>
            </a:rPr>
            <a:t>whereas barotrauma accounted for 13.5%. An earlier study by Burns et al. (2002), also</a:t>
          </a:r>
        </a:p>
        <a:p>
          <a:pPr algn="l" rtl="0">
            <a:defRPr sz="1000"/>
          </a:pPr>
          <a:r>
            <a:rPr lang="en-US" sz="1000" b="0" i="0" u="none" strike="noStrike" baseline="0">
              <a:solidFill>
                <a:srgbClr val="000000"/>
              </a:solidFill>
              <a:latin typeface="Arial"/>
              <a:cs typeface="Arial"/>
            </a:rPr>
            <a:t>conducted in the Atlantic and Gulf of Mexico, had similar results, as J-hook mortality</a:t>
          </a:r>
        </a:p>
        <a:p>
          <a:pPr algn="l" rtl="0">
            <a:defRPr sz="1000"/>
          </a:pPr>
          <a:r>
            <a:rPr lang="en-US" sz="1000" b="0" i="0" u="none" strike="noStrike" baseline="0">
              <a:solidFill>
                <a:srgbClr val="000000"/>
              </a:solidFill>
              <a:latin typeface="Arial"/>
              <a:cs typeface="Arial"/>
            </a:rPr>
            <a:t>accounted for 56% of the acute mortalities of red snapper on headboats. The effect of</a:t>
          </a:r>
        </a:p>
        <a:p>
          <a:pPr algn="l" rtl="0">
            <a:defRPr sz="1000"/>
          </a:pPr>
          <a:r>
            <a:rPr lang="en-US" sz="1000" b="0" i="0" u="none" strike="noStrike" baseline="0">
              <a:solidFill>
                <a:srgbClr val="000000"/>
              </a:solidFill>
              <a:latin typeface="Arial"/>
              <a:cs typeface="Arial"/>
            </a:rPr>
            <a:t>depth on discard mortality was analyzed using barometric chambers. Mortality due to</a:t>
          </a:r>
        </a:p>
        <a:p>
          <a:pPr algn="l" rtl="0">
            <a:defRPr sz="1000"/>
          </a:pPr>
          <a:r>
            <a:rPr lang="en-US" sz="1000" b="0" i="0" u="none" strike="noStrike" baseline="0">
              <a:solidFill>
                <a:srgbClr val="000000"/>
              </a:solidFill>
              <a:latin typeface="Arial"/>
              <a:cs typeface="Arial"/>
            </a:rPr>
            <a:t>barotrauma was not observed at depths of &lt;20, 25, and 30 m (Burns et al. 2004).</a:t>
          </a:r>
        </a:p>
        <a:p>
          <a:pPr algn="l" rtl="0">
            <a:defRPr sz="1000"/>
          </a:pPr>
          <a:r>
            <a:rPr lang="en-US" sz="1000" b="1" i="0" u="none" strike="noStrike" baseline="0">
              <a:solidFill>
                <a:srgbClr val="000000"/>
              </a:solidFill>
              <a:latin typeface="Arial"/>
              <a:cs typeface="Arial"/>
            </a:rPr>
            <a:t>Mortality increased to 40% at 45 m and 45% at 60 m. </a:t>
          </a:r>
          <a:r>
            <a:rPr lang="en-US" sz="1000" b="0" i="0" u="none" strike="noStrike" baseline="0">
              <a:solidFill>
                <a:srgbClr val="000000"/>
              </a:solidFill>
              <a:latin typeface="Arial"/>
              <a:cs typeface="Arial"/>
            </a:rPr>
            <a:t>These values were similar to those</a:t>
          </a:r>
        </a:p>
        <a:p>
          <a:pPr algn="l" rtl="0">
            <a:defRPr sz="1000"/>
          </a:pPr>
          <a:r>
            <a:rPr lang="en-US" sz="1000" b="0" i="0" u="none" strike="noStrike" baseline="0">
              <a:solidFill>
                <a:srgbClr val="000000"/>
              </a:solidFill>
              <a:latin typeface="Arial"/>
              <a:cs typeface="Arial"/>
            </a:rPr>
            <a:t>in other studies (Gitschlag and Renaud 1994; Koenig 2001). Patterson et al. (2001b) in</a:t>
          </a:r>
        </a:p>
        <a:p>
          <a:pPr algn="l" rtl="0">
            <a:defRPr sz="1000"/>
          </a:pPr>
          <a:r>
            <a:rPr lang="en-US" sz="1000" b="0" i="0" u="none" strike="noStrike" baseline="0">
              <a:solidFill>
                <a:srgbClr val="000000"/>
              </a:solidFill>
              <a:latin typeface="Arial"/>
              <a:cs typeface="Arial"/>
            </a:rPr>
            <a:t>the Gulf of Mexico estimated a discard mortality of 9% at 21 m, 14% at 27 m, and 18%</a:t>
          </a:r>
        </a:p>
        <a:p>
          <a:pPr algn="l" rtl="0">
            <a:defRPr sz="1000"/>
          </a:pPr>
          <a:r>
            <a:rPr lang="en-US" sz="1000" b="0" i="0" u="none" strike="noStrike" baseline="0">
              <a:solidFill>
                <a:srgbClr val="000000"/>
              </a:solidFill>
              <a:latin typeface="Arial"/>
              <a:cs typeface="Arial"/>
            </a:rPr>
            <a:t>at 32 m based on recaptures of tagged fish.</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Release mortality in the recreational fishery for red snapper</a:t>
          </a:r>
        </a:p>
        <a:p>
          <a:pPr algn="l" rtl="0">
            <a:defRPr sz="1000"/>
          </a:pPr>
          <a:r>
            <a:rPr lang="en-US" sz="1000" b="0" i="0" u="none" strike="noStrike" baseline="0">
              <a:solidFill>
                <a:srgbClr val="000000"/>
              </a:solidFill>
              <a:latin typeface="Arial"/>
              <a:cs typeface="Arial"/>
            </a:rPr>
            <a:t>is lower than that in the commercial fishery because the recreational fishery tends to fish</a:t>
          </a:r>
        </a:p>
        <a:p>
          <a:pPr algn="l" rtl="0">
            <a:defRPr sz="1000"/>
          </a:pPr>
          <a:r>
            <a:rPr lang="en-US" sz="1000" b="0" i="0" u="none" strike="noStrike" baseline="0">
              <a:solidFill>
                <a:srgbClr val="000000"/>
              </a:solidFill>
              <a:latin typeface="Arial"/>
              <a:cs typeface="Arial"/>
            </a:rPr>
            <a:t>in shallower waters. Actual locations of capture are not recorded, only minimum and</a:t>
          </a:r>
        </a:p>
        <a:p>
          <a:pPr algn="l" rtl="0">
            <a:defRPr sz="1000"/>
          </a:pPr>
          <a:r>
            <a:rPr lang="en-US" sz="1000" b="0" i="0" u="none" strike="noStrike" baseline="0">
              <a:solidFill>
                <a:srgbClr val="000000"/>
              </a:solidFill>
              <a:latin typeface="Arial"/>
              <a:cs typeface="Arial"/>
            </a:rPr>
            <a:t>maximum depths for the fishing trip. </a:t>
          </a:r>
          <a:r>
            <a:rPr lang="en-US" sz="1000" b="1" i="0" u="none" strike="noStrike" baseline="0">
              <a:solidFill>
                <a:srgbClr val="000000"/>
              </a:solidFill>
              <a:latin typeface="Arial"/>
              <a:cs typeface="Arial"/>
            </a:rPr>
            <a:t>The mean minimum depth in the recreational</a:t>
          </a:r>
        </a:p>
        <a:p>
          <a:pPr algn="l" rtl="0">
            <a:defRPr sz="1000"/>
          </a:pPr>
          <a:r>
            <a:rPr lang="en-US" sz="1000" b="1" i="0" u="none" strike="noStrike" baseline="0">
              <a:solidFill>
                <a:srgbClr val="000000"/>
              </a:solidFill>
              <a:latin typeface="Arial"/>
              <a:cs typeface="Arial"/>
            </a:rPr>
            <a:t>(charter boat) fishery was 43 m (range 20 to 183 m). The mean maximum depth was 58</a:t>
          </a:r>
        </a:p>
        <a:p>
          <a:pPr algn="l" rtl="0">
            <a:defRPr sz="1000"/>
          </a:pPr>
          <a:r>
            <a:rPr lang="en-US" sz="1000" b="1" i="0" u="none" strike="noStrike" baseline="0">
              <a:solidFill>
                <a:srgbClr val="000000"/>
              </a:solidFill>
              <a:latin typeface="Arial"/>
              <a:cs typeface="Arial"/>
            </a:rPr>
            <a:t>m (24 to 274 m).</a:t>
          </a:r>
        </a:p>
      </xdr:txBody>
    </xdr:sp>
    <xdr:clientData/>
  </xdr:twoCellAnchor>
  <xdr:twoCellAnchor>
    <xdr:from>
      <xdr:col>0</xdr:col>
      <xdr:colOff>198120</xdr:colOff>
      <xdr:row>167</xdr:row>
      <xdr:rowOff>121920</xdr:rowOff>
    </xdr:from>
    <xdr:to>
      <xdr:col>12</xdr:col>
      <xdr:colOff>198120</xdr:colOff>
      <xdr:row>195</xdr:row>
      <xdr:rowOff>137160</xdr:rowOff>
    </xdr:to>
    <xdr:sp macro="" textlink="">
      <xdr:nvSpPr>
        <xdr:cNvPr id="9230" name="Text Box 14"/>
        <xdr:cNvSpPr txBox="1">
          <a:spLocks noChangeArrowheads="1"/>
        </xdr:cNvSpPr>
      </xdr:nvSpPr>
      <xdr:spPr bwMode="auto">
        <a:xfrm>
          <a:off x="198120" y="28117800"/>
          <a:ext cx="7315200" cy="470916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6.3 SEDAR 7 - References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Burns, K.M, C.C. Koenig, and F.C. Coleman. 2002. Evaluation of multiple factors involved in release mortality of undersized red</a:t>
          </a:r>
        </a:p>
        <a:p>
          <a:pPr algn="l" rtl="0">
            <a:defRPr sz="1000"/>
          </a:pPr>
          <a:r>
            <a:rPr lang="en-US" sz="1000" b="0" i="0" u="none" strike="noStrike" baseline="0">
              <a:solidFill>
                <a:srgbClr val="000000"/>
              </a:solidFill>
              <a:latin typeface="Arial"/>
              <a:cs typeface="Arial"/>
            </a:rPr>
            <a:t>grouper, gag, red snapper, and vermilion snapper. Mote Marine Laboratory Technical Report No. 814. (MARFIN grant</a:t>
          </a:r>
        </a:p>
        <a:p>
          <a:pPr algn="l" rtl="0">
            <a:defRPr sz="1000"/>
          </a:pPr>
          <a:r>
            <a:rPr lang="en-US" sz="1000" b="0" i="0" u="none" strike="noStrike" baseline="0">
              <a:solidFill>
                <a:srgbClr val="000000"/>
              </a:solidFill>
              <a:latin typeface="Arial"/>
              <a:cs typeface="Arial"/>
            </a:rPr>
            <a:t>#NA87FF0421)</a:t>
          </a:r>
        </a:p>
        <a:p>
          <a:pPr algn="l" rtl="0">
            <a:defRPr sz="1000"/>
          </a:pPr>
          <a:r>
            <a:rPr lang="en-US" sz="1000" b="0" i="0" u="none" strike="noStrike" baseline="0">
              <a:solidFill>
                <a:srgbClr val="000000"/>
              </a:solidFill>
              <a:latin typeface="Arial"/>
              <a:cs typeface="Arial"/>
            </a:rPr>
            <a:t>Burns, K.M., R.R. Wilson, Jr., and N.F. Parnell. 2004. Partitioning release mortality in the undersized red snapper bycatch:</a:t>
          </a:r>
        </a:p>
        <a:p>
          <a:pPr algn="l" rtl="0">
            <a:defRPr sz="1000"/>
          </a:pPr>
          <a:r>
            <a:rPr lang="en-US" sz="1000" b="0" i="0" u="none" strike="noStrike" baseline="0">
              <a:solidFill>
                <a:srgbClr val="000000"/>
              </a:solidFill>
              <a:latin typeface="Arial"/>
              <a:cs typeface="Arial"/>
            </a:rPr>
            <a:t>comparison of depth vs. hooking effects. Mote Marine Laboratory Technical Report No. 932 (MARFIN grant</a:t>
          </a:r>
        </a:p>
        <a:p>
          <a:pPr algn="l" rtl="0">
            <a:defRPr sz="1000"/>
          </a:pPr>
          <a:r>
            <a:rPr lang="en-US" sz="1000" b="0" i="0" u="none" strike="noStrike" baseline="0">
              <a:solidFill>
                <a:srgbClr val="000000"/>
              </a:solidFill>
              <a:latin typeface="Arial"/>
              <a:cs typeface="Arial"/>
            </a:rPr>
            <a:t>#NA97FF0349) SEDAR 7 Gulf of Mexico Red Snapper Data Workshop Report 72</a:t>
          </a:r>
        </a:p>
        <a:p>
          <a:pPr algn="l" rtl="0">
            <a:defRPr sz="1000"/>
          </a:pPr>
          <a:r>
            <a:rPr lang="en-US" sz="1000" b="0" i="0" u="none" strike="noStrike" baseline="0">
              <a:solidFill>
                <a:srgbClr val="000000"/>
              </a:solidFill>
              <a:latin typeface="Arial"/>
              <a:cs typeface="Arial"/>
            </a:rPr>
            <a:t>Burns, K.M. and V. Restrepo. 1999. Critical evaluation of fish abdomen deflation as a means of enhancing survival of undersized</a:t>
          </a:r>
        </a:p>
        <a:p>
          <a:pPr algn="l" rtl="0">
            <a:defRPr sz="1000"/>
          </a:pPr>
          <a:r>
            <a:rPr lang="en-US" sz="1000" b="0" i="0" u="none" strike="noStrike" baseline="0">
              <a:solidFill>
                <a:srgbClr val="000000"/>
              </a:solidFill>
              <a:latin typeface="Arial"/>
              <a:cs typeface="Arial"/>
            </a:rPr>
            <a:t>catch in the reef fish fishery. Mote Marine Laboratory Technical Report No. 605. (Sea Grant Award No. NA76RG-</a:t>
          </a:r>
        </a:p>
        <a:p>
          <a:pPr algn="l" rtl="0">
            <a:defRPr sz="1000"/>
          </a:pPr>
          <a:r>
            <a:rPr lang="en-US" sz="1000" b="0" i="0" u="none" strike="noStrike" baseline="0">
              <a:solidFill>
                <a:srgbClr val="000000"/>
              </a:solidFill>
              <a:latin typeface="Arial"/>
              <a:cs typeface="Arial"/>
            </a:rPr>
            <a:t>0120)</a:t>
          </a:r>
        </a:p>
        <a:p>
          <a:pPr algn="l" rtl="0">
            <a:defRPr sz="1000"/>
          </a:pPr>
          <a:r>
            <a:rPr lang="en-US" sz="1000" b="0" i="0" u="none" strike="noStrike" baseline="0">
              <a:solidFill>
                <a:srgbClr val="000000"/>
              </a:solidFill>
              <a:latin typeface="Arial"/>
              <a:cs typeface="Arial"/>
            </a:rPr>
            <a:t>Diamond, S., M. Campbell, and Q. Dokken. 2004. Estimating discard rate and release mortality of red snapper in Texas fisheries.</a:t>
          </a:r>
        </a:p>
        <a:p>
          <a:pPr algn="l" rtl="0">
            <a:defRPr sz="1000"/>
          </a:pPr>
          <a:r>
            <a:rPr lang="en-US" sz="1000" b="0" i="0" u="none" strike="noStrike" baseline="0">
              <a:solidFill>
                <a:srgbClr val="000000"/>
              </a:solidFill>
              <a:latin typeface="Arial"/>
              <a:cs typeface="Arial"/>
            </a:rPr>
            <a:t>(MARFIN grant # NA17FF2012). Semi-annual report for the period August 1, 2002-January 31, 2003 and for the period</a:t>
          </a:r>
        </a:p>
        <a:p>
          <a:pPr algn="l" rtl="0">
            <a:defRPr sz="1000"/>
          </a:pPr>
          <a:r>
            <a:rPr lang="en-US" sz="1000" b="0" i="0" u="none" strike="noStrike" baseline="0">
              <a:solidFill>
                <a:srgbClr val="000000"/>
              </a:solidFill>
              <a:latin typeface="Arial"/>
              <a:cs typeface="Arial"/>
            </a:rPr>
            <a:t>September 1, 2003 – February 1, 2004.</a:t>
          </a:r>
        </a:p>
        <a:p>
          <a:pPr algn="l" rtl="0">
            <a:defRPr sz="1000"/>
          </a:pPr>
          <a:r>
            <a:rPr lang="en-US" sz="1000" b="0" i="0" u="none" strike="noStrike" baseline="0">
              <a:solidFill>
                <a:srgbClr val="000000"/>
              </a:solidFill>
              <a:latin typeface="Arial"/>
              <a:cs typeface="Arial"/>
            </a:rPr>
            <a:t>Dorf, B.A., 2003. Red snapper discards in Texas coastal waters - a fishery dependent onboard survey of recreational headboat</a:t>
          </a:r>
        </a:p>
        <a:p>
          <a:pPr algn="l" rtl="0">
            <a:defRPr sz="1000"/>
          </a:pPr>
          <a:r>
            <a:rPr lang="en-US" sz="1000" b="0" i="0" u="none" strike="noStrike" baseline="0">
              <a:solidFill>
                <a:srgbClr val="000000"/>
              </a:solidFill>
              <a:latin typeface="Arial"/>
              <a:cs typeface="Arial"/>
            </a:rPr>
            <a:t>discards and landings. American Fisheries Society Symposium 36, 155-166.</a:t>
          </a:r>
        </a:p>
        <a:p>
          <a:pPr algn="l" rtl="0">
            <a:defRPr sz="1000"/>
          </a:pPr>
          <a:r>
            <a:rPr lang="en-US" sz="1000" b="0" i="0" u="none" strike="noStrike" baseline="0">
              <a:solidFill>
                <a:srgbClr val="000000"/>
              </a:solidFill>
              <a:latin typeface="Arial"/>
              <a:cs typeface="Arial"/>
            </a:rPr>
            <a:t>Gitschlag, G.R., and M.L. Renaud. 1994. Field experiments on survival rates of caged and released red snapper. N. Amer. J.</a:t>
          </a:r>
        </a:p>
        <a:p>
          <a:pPr algn="l" rtl="0">
            <a:defRPr sz="1000"/>
          </a:pPr>
          <a:r>
            <a:rPr lang="en-US" sz="1000" b="0" i="0" u="none" strike="noStrike" baseline="0">
              <a:solidFill>
                <a:srgbClr val="000000"/>
              </a:solidFill>
              <a:latin typeface="Arial"/>
              <a:cs typeface="Arial"/>
            </a:rPr>
            <a:t>Fish. Mgmt. 14:131-136.</a:t>
          </a:r>
        </a:p>
        <a:p>
          <a:pPr algn="l" rtl="0">
            <a:defRPr sz="1000"/>
          </a:pPr>
          <a:r>
            <a:rPr lang="en-US" sz="1000" b="0" i="0" u="none" strike="noStrike" baseline="0">
              <a:solidFill>
                <a:srgbClr val="000000"/>
              </a:solidFill>
              <a:latin typeface="Arial"/>
              <a:cs typeface="Arial"/>
            </a:rPr>
            <a:t>Parker, R.O. 1985. Survival of released red snapper. Progress report to South Atlantic and Gulf of Mexico Fisheries Management Councils, Charleston, South Carolina, and Tampa, Florida.</a:t>
          </a:r>
        </a:p>
        <a:p>
          <a:pPr algn="l" rtl="0">
            <a:defRPr sz="1000"/>
          </a:pPr>
          <a:r>
            <a:rPr lang="en-US" sz="1000" b="0" i="0" u="none" strike="noStrike" baseline="0">
              <a:solidFill>
                <a:srgbClr val="000000"/>
              </a:solidFill>
              <a:latin typeface="Arial"/>
              <a:cs typeface="Arial"/>
            </a:rPr>
            <a:t>Parker, R.O. 1991. Survival of released fish—A summary of available data. Progress report to South Atlantic and Gulf of</a:t>
          </a:r>
        </a:p>
        <a:p>
          <a:pPr algn="l" rtl="0">
            <a:defRPr sz="1000"/>
          </a:pPr>
          <a:r>
            <a:rPr lang="en-US" sz="1000" b="0" i="0" u="none" strike="noStrike" baseline="0">
              <a:solidFill>
                <a:srgbClr val="000000"/>
              </a:solidFill>
              <a:latin typeface="Arial"/>
              <a:cs typeface="Arial"/>
            </a:rPr>
            <a:t>Mexico Fisheries Management Councils, Charleston, South Carolina, and Tampa, Florida</a:t>
          </a:r>
        </a:p>
        <a:p>
          <a:pPr algn="l" rtl="0">
            <a:defRPr sz="1000"/>
          </a:pPr>
          <a:r>
            <a:rPr lang="en-US" sz="1000" b="0" i="0" u="none" strike="noStrike" baseline="0">
              <a:solidFill>
                <a:srgbClr val="000000"/>
              </a:solidFill>
              <a:latin typeface="Arial"/>
              <a:cs typeface="Arial"/>
            </a:rPr>
            <a:t>Patterson, W. F. III, J.C. Watterson, R.L. Shipp, and J.H. Cowan, Jr. 2001. Movement of tagged red snapper in the northern Gulf</a:t>
          </a:r>
        </a:p>
        <a:p>
          <a:pPr algn="l" rtl="0">
            <a:defRPr sz="1000"/>
          </a:pPr>
          <a:r>
            <a:rPr lang="en-US" sz="1000" b="0" i="0" u="none" strike="noStrike" baseline="0">
              <a:solidFill>
                <a:srgbClr val="000000"/>
              </a:solidFill>
              <a:latin typeface="Arial"/>
              <a:cs typeface="Arial"/>
            </a:rPr>
            <a:t>of Mexico. Transactions of the American Fisheries Society 130:533-545.</a:t>
          </a:r>
        </a:p>
        <a:p>
          <a:pPr algn="l" rtl="0">
            <a:defRPr sz="1000"/>
          </a:pPr>
          <a:r>
            <a:rPr lang="en-US" sz="1000" b="0" i="0" u="none" strike="noStrike" baseline="0">
              <a:solidFill>
                <a:srgbClr val="000000"/>
              </a:solidFill>
              <a:latin typeface="Arial"/>
              <a:cs typeface="Arial"/>
            </a:rPr>
            <a:t>Render, J.H. and C.A. Wilson. 1994. Hook-and-line mortality of caught and released red snapper around oil and gas platform</a:t>
          </a:r>
        </a:p>
        <a:p>
          <a:pPr algn="l" rtl="0">
            <a:defRPr sz="1000"/>
          </a:pPr>
          <a:r>
            <a:rPr lang="en-US" sz="1000" b="0" i="0" u="none" strike="noStrike" baseline="0">
              <a:solidFill>
                <a:srgbClr val="000000"/>
              </a:solidFill>
              <a:latin typeface="Arial"/>
              <a:cs typeface="Arial"/>
            </a:rPr>
            <a:t>structural habitat. Bulletin of Marine Science 55:1106-1111.</a:t>
          </a:r>
        </a:p>
        <a:p>
          <a:pPr algn="l" rtl="0">
            <a:defRPr sz="1000"/>
          </a:pPr>
          <a:r>
            <a:rPr lang="en-US" sz="1000" b="0" i="0" u="none" strike="noStrike" baseline="0">
              <a:solidFill>
                <a:srgbClr val="000000"/>
              </a:solidFill>
              <a:latin typeface="Arial"/>
              <a:cs typeface="Arial"/>
            </a:rPr>
            <a:t>Wilson, C.A. and D.L. Nieland. 2004. Red snapper Lutjanus campechanus in the northern Gulf of Mexico: Age and size</a:t>
          </a:r>
        </a:p>
        <a:p>
          <a:pPr algn="l" rtl="0">
            <a:defRPr sz="1000"/>
          </a:pPr>
          <a:r>
            <a:rPr lang="en-US" sz="1000" b="0" i="0" u="none" strike="noStrike" baseline="0">
              <a:solidFill>
                <a:srgbClr val="000000"/>
              </a:solidFill>
              <a:latin typeface="Arial"/>
              <a:cs typeface="Arial"/>
            </a:rPr>
            <a:t>composition of the commercial harvest and mortality of regulatory discards. (MARFIN grant # NA17FF2007)</a:t>
          </a:r>
        </a:p>
      </xdr:txBody>
    </xdr:sp>
    <xdr:clientData/>
  </xdr:twoCellAnchor>
  <xdr:twoCellAnchor editAs="oneCell">
    <xdr:from>
      <xdr:col>0</xdr:col>
      <xdr:colOff>198120</xdr:colOff>
      <xdr:row>54</xdr:row>
      <xdr:rowOff>0</xdr:rowOff>
    </xdr:from>
    <xdr:to>
      <xdr:col>10</xdr:col>
      <xdr:colOff>525780</xdr:colOff>
      <xdr:row>116</xdr:row>
      <xdr:rowOff>7620</xdr:rowOff>
    </xdr:to>
    <xdr:pic>
      <xdr:nvPicPr>
        <xdr:cNvPr id="926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98120" y="9052560"/>
          <a:ext cx="6423660" cy="10401300"/>
        </a:xfrm>
        <a:prstGeom prst="rect">
          <a:avLst/>
        </a:prstGeom>
        <a:noFill/>
        <a:ln w="9525">
          <a:noFill/>
          <a:miter lim="800000"/>
          <a:headEnd/>
          <a:tailEnd/>
        </a:ln>
      </xdr:spPr>
    </xdr:pic>
    <xdr:clientData/>
  </xdr:twoCellAnchor>
  <xdr:twoCellAnchor editAs="oneCell">
    <xdr:from>
      <xdr:col>11</xdr:col>
      <xdr:colOff>0</xdr:colOff>
      <xdr:row>54</xdr:row>
      <xdr:rowOff>0</xdr:rowOff>
    </xdr:from>
    <xdr:to>
      <xdr:col>21</xdr:col>
      <xdr:colOff>403860</xdr:colOff>
      <xdr:row>116</xdr:row>
      <xdr:rowOff>0</xdr:rowOff>
    </xdr:to>
    <xdr:pic>
      <xdr:nvPicPr>
        <xdr:cNvPr id="9263" name="Picture 16"/>
        <xdr:cNvPicPr>
          <a:picLocks noChangeAspect="1" noChangeArrowheads="1"/>
        </xdr:cNvPicPr>
      </xdr:nvPicPr>
      <xdr:blipFill>
        <a:blip xmlns:r="http://schemas.openxmlformats.org/officeDocument/2006/relationships" r:embed="rId2" cstate="print"/>
        <a:srcRect/>
        <a:stretch>
          <a:fillRect/>
        </a:stretch>
      </xdr:blipFill>
      <xdr:spPr bwMode="auto">
        <a:xfrm>
          <a:off x="6705600" y="9052560"/>
          <a:ext cx="6499860" cy="10393680"/>
        </a:xfrm>
        <a:prstGeom prst="rect">
          <a:avLst/>
        </a:prstGeom>
        <a:noFill/>
        <a:ln w="9525">
          <a:noFill/>
          <a:miter lim="800000"/>
          <a:headEnd/>
          <a:tailEnd/>
        </a:ln>
      </xdr:spPr>
    </xdr:pic>
    <xdr:clientData/>
  </xdr:twoCellAnchor>
  <xdr:twoCellAnchor editAs="oneCell">
    <xdr:from>
      <xdr:col>0</xdr:col>
      <xdr:colOff>160020</xdr:colOff>
      <xdr:row>117</xdr:row>
      <xdr:rowOff>76200</xdr:rowOff>
    </xdr:from>
    <xdr:to>
      <xdr:col>10</xdr:col>
      <xdr:colOff>403860</xdr:colOff>
      <xdr:row>166</xdr:row>
      <xdr:rowOff>144780</xdr:rowOff>
    </xdr:to>
    <xdr:pic>
      <xdr:nvPicPr>
        <xdr:cNvPr id="9264" name="Picture 18"/>
        <xdr:cNvPicPr>
          <a:picLocks noChangeAspect="1" noChangeArrowheads="1"/>
        </xdr:cNvPicPr>
      </xdr:nvPicPr>
      <xdr:blipFill>
        <a:blip xmlns:r="http://schemas.openxmlformats.org/officeDocument/2006/relationships" r:embed="rId3" cstate="print"/>
        <a:srcRect/>
        <a:stretch>
          <a:fillRect/>
        </a:stretch>
      </xdr:blipFill>
      <xdr:spPr bwMode="auto">
        <a:xfrm>
          <a:off x="160020" y="19690080"/>
          <a:ext cx="6339840" cy="8282940"/>
        </a:xfrm>
        <a:prstGeom prst="rect">
          <a:avLst/>
        </a:prstGeom>
        <a:noFill/>
        <a:ln w="9525">
          <a:noFill/>
          <a:miter lim="800000"/>
          <a:headEnd/>
          <a:tailEnd/>
        </a:ln>
      </xdr:spPr>
    </xdr:pic>
    <xdr:clientData/>
  </xdr:twoCellAnchor>
  <xdr:twoCellAnchor editAs="oneCell">
    <xdr:from>
      <xdr:col>10</xdr:col>
      <xdr:colOff>487680</xdr:colOff>
      <xdr:row>117</xdr:row>
      <xdr:rowOff>76200</xdr:rowOff>
    </xdr:from>
    <xdr:to>
      <xdr:col>21</xdr:col>
      <xdr:colOff>45720</xdr:colOff>
      <xdr:row>166</xdr:row>
      <xdr:rowOff>144780</xdr:rowOff>
    </xdr:to>
    <xdr:pic>
      <xdr:nvPicPr>
        <xdr:cNvPr id="9265" name="Picture 19"/>
        <xdr:cNvPicPr>
          <a:picLocks noChangeAspect="1" noChangeArrowheads="1"/>
        </xdr:cNvPicPr>
      </xdr:nvPicPr>
      <xdr:blipFill>
        <a:blip xmlns:r="http://schemas.openxmlformats.org/officeDocument/2006/relationships" r:embed="rId4" cstate="print"/>
        <a:srcRect/>
        <a:stretch>
          <a:fillRect/>
        </a:stretch>
      </xdr:blipFill>
      <xdr:spPr bwMode="auto">
        <a:xfrm>
          <a:off x="6583680" y="19690080"/>
          <a:ext cx="6263640" cy="8282940"/>
        </a:xfrm>
        <a:prstGeom prst="rect">
          <a:avLst/>
        </a:prstGeom>
        <a:noFill/>
        <a:ln w="9525">
          <a:noFill/>
          <a:miter lim="800000"/>
          <a:headEnd/>
          <a:tailEnd/>
        </a:ln>
      </xdr:spPr>
    </xdr:pic>
    <xdr:clientData/>
  </xdr:twoCellAnchor>
  <xdr:twoCellAnchor editAs="oneCell">
    <xdr:from>
      <xdr:col>21</xdr:col>
      <xdr:colOff>106680</xdr:colOff>
      <xdr:row>117</xdr:row>
      <xdr:rowOff>76200</xdr:rowOff>
    </xdr:from>
    <xdr:to>
      <xdr:col>31</xdr:col>
      <xdr:colOff>274320</xdr:colOff>
      <xdr:row>166</xdr:row>
      <xdr:rowOff>144780</xdr:rowOff>
    </xdr:to>
    <xdr:pic>
      <xdr:nvPicPr>
        <xdr:cNvPr id="9266" name="Picture 20"/>
        <xdr:cNvPicPr>
          <a:picLocks noChangeAspect="1" noChangeArrowheads="1"/>
        </xdr:cNvPicPr>
      </xdr:nvPicPr>
      <xdr:blipFill>
        <a:blip xmlns:r="http://schemas.openxmlformats.org/officeDocument/2006/relationships" r:embed="rId5" cstate="print"/>
        <a:srcRect/>
        <a:stretch>
          <a:fillRect/>
        </a:stretch>
      </xdr:blipFill>
      <xdr:spPr bwMode="auto">
        <a:xfrm>
          <a:off x="12908280" y="19690080"/>
          <a:ext cx="6263640" cy="8282940"/>
        </a:xfrm>
        <a:prstGeom prst="rect">
          <a:avLst/>
        </a:prstGeom>
        <a:noFill/>
        <a:ln w="9525">
          <a:noFill/>
          <a:miter lim="800000"/>
          <a:headEnd/>
          <a:tailEnd/>
        </a:ln>
      </xdr:spPr>
    </xdr:pic>
    <xdr:clientData/>
  </xdr:twoCellAnchor>
  <xdr:twoCellAnchor editAs="oneCell">
    <xdr:from>
      <xdr:col>31</xdr:col>
      <xdr:colOff>350520</xdr:colOff>
      <xdr:row>117</xdr:row>
      <xdr:rowOff>76200</xdr:rowOff>
    </xdr:from>
    <xdr:to>
      <xdr:col>41</xdr:col>
      <xdr:colOff>457200</xdr:colOff>
      <xdr:row>166</xdr:row>
      <xdr:rowOff>152400</xdr:rowOff>
    </xdr:to>
    <xdr:pic>
      <xdr:nvPicPr>
        <xdr:cNvPr id="9267" name="Picture 21"/>
        <xdr:cNvPicPr>
          <a:picLocks noChangeAspect="1" noChangeArrowheads="1"/>
        </xdr:cNvPicPr>
      </xdr:nvPicPr>
      <xdr:blipFill>
        <a:blip xmlns:r="http://schemas.openxmlformats.org/officeDocument/2006/relationships" r:embed="rId6" cstate="print"/>
        <a:srcRect/>
        <a:stretch>
          <a:fillRect/>
        </a:stretch>
      </xdr:blipFill>
      <xdr:spPr bwMode="auto">
        <a:xfrm>
          <a:off x="19248120" y="19690080"/>
          <a:ext cx="6202680" cy="8290560"/>
        </a:xfrm>
        <a:prstGeom prst="rect">
          <a:avLst/>
        </a:prstGeom>
        <a:noFill/>
        <a:ln w="9525">
          <a:noFill/>
          <a:miter lim="800000"/>
          <a:headEnd/>
          <a:tailEnd/>
        </a:ln>
      </xdr:spPr>
    </xdr:pic>
    <xdr:clientData/>
  </xdr:twoCellAnchor>
  <xdr:twoCellAnchor editAs="oneCell">
    <xdr:from>
      <xdr:col>21</xdr:col>
      <xdr:colOff>533400</xdr:colOff>
      <xdr:row>96</xdr:row>
      <xdr:rowOff>121920</xdr:rowOff>
    </xdr:from>
    <xdr:to>
      <xdr:col>32</xdr:col>
      <xdr:colOff>259080</xdr:colOff>
      <xdr:row>115</xdr:row>
      <xdr:rowOff>137160</xdr:rowOff>
    </xdr:to>
    <xdr:pic>
      <xdr:nvPicPr>
        <xdr:cNvPr id="9268" name="Picture 22"/>
        <xdr:cNvPicPr>
          <a:picLocks noChangeAspect="1" noChangeArrowheads="1"/>
        </xdr:cNvPicPr>
      </xdr:nvPicPr>
      <xdr:blipFill>
        <a:blip xmlns:r="http://schemas.openxmlformats.org/officeDocument/2006/relationships" r:embed="rId7" cstate="print"/>
        <a:srcRect/>
        <a:stretch>
          <a:fillRect/>
        </a:stretch>
      </xdr:blipFill>
      <xdr:spPr bwMode="auto">
        <a:xfrm>
          <a:off x="13335000" y="16215360"/>
          <a:ext cx="6431280" cy="3200400"/>
        </a:xfrm>
        <a:prstGeom prst="rect">
          <a:avLst/>
        </a:prstGeom>
        <a:noFill/>
        <a:ln w="9525">
          <a:noFill/>
          <a:miter lim="800000"/>
          <a:headEnd/>
          <a:tailEnd/>
        </a:ln>
      </xdr:spPr>
    </xdr:pic>
    <xdr:clientData/>
  </xdr:twoCellAnchor>
  <xdr:twoCellAnchor>
    <xdr:from>
      <xdr:col>0</xdr:col>
      <xdr:colOff>274320</xdr:colOff>
      <xdr:row>1</xdr:row>
      <xdr:rowOff>121920</xdr:rowOff>
    </xdr:from>
    <xdr:to>
      <xdr:col>26</xdr:col>
      <xdr:colOff>53340</xdr:colOff>
      <xdr:row>5</xdr:row>
      <xdr:rowOff>0</xdr:rowOff>
    </xdr:to>
    <xdr:sp macro="" textlink="">
      <xdr:nvSpPr>
        <xdr:cNvPr id="9239" name="Text Box 23"/>
        <xdr:cNvSpPr txBox="1">
          <a:spLocks noChangeArrowheads="1"/>
        </xdr:cNvSpPr>
      </xdr:nvSpPr>
      <xdr:spPr bwMode="auto">
        <a:xfrm>
          <a:off x="274320" y="289560"/>
          <a:ext cx="15628620" cy="548640"/>
        </a:xfrm>
        <a:prstGeom prst="rect">
          <a:avLst/>
        </a:prstGeom>
        <a:solidFill>
          <a:srgbClr val="FFFFFF"/>
        </a:solidFill>
        <a:ln w="9525">
          <a:solidFill>
            <a:srgbClr val="000000"/>
          </a:solidFill>
          <a:miter lim="800000"/>
          <a:headEnd/>
          <a:tailEnd/>
        </a:ln>
      </xdr:spPr>
      <xdr:txBody>
        <a:bodyPr vertOverflow="clip" wrap="square" lIns="64008" tIns="59436" rIns="0" bIns="59436" anchor="ctr" upright="1"/>
        <a:lstStyle/>
        <a:p>
          <a:pPr algn="l" rtl="0">
            <a:defRPr sz="1000"/>
          </a:pPr>
          <a:r>
            <a:rPr lang="en-US" sz="2600" b="1" i="0" u="none" strike="noStrike" baseline="0">
              <a:solidFill>
                <a:srgbClr val="000000"/>
              </a:solidFill>
              <a:latin typeface="Arial"/>
              <a:cs typeface="Arial"/>
            </a:rPr>
            <a:t>RELEASE MORTALITY FACT SHEET (SEDAR 15, SEDAR 7, DIAMOND ET AL. 2009):</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213360</xdr:colOff>
      <xdr:row>21</xdr:row>
      <xdr:rowOff>53340</xdr:rowOff>
    </xdr:from>
    <xdr:to>
      <xdr:col>5</xdr:col>
      <xdr:colOff>708660</xdr:colOff>
      <xdr:row>30</xdr:row>
      <xdr:rowOff>68580</xdr:rowOff>
    </xdr:to>
    <xdr:sp macro="" textlink="">
      <xdr:nvSpPr>
        <xdr:cNvPr id="10241" name="Text Box 1"/>
        <xdr:cNvSpPr txBox="1">
          <a:spLocks noChangeArrowheads="1"/>
        </xdr:cNvSpPr>
      </xdr:nvSpPr>
      <xdr:spPr bwMode="auto">
        <a:xfrm>
          <a:off x="213360" y="3604260"/>
          <a:ext cx="7551420" cy="1524000"/>
        </a:xfrm>
        <a:prstGeom prst="rect">
          <a:avLst/>
        </a:prstGeom>
        <a:solidFill>
          <a:srgbClr val="800000"/>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FFFFFF"/>
              </a:solidFill>
              <a:latin typeface="Arial"/>
              <a:cs typeface="Arial"/>
            </a:rPr>
            <a:t>This worksheet is intended to provide guidance for 'optimal' closures meeting a user-specified targeted reduction.  The closures presented only consider the cells proposed for closure in Alternative 6 (2880, 2980, 3080, 3180, 3179, 3279, 3278).  As such, some inshore cells with high removal levels are not considered.  The closures presented eliminate the cell with the least removals for each step down from the 7 cell closure in Alternative 6 (2880, 2980, 3080, 3180, 3179, 3279, 3278).  These closures represent 'optimal' closures in that they avoid closure of nearshore cells and seek the maximal reduction with the least possible cells.  However, it should be noted that economic considerations for distributing closures among regions may indicate an 'optimal' closure other than those presented here.  For example, closing 3 cells (i.e., one in FL, one in GA, and one in SC) may be preferable to closing 2 cells in FL for economic and social reasons.  The capacity to evaluate other combinations of closures is built into the 'User Interface' tab.</a:t>
          </a:r>
        </a:p>
      </xdr:txBody>
    </xdr:sp>
    <xdr:clientData/>
  </xdr:twoCellAnchor>
  <xdr:twoCellAnchor>
    <xdr:from>
      <xdr:col>0</xdr:col>
      <xdr:colOff>220980</xdr:colOff>
      <xdr:row>31</xdr:row>
      <xdr:rowOff>106680</xdr:rowOff>
    </xdr:from>
    <xdr:to>
      <xdr:col>5</xdr:col>
      <xdr:colOff>693420</xdr:colOff>
      <xdr:row>51</xdr:row>
      <xdr:rowOff>114300</xdr:rowOff>
    </xdr:to>
    <xdr:sp macro="" textlink="">
      <xdr:nvSpPr>
        <xdr:cNvPr id="10242" name="Text Box 2"/>
        <xdr:cNvSpPr txBox="1">
          <a:spLocks noChangeArrowheads="1"/>
        </xdr:cNvSpPr>
      </xdr:nvSpPr>
      <xdr:spPr bwMode="auto">
        <a:xfrm>
          <a:off x="220980" y="5334000"/>
          <a:ext cx="7528560" cy="3360420"/>
        </a:xfrm>
        <a:prstGeom prst="rect">
          <a:avLst/>
        </a:prstGeom>
        <a:solidFill>
          <a:srgbClr val="0000FF"/>
        </a:solidFill>
        <a:ln w="9525">
          <a:solidFill>
            <a:srgbClr val="000000"/>
          </a:solidFill>
          <a:miter lim="800000"/>
          <a:headEnd/>
          <a:tailEnd/>
        </a:ln>
      </xdr:spPr>
      <xdr:txBody>
        <a:bodyPr vertOverflow="clip" wrap="square" lIns="914400" tIns="45720" rIns="91440" bIns="45720" anchor="t" upright="1"/>
        <a:lstStyle/>
        <a:p>
          <a:pPr algn="l" rtl="0">
            <a:defRPr sz="1000"/>
          </a:pPr>
          <a:r>
            <a:rPr lang="en-US" sz="1000" b="1" i="0" u="none" strike="noStrike" baseline="0">
              <a:solidFill>
                <a:srgbClr val="FFFFFF"/>
              </a:solidFill>
              <a:latin typeface="Arial"/>
              <a:cs typeface="Arial"/>
            </a:rPr>
            <a:t>Assumptions</a:t>
          </a:r>
        </a:p>
        <a:p>
          <a:pPr algn="l" rtl="0">
            <a:defRPr sz="1000"/>
          </a:pPr>
          <a:r>
            <a:rPr lang="en-US" sz="1000" b="1" i="0" u="none" strike="noStrike" baseline="0">
              <a:solidFill>
                <a:srgbClr val="FFFFFF"/>
              </a:solidFill>
              <a:latin typeface="Arial"/>
              <a:cs typeface="Arial"/>
            </a:rPr>
            <a:t> </a:t>
          </a:r>
        </a:p>
        <a:p>
          <a:pPr algn="l" rtl="0">
            <a:defRPr sz="1000"/>
          </a:pPr>
          <a:r>
            <a:rPr lang="en-US" sz="1000" b="1" i="0" u="none" strike="noStrike" baseline="0">
              <a:solidFill>
                <a:srgbClr val="FFFFFF"/>
              </a:solidFill>
              <a:latin typeface="Arial"/>
              <a:cs typeface="Arial"/>
            </a:rPr>
            <a:t>1) Amendments 13C, 16, and 17A elminate directed and targeted trips, </a:t>
          </a:r>
        </a:p>
        <a:p>
          <a:pPr algn="l" rtl="0">
            <a:defRPr sz="1000"/>
          </a:pPr>
          <a:r>
            <a:rPr lang="en-US" sz="1000" b="1" i="0" u="none" strike="noStrike" baseline="0">
              <a:solidFill>
                <a:srgbClr val="FFFFFF"/>
              </a:solidFill>
              <a:latin typeface="Arial"/>
              <a:cs typeface="Arial"/>
            </a:rPr>
            <a:t>2) 90% commercial release mortality, </a:t>
          </a:r>
        </a:p>
        <a:p>
          <a:pPr algn="l" rtl="0">
            <a:defRPr sz="1000"/>
          </a:pPr>
          <a:r>
            <a:rPr lang="en-US" sz="1000" b="1" i="0" u="none" strike="noStrike" baseline="0">
              <a:solidFill>
                <a:srgbClr val="FFFFFF"/>
              </a:solidFill>
              <a:latin typeface="Arial"/>
              <a:cs typeface="Arial"/>
            </a:rPr>
            <a:t>3) 40% recreational release mortality, </a:t>
          </a:r>
        </a:p>
        <a:p>
          <a:pPr algn="l" rtl="0">
            <a:defRPr sz="1000"/>
          </a:pPr>
          <a:r>
            <a:rPr lang="en-US" sz="1000" b="1" i="0" u="none" strike="noStrike" baseline="0">
              <a:solidFill>
                <a:srgbClr val="FFFFFF"/>
              </a:solidFill>
              <a:latin typeface="Arial"/>
              <a:cs typeface="Arial"/>
            </a:rPr>
            <a:t>4) red snapper fishery closed to all harvest, </a:t>
          </a:r>
        </a:p>
        <a:p>
          <a:pPr algn="l" rtl="0">
            <a:defRPr sz="1000"/>
          </a:pPr>
          <a:r>
            <a:rPr lang="en-US" sz="1000" b="1" i="0" u="none" strike="noStrike" baseline="0">
              <a:solidFill>
                <a:srgbClr val="FFFFFF"/>
              </a:solidFill>
              <a:latin typeface="Arial"/>
              <a:cs typeface="Arial"/>
            </a:rPr>
            <a:t>5) no discards in closed cells, </a:t>
          </a:r>
        </a:p>
        <a:p>
          <a:pPr algn="l" rtl="0">
            <a:defRPr sz="1000"/>
          </a:pPr>
          <a:r>
            <a:rPr lang="en-US" sz="1000" b="1" i="0" u="none" strike="noStrike" baseline="0">
              <a:solidFill>
                <a:srgbClr val="FFFFFF"/>
              </a:solidFill>
              <a:latin typeface="Arial"/>
              <a:cs typeface="Arial"/>
            </a:rPr>
            <a:t>6) discards occur in same proportion as landings, </a:t>
          </a:r>
        </a:p>
        <a:p>
          <a:pPr algn="l" rtl="0">
            <a:defRPr sz="1000"/>
          </a:pPr>
          <a:r>
            <a:rPr lang="en-US" sz="1000" b="1" i="0" u="none" strike="noStrike" baseline="0">
              <a:solidFill>
                <a:srgbClr val="FFFFFF"/>
              </a:solidFill>
              <a:latin typeface="Arial"/>
              <a:cs typeface="Arial"/>
            </a:rPr>
            <a:t>7) no effort shifting from closed areas occurs, </a:t>
          </a:r>
        </a:p>
        <a:p>
          <a:pPr algn="l" rtl="0">
            <a:defRPr sz="1000"/>
          </a:pPr>
          <a:r>
            <a:rPr lang="en-US" sz="1000" b="1" i="0" u="none" strike="noStrike" baseline="0">
              <a:solidFill>
                <a:srgbClr val="FFFFFF"/>
              </a:solidFill>
              <a:latin typeface="Arial"/>
              <a:cs typeface="Arial"/>
            </a:rPr>
            <a:t>8) headboat landings are reasonable spatial proxies for private and charter boat landings, </a:t>
          </a:r>
        </a:p>
        <a:p>
          <a:pPr algn="l" rtl="0">
            <a:defRPr sz="1000"/>
          </a:pPr>
          <a:r>
            <a:rPr lang="en-US" sz="1000" b="1" i="0" u="none" strike="noStrike" baseline="0">
              <a:solidFill>
                <a:srgbClr val="FFFFFF"/>
              </a:solidFill>
              <a:latin typeface="Arial"/>
              <a:cs typeface="Arial"/>
            </a:rPr>
            <a:t>9) no movement of fish across spatial closure boundaries, </a:t>
          </a:r>
        </a:p>
        <a:p>
          <a:pPr algn="l" rtl="0">
            <a:defRPr sz="1000"/>
          </a:pPr>
          <a:r>
            <a:rPr lang="en-US" sz="1000" b="1" i="0" u="none" strike="noStrike" baseline="0">
              <a:solidFill>
                <a:srgbClr val="FFFFFF"/>
              </a:solidFill>
              <a:latin typeface="Arial"/>
              <a:cs typeface="Arial"/>
            </a:rPr>
            <a:t>10) no disproportionate redistribution of fishing effort along spatial closure boundaries, </a:t>
          </a:r>
        </a:p>
        <a:p>
          <a:pPr algn="l" rtl="0">
            <a:defRPr sz="1000"/>
          </a:pPr>
          <a:r>
            <a:rPr lang="en-US" sz="1000" b="1" i="0" u="none" strike="noStrike" baseline="0">
              <a:solidFill>
                <a:srgbClr val="FFFFFF"/>
              </a:solidFill>
              <a:latin typeface="Arial"/>
              <a:cs typeface="Arial"/>
            </a:rPr>
            <a:t>11) historical trends are reasonable proxies for future trends, and </a:t>
          </a:r>
        </a:p>
        <a:p>
          <a:pPr algn="l" rtl="0">
            <a:defRPr sz="1000"/>
          </a:pPr>
          <a:r>
            <a:rPr lang="en-US" sz="1000" b="1" i="0" u="none" strike="noStrike" baseline="0">
              <a:solidFill>
                <a:srgbClr val="FFFFFF"/>
              </a:solidFill>
              <a:latin typeface="Arial"/>
              <a:cs typeface="Arial"/>
            </a:rPr>
            <a:t>12) 100% compliance.  </a:t>
          </a:r>
        </a:p>
        <a:p>
          <a:pPr algn="l" rtl="0">
            <a:defRPr sz="1000"/>
          </a:pPr>
          <a:endParaRPr lang="en-US" sz="1000" b="1" i="0" u="none" strike="noStrike" baseline="0">
            <a:solidFill>
              <a:srgbClr val="FFFFFF"/>
            </a:solidFill>
            <a:latin typeface="Arial"/>
            <a:cs typeface="Arial"/>
          </a:endParaRPr>
        </a:p>
        <a:p>
          <a:pPr algn="l" rtl="0">
            <a:defRPr sz="1000"/>
          </a:pPr>
          <a:r>
            <a:rPr lang="en-US" sz="1000" b="1" i="0" u="none" strike="noStrike" baseline="0">
              <a:solidFill>
                <a:srgbClr val="FFFFFF"/>
              </a:solidFill>
              <a:latin typeface="Arial"/>
              <a:cs typeface="Arial"/>
            </a:rPr>
            <a:t>It should also be noted that some uncertainty exists in baseline data (especially for discards).</a:t>
          </a:r>
        </a:p>
        <a:p>
          <a:pPr algn="l" rtl="0">
            <a:defRPr sz="1000"/>
          </a:pPr>
          <a:endParaRPr lang="en-US" sz="1000" b="1" i="0" u="none" strike="noStrike" baseline="0">
            <a:solidFill>
              <a:srgbClr val="FFFFFF"/>
            </a:solidFill>
            <a:latin typeface="Arial"/>
            <a:cs typeface="Arial"/>
          </a:endParaRPr>
        </a:p>
        <a:p>
          <a:pPr algn="l" rtl="0">
            <a:defRPr sz="1000"/>
          </a:pPr>
          <a:r>
            <a:rPr lang="en-US" sz="1000" b="1" i="0" u="none" strike="noStrike" baseline="0">
              <a:solidFill>
                <a:srgbClr val="FFFFFF"/>
              </a:solidFill>
              <a:latin typeface="Arial"/>
              <a:cs typeface="Arial"/>
            </a:rPr>
            <a:t>Note it is highly likely that violations of several of these assumptions occur.</a:t>
          </a:r>
        </a:p>
      </xdr:txBody>
    </xdr:sp>
    <xdr:clientData/>
  </xdr:twoCellAnchor>
  <xdr:twoCellAnchor>
    <xdr:from>
      <xdr:col>0</xdr:col>
      <xdr:colOff>182880</xdr:colOff>
      <xdr:row>0</xdr:row>
      <xdr:rowOff>83820</xdr:rowOff>
    </xdr:from>
    <xdr:to>
      <xdr:col>5</xdr:col>
      <xdr:colOff>739140</xdr:colOff>
      <xdr:row>5</xdr:row>
      <xdr:rowOff>30480</xdr:rowOff>
    </xdr:to>
    <xdr:sp macro="" textlink="">
      <xdr:nvSpPr>
        <xdr:cNvPr id="10243" name="Text Box 3"/>
        <xdr:cNvSpPr txBox="1">
          <a:spLocks noChangeArrowheads="1"/>
        </xdr:cNvSpPr>
      </xdr:nvSpPr>
      <xdr:spPr bwMode="auto">
        <a:xfrm>
          <a:off x="182880" y="83820"/>
          <a:ext cx="7612380" cy="784860"/>
        </a:xfrm>
        <a:prstGeom prst="rect">
          <a:avLst/>
        </a:prstGeom>
        <a:solidFill>
          <a:srgbClr val="800000"/>
        </a:solidFill>
        <a:ln w="9525">
          <a:solidFill>
            <a:srgbClr val="000000"/>
          </a:solidFill>
          <a:miter lim="800000"/>
          <a:headEnd/>
          <a:tailEnd/>
        </a:ln>
      </xdr:spPr>
      <xdr:txBody>
        <a:bodyPr vertOverflow="clip" wrap="square" lIns="109728" tIns="96012" rIns="109728" bIns="96012" anchor="ctr" upright="1"/>
        <a:lstStyle/>
        <a:p>
          <a:pPr algn="ctr" rtl="0">
            <a:defRPr sz="1000"/>
          </a:pPr>
          <a:r>
            <a:rPr lang="en-US" sz="4800" b="1" i="0" u="none" strike="noStrike" baseline="0">
              <a:solidFill>
                <a:srgbClr val="FFFFFF"/>
              </a:solidFill>
              <a:latin typeface="Arial"/>
              <a:cs typeface="Arial"/>
            </a:rPr>
            <a:t>Projected Reductions</a:t>
          </a:r>
        </a:p>
      </xdr:txBody>
    </xdr:sp>
    <xdr:clientData/>
  </xdr:twoCellAnchor>
  <xdr:twoCellAnchor editAs="oneCell">
    <xdr:from>
      <xdr:col>6</xdr:col>
      <xdr:colOff>251012</xdr:colOff>
      <xdr:row>0</xdr:row>
      <xdr:rowOff>107576</xdr:rowOff>
    </xdr:from>
    <xdr:to>
      <xdr:col>16</xdr:col>
      <xdr:colOff>116541</xdr:colOff>
      <xdr:row>45</xdr:row>
      <xdr:rowOff>130777</xdr:rowOff>
    </xdr:to>
    <xdr:pic>
      <xdr:nvPicPr>
        <xdr:cNvPr id="7" name="Picture 6" descr="Bathymetric Closure Alts 4AtoC_3.png"/>
        <xdr:cNvPicPr>
          <a:picLocks noChangeAspect="1"/>
        </xdr:cNvPicPr>
      </xdr:nvPicPr>
      <xdr:blipFill>
        <a:blip xmlns:r="http://schemas.openxmlformats.org/officeDocument/2006/relationships" r:embed="rId1" cstate="print"/>
        <a:stretch>
          <a:fillRect/>
        </a:stretch>
      </xdr:blipFill>
      <xdr:spPr>
        <a:xfrm>
          <a:off x="8166847" y="107576"/>
          <a:ext cx="5961529" cy="7714919"/>
        </a:xfrm>
        <a:prstGeom prst="rect">
          <a:avLst/>
        </a:prstGeom>
        <a:ln w="31750" cmpd="dbl">
          <a:solidFill>
            <a:srgbClr val="FFFF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2" enableFormatConditionsCalculation="0">
    <tabColor indexed="12"/>
  </sheetPr>
  <dimension ref="A1:ED501"/>
  <sheetViews>
    <sheetView tabSelected="1" zoomScale="70" zoomScaleNormal="70" workbookViewId="0">
      <selection activeCell="C23" sqref="C23"/>
    </sheetView>
  </sheetViews>
  <sheetFormatPr defaultRowHeight="15.6"/>
  <cols>
    <col min="1" max="1" width="2.6640625" style="145" customWidth="1"/>
    <col min="2" max="5" width="10.88671875" style="195" customWidth="1"/>
    <col min="6" max="14" width="10.88671875" style="196" customWidth="1"/>
    <col min="15" max="15" width="5.5546875" style="194" customWidth="1"/>
    <col min="16" max="16" width="5.5546875" style="53" customWidth="1"/>
    <col min="17" max="17" width="8.88671875" style="194"/>
    <col min="18" max="18" width="5.44140625" style="194" customWidth="1"/>
    <col min="19" max="19" width="5.33203125" style="145" customWidth="1"/>
    <col min="20" max="30" width="4.88671875" style="145" customWidth="1"/>
    <col min="31" max="31" width="5.33203125" style="145" customWidth="1"/>
    <col min="32" max="34" width="4.88671875" style="145" customWidth="1"/>
    <col min="35" max="35" width="2.33203125" style="145" customWidth="1"/>
    <col min="36" max="36" width="8.88671875" style="143"/>
    <col min="37" max="37" width="14.88671875" style="143" bestFit="1" customWidth="1"/>
    <col min="38" max="46" width="8.88671875" style="143"/>
    <col min="47" max="66" width="8.88671875" style="146"/>
    <col min="67" max="103" width="8.88671875" style="143"/>
    <col min="104" max="16384" width="8.88671875" style="145"/>
  </cols>
  <sheetData>
    <row r="1" spans="1:134" ht="15.6" customHeight="1">
      <c r="A1" s="142"/>
      <c r="B1" s="491" t="s">
        <v>29</v>
      </c>
      <c r="C1" s="492"/>
      <c r="D1" s="492"/>
      <c r="E1" s="492"/>
      <c r="F1" s="492"/>
      <c r="G1" s="492"/>
      <c r="H1" s="492"/>
      <c r="I1" s="492"/>
      <c r="J1" s="492"/>
      <c r="K1" s="492"/>
      <c r="L1" s="492"/>
      <c r="M1" s="492"/>
      <c r="N1" s="492"/>
      <c r="O1" s="492"/>
      <c r="Q1" s="5"/>
      <c r="R1" s="5"/>
      <c r="S1" s="6"/>
      <c r="T1" s="6"/>
      <c r="U1" s="6"/>
      <c r="V1" s="6"/>
      <c r="W1" s="6"/>
      <c r="X1" s="6"/>
      <c r="Y1" s="6"/>
      <c r="Z1" s="6"/>
      <c r="AA1" s="6"/>
      <c r="AB1" s="6"/>
      <c r="AC1" s="6"/>
      <c r="AD1" s="6"/>
      <c r="AE1" s="6"/>
      <c r="AF1" s="6"/>
      <c r="AG1" s="6"/>
      <c r="AH1" s="6"/>
      <c r="AI1" s="6"/>
      <c r="AJ1" s="207"/>
      <c r="AK1" s="207"/>
      <c r="AL1" s="207"/>
      <c r="AM1" s="207"/>
      <c r="AN1" s="207"/>
      <c r="AO1" s="207"/>
      <c r="AP1" s="207"/>
      <c r="AQ1" s="207"/>
      <c r="AR1" s="207"/>
      <c r="AS1" s="207"/>
      <c r="AT1" s="308"/>
      <c r="AU1" s="273"/>
      <c r="BO1" s="144" t="s">
        <v>3</v>
      </c>
      <c r="BP1" s="144" t="str">
        <f>IF(ISBLANK(C19),"",CONCATENATE(C18,", "))</f>
        <v xml:space="preserve">Jan, </v>
      </c>
      <c r="BQ1" s="144" t="str">
        <f t="shared" ref="BQ1:CA1" si="0">IF(ISBLANK(D19),"",CONCATENATE(D18,", "))</f>
        <v xml:space="preserve">Feb, </v>
      </c>
      <c r="BR1" s="144" t="str">
        <f t="shared" si="0"/>
        <v xml:space="preserve">Mar, </v>
      </c>
      <c r="BS1" s="144" t="str">
        <f t="shared" si="0"/>
        <v xml:space="preserve">Apr, </v>
      </c>
      <c r="BT1" s="144" t="str">
        <f t="shared" si="0"/>
        <v xml:space="preserve">May, </v>
      </c>
      <c r="BU1" s="144" t="str">
        <f t="shared" si="0"/>
        <v xml:space="preserve">Jun, </v>
      </c>
      <c r="BV1" s="144" t="str">
        <f t="shared" si="0"/>
        <v xml:space="preserve">Jul, </v>
      </c>
      <c r="BW1" s="144" t="str">
        <f t="shared" si="0"/>
        <v xml:space="preserve">Aug, </v>
      </c>
      <c r="BX1" s="144" t="str">
        <f t="shared" si="0"/>
        <v xml:space="preserve">Sep, </v>
      </c>
      <c r="BY1" s="144" t="str">
        <f t="shared" si="0"/>
        <v xml:space="preserve">Oct, </v>
      </c>
      <c r="BZ1" s="144" t="str">
        <f t="shared" si="0"/>
        <v xml:space="preserve">Nov, </v>
      </c>
      <c r="CA1" s="144" t="str">
        <f t="shared" si="0"/>
        <v xml:space="preserve">Dec, </v>
      </c>
      <c r="CZ1" s="143"/>
      <c r="DA1" s="143"/>
      <c r="DB1" s="143"/>
      <c r="DC1" s="143"/>
      <c r="DD1" s="143"/>
      <c r="DE1" s="143"/>
      <c r="DF1" s="143"/>
      <c r="DG1" s="143"/>
      <c r="DH1" s="143"/>
      <c r="DI1" s="143"/>
      <c r="DJ1" s="143"/>
      <c r="DK1" s="143"/>
      <c r="DL1" s="143"/>
      <c r="DM1" s="143"/>
      <c r="DN1" s="254"/>
      <c r="DO1" s="254" t="s">
        <v>18</v>
      </c>
      <c r="DP1" s="254" t="s">
        <v>15</v>
      </c>
      <c r="DQ1" s="254" t="s">
        <v>57</v>
      </c>
      <c r="DR1" s="254" t="s">
        <v>19</v>
      </c>
      <c r="DS1" s="254" t="s">
        <v>57</v>
      </c>
      <c r="DT1" s="254" t="s">
        <v>20</v>
      </c>
      <c r="DU1" s="254"/>
      <c r="DV1" s="254"/>
      <c r="DW1" s="143"/>
      <c r="DX1" s="143"/>
      <c r="DY1" s="143"/>
      <c r="DZ1" s="143"/>
      <c r="EA1" s="143"/>
      <c r="EB1" s="143"/>
      <c r="EC1" s="143"/>
    </row>
    <row r="2" spans="1:134" ht="19.95" customHeight="1" thickBot="1">
      <c r="A2" s="142"/>
      <c r="B2" s="492"/>
      <c r="C2" s="492"/>
      <c r="D2" s="492"/>
      <c r="E2" s="492"/>
      <c r="F2" s="492"/>
      <c r="G2" s="492"/>
      <c r="H2" s="492"/>
      <c r="I2" s="492"/>
      <c r="J2" s="492"/>
      <c r="K2" s="492"/>
      <c r="L2" s="492"/>
      <c r="M2" s="492"/>
      <c r="N2" s="492"/>
      <c r="O2" s="492"/>
      <c r="P2" s="246"/>
      <c r="Q2" s="333" t="s">
        <v>167</v>
      </c>
      <c r="R2" s="333"/>
      <c r="S2" s="333"/>
      <c r="T2" s="333"/>
      <c r="U2" s="333"/>
      <c r="V2" s="333"/>
      <c r="W2" s="333"/>
      <c r="X2" s="333"/>
      <c r="Y2" s="333"/>
      <c r="Z2" s="333"/>
      <c r="AA2" s="333"/>
      <c r="AB2" s="333"/>
      <c r="AC2" s="333"/>
      <c r="AD2" s="333"/>
      <c r="AE2" s="333"/>
      <c r="AF2" s="333"/>
      <c r="AG2" s="207"/>
      <c r="AH2" s="207"/>
      <c r="AI2" s="207"/>
      <c r="AJ2" s="483"/>
      <c r="AK2" s="484"/>
      <c r="AL2" s="484"/>
      <c r="AM2" s="484"/>
      <c r="AN2" s="484"/>
      <c r="AO2" s="484"/>
      <c r="AP2" s="207"/>
      <c r="AQ2" s="207"/>
      <c r="AR2" s="207"/>
      <c r="AS2" s="207"/>
      <c r="AT2" s="309"/>
      <c r="AU2" s="274"/>
      <c r="BP2" s="146" t="s">
        <v>21</v>
      </c>
      <c r="BQ2" s="144" t="str">
        <f>IF(ISBLANK(L4),"",CONCATENATE(L3,", "))</f>
        <v xml:space="preserve">Comm, </v>
      </c>
      <c r="BR2" s="144" t="str">
        <f>IF(ISBLANK(M4),"",CONCATENATE(M3,", "))</f>
        <v xml:space="preserve">Rec, </v>
      </c>
      <c r="BS2" s="144" t="str">
        <f>IF(ISBLANK(N4),"",CONCATENATE(N3,", "))</f>
        <v xml:space="preserve">HB, </v>
      </c>
      <c r="BT2" s="146"/>
      <c r="BU2" s="146"/>
      <c r="BV2" s="146"/>
      <c r="BW2" s="146"/>
      <c r="BX2" s="146"/>
      <c r="BY2" s="146"/>
      <c r="BZ2" s="146"/>
      <c r="CA2" s="146"/>
      <c r="CB2" s="146"/>
      <c r="CZ2" s="143"/>
      <c r="DA2" s="143"/>
      <c r="DB2" s="143"/>
      <c r="DC2" s="143"/>
      <c r="DD2" s="143"/>
      <c r="DE2" s="143"/>
      <c r="DF2" s="143"/>
      <c r="DG2" s="143"/>
      <c r="DH2" s="143"/>
      <c r="DI2" s="143"/>
      <c r="DJ2" s="143"/>
      <c r="DK2" s="143"/>
      <c r="DL2" s="143"/>
      <c r="DM2" s="143"/>
      <c r="DN2" s="254"/>
      <c r="DO2" s="255">
        <v>2479</v>
      </c>
      <c r="DP2" s="256">
        <f>V16</f>
        <v>0</v>
      </c>
      <c r="DQ2" s="254" t="str">
        <f t="shared" ref="DQ2:DQ33" si="1">IF($DP2&lt;&gt;0,CONCATENATE($DO2,", "),"")</f>
        <v/>
      </c>
      <c r="DR2" s="254" t="str">
        <f t="shared" ref="DR2:DR33" si="2">IF(AND($DP2&lt;100%,$DP2&gt;0%),CONCATENATE($DO2,", "),"")</f>
        <v/>
      </c>
      <c r="DS2" s="254" t="str">
        <f>DQ2</f>
        <v/>
      </c>
      <c r="DT2" s="254" t="str">
        <f>DR2</f>
        <v/>
      </c>
      <c r="DU2" s="254"/>
      <c r="DV2" s="255"/>
      <c r="DW2" s="143"/>
      <c r="DX2" s="143"/>
      <c r="DY2" s="143"/>
      <c r="DZ2" s="143"/>
      <c r="EA2" s="143"/>
      <c r="EB2" s="143"/>
      <c r="EC2" s="143"/>
      <c r="ED2" s="143"/>
    </row>
    <row r="3" spans="1:134" ht="26.7" customHeight="1" thickTop="1" thickBot="1">
      <c r="A3" s="142"/>
      <c r="B3" s="498" t="s">
        <v>172</v>
      </c>
      <c r="C3" s="499"/>
      <c r="D3" s="499"/>
      <c r="E3" s="499"/>
      <c r="F3" s="499"/>
      <c r="G3" s="499"/>
      <c r="H3" s="499"/>
      <c r="I3" s="499"/>
      <c r="J3" s="499"/>
      <c r="K3" s="147"/>
      <c r="L3" s="147" t="s">
        <v>65</v>
      </c>
      <c r="M3" s="147" t="s">
        <v>66</v>
      </c>
      <c r="N3" s="147" t="s">
        <v>67</v>
      </c>
      <c r="O3" s="148"/>
      <c r="P3" s="246"/>
      <c r="Q3" s="245"/>
      <c r="R3" s="241">
        <v>83</v>
      </c>
      <c r="S3" s="242">
        <v>82</v>
      </c>
      <c r="T3" s="241">
        <v>81</v>
      </c>
      <c r="U3" s="241">
        <v>80</v>
      </c>
      <c r="V3" s="241">
        <v>79</v>
      </c>
      <c r="W3" s="241">
        <v>78</v>
      </c>
      <c r="X3" s="241">
        <v>77</v>
      </c>
      <c r="Y3" s="241">
        <v>76</v>
      </c>
      <c r="Z3" s="241">
        <v>75</v>
      </c>
      <c r="AA3" s="241">
        <v>74</v>
      </c>
      <c r="AB3" s="241">
        <v>73</v>
      </c>
      <c r="AC3" s="241">
        <v>72</v>
      </c>
      <c r="AD3" s="241">
        <v>71</v>
      </c>
      <c r="AE3" s="241">
        <v>70</v>
      </c>
      <c r="AF3" s="241">
        <v>69</v>
      </c>
      <c r="AG3" s="243">
        <v>68</v>
      </c>
      <c r="AH3" s="244"/>
      <c r="AI3" s="207"/>
      <c r="AJ3" s="377"/>
      <c r="AK3" s="377"/>
      <c r="AL3" s="377"/>
      <c r="AM3" s="377"/>
      <c r="AN3" s="377"/>
      <c r="AO3" s="377"/>
      <c r="AP3" s="198"/>
      <c r="AQ3" s="198"/>
      <c r="AR3" s="198"/>
      <c r="AS3" s="198"/>
      <c r="AT3" s="310"/>
      <c r="AU3" s="274"/>
      <c r="BP3" s="149"/>
      <c r="BQ3" s="149"/>
      <c r="BR3" s="149"/>
      <c r="BS3" s="149"/>
      <c r="BT3" s="149"/>
      <c r="BU3" s="149"/>
      <c r="BV3" s="149"/>
      <c r="BW3" s="149"/>
      <c r="BX3" s="149"/>
      <c r="BY3" s="149"/>
      <c r="BZ3" s="149"/>
      <c r="CA3" s="149"/>
      <c r="CB3" s="149"/>
      <c r="CZ3" s="143"/>
      <c r="DA3" s="143"/>
      <c r="DB3" s="143"/>
      <c r="DC3" s="143"/>
      <c r="DD3" s="143"/>
      <c r="DE3" s="143"/>
      <c r="DF3" s="143"/>
      <c r="DG3" s="143"/>
      <c r="DH3" s="143"/>
      <c r="DI3" s="143"/>
      <c r="DJ3" s="143"/>
      <c r="DK3" s="143"/>
      <c r="DL3" s="143"/>
      <c r="DM3" s="143"/>
      <c r="DN3" s="254"/>
      <c r="DO3" s="255">
        <v>2480</v>
      </c>
      <c r="DP3" s="256">
        <f>U16</f>
        <v>0</v>
      </c>
      <c r="DQ3" s="254" t="str">
        <f t="shared" si="1"/>
        <v/>
      </c>
      <c r="DR3" s="254" t="str">
        <f t="shared" si="2"/>
        <v/>
      </c>
      <c r="DS3" s="254" t="str">
        <f t="shared" ref="DS3:DS34" si="3">DQ3&amp;DS2</f>
        <v/>
      </c>
      <c r="DT3" s="254" t="str">
        <f t="shared" ref="DT3:DT34" si="4">DR3&amp;DT2</f>
        <v/>
      </c>
      <c r="DU3" s="254"/>
      <c r="DV3" s="255"/>
      <c r="DW3" s="143"/>
      <c r="DX3" s="143"/>
      <c r="DY3" s="143"/>
      <c r="DZ3" s="143"/>
      <c r="EA3" s="143"/>
      <c r="EB3" s="143"/>
      <c r="EC3" s="143"/>
      <c r="ED3" s="143"/>
    </row>
    <row r="4" spans="1:134" ht="26.7" customHeight="1" thickTop="1" thickBot="1">
      <c r="A4" s="142"/>
      <c r="B4" s="150" t="s">
        <v>214</v>
      </c>
      <c r="C4" s="151"/>
      <c r="D4" s="151"/>
      <c r="E4" s="151"/>
      <c r="F4" s="147"/>
      <c r="G4" s="147"/>
      <c r="H4" s="147"/>
      <c r="I4" s="147"/>
      <c r="J4" s="147"/>
      <c r="K4" s="147"/>
      <c r="L4" s="152" t="s">
        <v>23</v>
      </c>
      <c r="M4" s="152" t="s">
        <v>23</v>
      </c>
      <c r="N4" s="152" t="s">
        <v>23</v>
      </c>
      <c r="O4" s="148"/>
      <c r="P4" s="247"/>
      <c r="Q4" s="213">
        <v>36</v>
      </c>
      <c r="R4" s="208"/>
      <c r="S4" s="224"/>
      <c r="T4" s="224"/>
      <c r="U4" s="224"/>
      <c r="V4" s="224" t="s">
        <v>102</v>
      </c>
      <c r="W4" s="224"/>
      <c r="X4" s="224"/>
      <c r="Y4" s="224"/>
      <c r="Z4" s="240"/>
      <c r="AA4" s="240"/>
      <c r="AB4" s="240"/>
      <c r="AC4" s="240"/>
      <c r="AD4" s="240"/>
      <c r="AE4" s="240"/>
      <c r="AF4" s="240"/>
      <c r="AG4" s="226"/>
      <c r="AH4" s="214">
        <v>36</v>
      </c>
      <c r="AI4" s="198"/>
      <c r="AJ4" s="377"/>
      <c r="AK4" s="377"/>
      <c r="AL4" s="377"/>
      <c r="AM4" s="377"/>
      <c r="AN4" s="377"/>
      <c r="AO4" s="377"/>
      <c r="AP4" s="198"/>
      <c r="AQ4" s="198"/>
      <c r="AR4" s="198"/>
      <c r="AS4" s="198"/>
      <c r="AT4" s="310"/>
      <c r="AU4" s="274"/>
      <c r="CZ4" s="143"/>
      <c r="DA4" s="143"/>
      <c r="DB4" s="143"/>
      <c r="DC4" s="143"/>
      <c r="DD4" s="143"/>
      <c r="DE4" s="143"/>
      <c r="DF4" s="143"/>
      <c r="DG4" s="143"/>
      <c r="DH4" s="143"/>
      <c r="DI4" s="143"/>
      <c r="DJ4" s="143"/>
      <c r="DK4" s="143"/>
      <c r="DL4" s="143"/>
      <c r="DM4" s="143"/>
      <c r="DN4" s="254"/>
      <c r="DO4" s="255">
        <v>2481</v>
      </c>
      <c r="DP4" s="256">
        <f>T16</f>
        <v>0</v>
      </c>
      <c r="DQ4" s="254" t="str">
        <f t="shared" si="1"/>
        <v/>
      </c>
      <c r="DR4" s="254" t="str">
        <f t="shared" si="2"/>
        <v/>
      </c>
      <c r="DS4" s="254" t="str">
        <f t="shared" si="3"/>
        <v/>
      </c>
      <c r="DT4" s="254" t="str">
        <f t="shared" si="4"/>
        <v/>
      </c>
      <c r="DU4" s="254"/>
      <c r="DV4" s="255"/>
      <c r="DW4" s="143"/>
      <c r="DX4" s="143"/>
      <c r="DY4" s="143"/>
      <c r="DZ4" s="143"/>
      <c r="EA4" s="143"/>
      <c r="EB4" s="143"/>
      <c r="EC4" s="143"/>
      <c r="ED4" s="143"/>
    </row>
    <row r="5" spans="1:134" ht="26.7" customHeight="1" thickTop="1" thickBot="1">
      <c r="A5" s="142"/>
      <c r="B5" s="446" t="s">
        <v>173</v>
      </c>
      <c r="C5" s="447"/>
      <c r="D5" s="447"/>
      <c r="E5" s="447"/>
      <c r="F5" s="447"/>
      <c r="G5" s="447"/>
      <c r="H5" s="447"/>
      <c r="I5" s="447"/>
      <c r="J5" s="447"/>
      <c r="K5" s="447"/>
      <c r="L5" s="147"/>
      <c r="M5" s="147"/>
      <c r="N5" s="147"/>
      <c r="O5" s="148"/>
      <c r="P5" s="247"/>
      <c r="Q5" s="211">
        <v>35</v>
      </c>
      <c r="R5" s="208"/>
      <c r="S5" s="222"/>
      <c r="T5" s="222"/>
      <c r="U5" s="222"/>
      <c r="V5" s="222"/>
      <c r="W5" s="223"/>
      <c r="X5" s="224"/>
      <c r="Y5" s="225"/>
      <c r="Z5" s="206"/>
      <c r="AA5" s="206"/>
      <c r="AB5" s="206"/>
      <c r="AC5" s="206"/>
      <c r="AD5" s="206"/>
      <c r="AE5" s="206"/>
      <c r="AF5" s="226"/>
      <c r="AG5" s="227"/>
      <c r="AH5" s="212">
        <v>35</v>
      </c>
      <c r="AI5" s="198"/>
      <c r="AJ5" s="377"/>
      <c r="AK5" s="377"/>
      <c r="AL5" s="377"/>
      <c r="AM5" s="377"/>
      <c r="AN5" s="377"/>
      <c r="AO5" s="377"/>
      <c r="AP5" s="198"/>
      <c r="AQ5" s="198"/>
      <c r="AR5" s="198"/>
      <c r="AS5" s="198"/>
      <c r="AT5" s="310"/>
      <c r="AU5" s="274"/>
      <c r="CZ5" s="143"/>
      <c r="DA5" s="143"/>
      <c r="DB5" s="143"/>
      <c r="DC5" s="143"/>
      <c r="DD5" s="143"/>
      <c r="DE5" s="143"/>
      <c r="DF5" s="143"/>
      <c r="DG5" s="143"/>
      <c r="DH5" s="143"/>
      <c r="DI5" s="143"/>
      <c r="DJ5" s="143"/>
      <c r="DK5" s="143"/>
      <c r="DL5" s="143"/>
      <c r="DM5" s="143"/>
      <c r="DN5" s="254"/>
      <c r="DO5" s="255">
        <v>2482</v>
      </c>
      <c r="DP5" s="256">
        <f>S16</f>
        <v>0</v>
      </c>
      <c r="DQ5" s="254" t="str">
        <f t="shared" si="1"/>
        <v/>
      </c>
      <c r="DR5" s="254" t="str">
        <f t="shared" si="2"/>
        <v/>
      </c>
      <c r="DS5" s="254" t="str">
        <f t="shared" si="3"/>
        <v/>
      </c>
      <c r="DT5" s="254" t="str">
        <f t="shared" si="4"/>
        <v/>
      </c>
      <c r="DU5" s="254"/>
      <c r="DV5" s="255"/>
      <c r="DW5" s="143"/>
      <c r="DX5" s="143"/>
      <c r="DY5" s="143"/>
      <c r="DZ5" s="143"/>
      <c r="EA5" s="143"/>
      <c r="EB5" s="143"/>
      <c r="EC5" s="143"/>
      <c r="ED5" s="143"/>
    </row>
    <row r="6" spans="1:134" ht="26.7" customHeight="1" thickTop="1" thickBot="1">
      <c r="A6" s="142"/>
      <c r="B6" s="150" t="s">
        <v>215</v>
      </c>
      <c r="C6" s="151"/>
      <c r="D6" s="151"/>
      <c r="E6" s="151"/>
      <c r="F6" s="147"/>
      <c r="G6" s="147"/>
      <c r="H6" s="147"/>
      <c r="I6" s="147"/>
      <c r="J6" s="147"/>
      <c r="K6" s="147"/>
      <c r="L6" s="152" t="s">
        <v>23</v>
      </c>
      <c r="M6" s="493" t="str">
        <f>IF(ISBLANK(L6),"targeted only","targeted &amp; directed")</f>
        <v>targeted &amp; directed</v>
      </c>
      <c r="N6" s="494"/>
      <c r="O6" s="148"/>
      <c r="P6" s="247"/>
      <c r="Q6" s="211">
        <v>34</v>
      </c>
      <c r="R6" s="208"/>
      <c r="S6" s="223"/>
      <c r="T6" s="224"/>
      <c r="U6" s="224" t="s">
        <v>16</v>
      </c>
      <c r="V6" s="224"/>
      <c r="W6" s="224"/>
      <c r="X6" s="206"/>
      <c r="Y6" s="206"/>
      <c r="Z6" s="206"/>
      <c r="AA6" s="206"/>
      <c r="AB6" s="206"/>
      <c r="AC6" s="206"/>
      <c r="AD6" s="206"/>
      <c r="AE6" s="226"/>
      <c r="AF6" s="227"/>
      <c r="AG6" s="227"/>
      <c r="AH6" s="212">
        <v>34</v>
      </c>
      <c r="AI6" s="198"/>
      <c r="AJ6" s="377"/>
      <c r="AK6" s="377"/>
      <c r="AL6" s="377"/>
      <c r="AM6" s="377"/>
      <c r="AN6" s="377"/>
      <c r="AO6" s="377"/>
      <c r="AP6" s="198"/>
      <c r="AQ6" s="198"/>
      <c r="AR6" s="198"/>
      <c r="AS6" s="198"/>
      <c r="AT6" s="310"/>
      <c r="AU6" s="274"/>
      <c r="CZ6" s="143"/>
      <c r="DA6" s="143"/>
      <c r="DB6" s="143"/>
      <c r="DC6" s="143"/>
      <c r="DD6" s="143"/>
      <c r="DE6" s="143"/>
      <c r="DF6" s="143"/>
      <c r="DG6" s="143"/>
      <c r="DH6" s="143"/>
      <c r="DI6" s="143"/>
      <c r="DJ6" s="143"/>
      <c r="DK6" s="143"/>
      <c r="DL6" s="143"/>
      <c r="DM6" s="143"/>
      <c r="DN6" s="254"/>
      <c r="DO6" s="255">
        <v>2579</v>
      </c>
      <c r="DP6" s="256">
        <f>V15</f>
        <v>0</v>
      </c>
      <c r="DQ6" s="254" t="str">
        <f t="shared" si="1"/>
        <v/>
      </c>
      <c r="DR6" s="254" t="str">
        <f t="shared" si="2"/>
        <v/>
      </c>
      <c r="DS6" s="254" t="str">
        <f t="shared" si="3"/>
        <v/>
      </c>
      <c r="DT6" s="254" t="str">
        <f t="shared" si="4"/>
        <v/>
      </c>
      <c r="DU6" s="254"/>
      <c r="DV6" s="255"/>
      <c r="DW6" s="143"/>
      <c r="DX6" s="143"/>
      <c r="DY6" s="143"/>
      <c r="DZ6" s="143"/>
      <c r="EA6" s="143"/>
      <c r="EB6" s="143"/>
      <c r="EC6" s="143"/>
      <c r="ED6" s="143"/>
    </row>
    <row r="7" spans="1:134" ht="26.7" customHeight="1" thickTop="1" thickBot="1">
      <c r="A7" s="142"/>
      <c r="B7" s="446" t="s">
        <v>220</v>
      </c>
      <c r="C7" s="456"/>
      <c r="D7" s="456"/>
      <c r="E7" s="456"/>
      <c r="F7" s="456"/>
      <c r="G7" s="456"/>
      <c r="H7" s="456"/>
      <c r="I7" s="456"/>
      <c r="J7" s="456"/>
      <c r="K7" s="456"/>
      <c r="L7" s="147"/>
      <c r="M7" s="147"/>
      <c r="N7" s="147"/>
      <c r="O7" s="148"/>
      <c r="P7" s="247"/>
      <c r="Q7" s="211">
        <v>33</v>
      </c>
      <c r="R7" s="208"/>
      <c r="S7" s="224"/>
      <c r="T7" s="223"/>
      <c r="U7" s="224"/>
      <c r="V7" s="206"/>
      <c r="W7" s="206"/>
      <c r="X7" s="206"/>
      <c r="Y7" s="206"/>
      <c r="Z7" s="206"/>
      <c r="AA7" s="206"/>
      <c r="AB7" s="206"/>
      <c r="AC7" s="206"/>
      <c r="AD7" s="226"/>
      <c r="AE7" s="227"/>
      <c r="AF7" s="227"/>
      <c r="AG7" s="227"/>
      <c r="AH7" s="212">
        <v>33</v>
      </c>
      <c r="AI7" s="198"/>
      <c r="AJ7" s="377"/>
      <c r="AK7" s="377"/>
      <c r="AL7" s="377"/>
      <c r="AM7" s="377"/>
      <c r="AN7" s="377"/>
      <c r="AO7" s="377"/>
      <c r="AP7" s="198"/>
      <c r="AQ7" s="198"/>
      <c r="AR7" s="198"/>
      <c r="AS7" s="198"/>
      <c r="AT7" s="310"/>
      <c r="AU7" s="274"/>
      <c r="CZ7" s="143"/>
      <c r="DA7" s="143"/>
      <c r="DB7" s="143"/>
      <c r="DC7" s="143"/>
      <c r="DD7" s="143"/>
      <c r="DE7" s="143"/>
      <c r="DF7" s="143"/>
      <c r="DG7" s="143"/>
      <c r="DH7" s="143"/>
      <c r="DI7" s="143"/>
      <c r="DJ7" s="143"/>
      <c r="DK7" s="143"/>
      <c r="DL7" s="143"/>
      <c r="DM7" s="143"/>
      <c r="DN7" s="254"/>
      <c r="DO7" s="255">
        <v>2580</v>
      </c>
      <c r="DP7" s="256">
        <f>U15</f>
        <v>0</v>
      </c>
      <c r="DQ7" s="254" t="str">
        <f t="shared" si="1"/>
        <v/>
      </c>
      <c r="DR7" s="254" t="str">
        <f t="shared" si="2"/>
        <v/>
      </c>
      <c r="DS7" s="254" t="str">
        <f t="shared" si="3"/>
        <v/>
      </c>
      <c r="DT7" s="254" t="str">
        <f t="shared" si="4"/>
        <v/>
      </c>
      <c r="DU7" s="254"/>
      <c r="DV7" s="255"/>
      <c r="DW7" s="143"/>
      <c r="DX7" s="143"/>
      <c r="DY7" s="143"/>
      <c r="DZ7" s="143"/>
      <c r="EA7" s="143"/>
      <c r="EB7" s="143"/>
      <c r="EC7" s="143"/>
      <c r="ED7" s="143"/>
    </row>
    <row r="8" spans="1:134" ht="26.7" customHeight="1" thickTop="1" thickBot="1">
      <c r="A8" s="142"/>
      <c r="B8" s="150" t="s">
        <v>216</v>
      </c>
      <c r="C8" s="151"/>
      <c r="D8" s="151"/>
      <c r="E8" s="151"/>
      <c r="F8" s="147"/>
      <c r="G8" s="147"/>
      <c r="H8" s="147"/>
      <c r="I8" s="147"/>
      <c r="J8" s="147"/>
      <c r="K8" s="147"/>
      <c r="L8" s="154">
        <v>0.4</v>
      </c>
      <c r="M8" s="466" t="str">
        <f>IF(OR(L8&lt;0,L8&gt;1),"ERROR: Please enter a release mortality between 0-100%",IF(AND(L8&lt;&gt;0.4),"CAUTION: SEDAR 15 estimated recreational release mortality is 40%; your assumption may be unrealistic.  ",IF(L8&lt;0.15,"CAUTION: Estimated release mortalities: SEDAR 15 = 40%, Gulf of Mexico = 15%; your assumption may be unrealistic.  ","")))</f>
        <v/>
      </c>
      <c r="N8" s="467"/>
      <c r="O8" s="468"/>
      <c r="P8" s="247"/>
      <c r="Q8" s="211">
        <v>32</v>
      </c>
      <c r="R8" s="208"/>
      <c r="S8" s="224" t="s">
        <v>101</v>
      </c>
      <c r="T8" s="224"/>
      <c r="U8" s="206"/>
      <c r="V8" s="206" t="s">
        <v>23</v>
      </c>
      <c r="W8" s="206" t="s">
        <v>271</v>
      </c>
      <c r="X8" s="206"/>
      <c r="Y8" s="206"/>
      <c r="Z8" s="206"/>
      <c r="AA8" s="206"/>
      <c r="AB8" s="206"/>
      <c r="AC8" s="226"/>
      <c r="AD8" s="227"/>
      <c r="AE8" s="227"/>
      <c r="AF8" s="227"/>
      <c r="AG8" s="227"/>
      <c r="AH8" s="212">
        <v>32</v>
      </c>
      <c r="AI8" s="198"/>
      <c r="AJ8" s="377"/>
      <c r="AK8" s="377"/>
      <c r="AL8" s="377"/>
      <c r="AM8" s="377"/>
      <c r="AN8" s="377"/>
      <c r="AO8" s="377"/>
      <c r="AP8" s="198"/>
      <c r="AQ8" s="198"/>
      <c r="AR8" s="198"/>
      <c r="AS8" s="198"/>
      <c r="AT8" s="310"/>
      <c r="AU8" s="274"/>
      <c r="CZ8" s="143"/>
      <c r="DA8" s="143"/>
      <c r="DB8" s="143"/>
      <c r="DC8" s="143"/>
      <c r="DD8" s="143"/>
      <c r="DE8" s="143"/>
      <c r="DF8" s="143"/>
      <c r="DG8" s="143"/>
      <c r="DH8" s="143"/>
      <c r="DI8" s="143"/>
      <c r="DJ8" s="143"/>
      <c r="DK8" s="143"/>
      <c r="DL8" s="143"/>
      <c r="DM8" s="143"/>
      <c r="DN8" s="254"/>
      <c r="DO8" s="255">
        <v>2679</v>
      </c>
      <c r="DP8" s="256">
        <f>V14</f>
        <v>0</v>
      </c>
      <c r="DQ8" s="254" t="str">
        <f t="shared" si="1"/>
        <v/>
      </c>
      <c r="DR8" s="254" t="str">
        <f t="shared" si="2"/>
        <v/>
      </c>
      <c r="DS8" s="254" t="str">
        <f t="shared" si="3"/>
        <v/>
      </c>
      <c r="DT8" s="254" t="str">
        <f t="shared" si="4"/>
        <v/>
      </c>
      <c r="DU8" s="254"/>
      <c r="DV8" s="255"/>
      <c r="DW8" s="143"/>
      <c r="DX8" s="143"/>
      <c r="DY8" s="143"/>
      <c r="DZ8" s="143"/>
      <c r="EA8" s="143"/>
      <c r="EB8" s="143"/>
      <c r="EC8" s="143"/>
      <c r="ED8" s="143"/>
    </row>
    <row r="9" spans="1:134" ht="26.7" customHeight="1" thickTop="1" thickBot="1">
      <c r="A9" s="142"/>
      <c r="B9" s="446" t="s">
        <v>174</v>
      </c>
      <c r="C9" s="456"/>
      <c r="D9" s="456"/>
      <c r="E9" s="456"/>
      <c r="F9" s="456"/>
      <c r="G9" s="456"/>
      <c r="H9" s="456"/>
      <c r="I9" s="456"/>
      <c r="J9" s="456"/>
      <c r="K9" s="456"/>
      <c r="L9" s="147"/>
      <c r="M9" s="469"/>
      <c r="N9" s="469"/>
      <c r="O9" s="470"/>
      <c r="P9" s="248"/>
      <c r="Q9" s="211">
        <v>31</v>
      </c>
      <c r="R9" s="208"/>
      <c r="S9" s="224"/>
      <c r="T9" s="206"/>
      <c r="U9" s="206" t="s">
        <v>23</v>
      </c>
      <c r="V9" s="206" t="s">
        <v>23</v>
      </c>
      <c r="W9" s="206"/>
      <c r="X9" s="206"/>
      <c r="Y9" s="206"/>
      <c r="Z9" s="206"/>
      <c r="AA9" s="206"/>
      <c r="AB9" s="226"/>
      <c r="AC9" s="227"/>
      <c r="AD9" s="227"/>
      <c r="AE9" s="312" t="s">
        <v>168</v>
      </c>
      <c r="AF9" s="227"/>
      <c r="AG9" s="227"/>
      <c r="AH9" s="212">
        <v>31</v>
      </c>
      <c r="AI9" s="198"/>
      <c r="AJ9" s="377"/>
      <c r="AK9" s="377"/>
      <c r="AL9" s="377"/>
      <c r="AM9" s="377"/>
      <c r="AN9" s="377"/>
      <c r="AO9" s="377"/>
      <c r="AP9" s="198"/>
      <c r="AQ9" s="198"/>
      <c r="AR9" s="198"/>
      <c r="AS9" s="198"/>
      <c r="AT9" s="310"/>
      <c r="AU9" s="274"/>
      <c r="CZ9" s="143"/>
      <c r="DA9" s="143"/>
      <c r="DB9" s="143"/>
      <c r="DC9" s="143"/>
      <c r="DD9" s="143"/>
      <c r="DE9" s="143"/>
      <c r="DF9" s="143"/>
      <c r="DG9" s="143"/>
      <c r="DH9" s="143"/>
      <c r="DI9" s="143"/>
      <c r="DJ9" s="143"/>
      <c r="DK9" s="143"/>
      <c r="DL9" s="143"/>
      <c r="DM9" s="143"/>
      <c r="DN9" s="254"/>
      <c r="DO9" s="255">
        <v>2680</v>
      </c>
      <c r="DP9" s="256">
        <f>U14</f>
        <v>0</v>
      </c>
      <c r="DQ9" s="254" t="str">
        <f t="shared" si="1"/>
        <v/>
      </c>
      <c r="DR9" s="254" t="str">
        <f t="shared" si="2"/>
        <v/>
      </c>
      <c r="DS9" s="254" t="str">
        <f t="shared" si="3"/>
        <v/>
      </c>
      <c r="DT9" s="254" t="str">
        <f t="shared" si="4"/>
        <v/>
      </c>
      <c r="DU9" s="254"/>
      <c r="DV9" s="255"/>
      <c r="DW9" s="143"/>
      <c r="DX9" s="143"/>
      <c r="DY9" s="143"/>
      <c r="DZ9" s="143"/>
      <c r="EA9" s="143"/>
      <c r="EB9" s="143"/>
      <c r="EC9" s="143"/>
      <c r="ED9" s="143"/>
    </row>
    <row r="10" spans="1:134" ht="26.7" customHeight="1" thickTop="1" thickBot="1">
      <c r="A10" s="142"/>
      <c r="B10" s="150" t="s">
        <v>217</v>
      </c>
      <c r="C10" s="151"/>
      <c r="D10" s="151"/>
      <c r="E10" s="151"/>
      <c r="F10" s="147"/>
      <c r="G10" s="147"/>
      <c r="H10" s="147"/>
      <c r="I10" s="147"/>
      <c r="J10" s="147"/>
      <c r="K10" s="147"/>
      <c r="L10" s="154">
        <v>0.9</v>
      </c>
      <c r="M10" s="466" t="str">
        <f>IF(OR(L10&lt;0,L10&gt;1),"ERROR: Please enter a release mortality between 0-100%",IF(AND(L10&lt;&gt;0.9),"CAUTION: SEDAR 15 estimated commercial release mortality is 90%; your assumption may be unrealistic.  ",IF(L10&lt;0.72,"CAUTION: Estimated release mortalities: SEDAR 15 = 90%, Gulf of Mexico = 72%; your assumption may be unrealistic.  ","")))</f>
        <v/>
      </c>
      <c r="N10" s="467"/>
      <c r="O10" s="468"/>
      <c r="P10" s="249"/>
      <c r="Q10" s="211">
        <v>30</v>
      </c>
      <c r="R10" s="208"/>
      <c r="S10" s="228"/>
      <c r="T10" s="206"/>
      <c r="U10" s="206" t="s">
        <v>23</v>
      </c>
      <c r="V10" s="206"/>
      <c r="W10" s="206"/>
      <c r="X10" s="206"/>
      <c r="Y10" s="206"/>
      <c r="Z10" s="206"/>
      <c r="AA10" s="226"/>
      <c r="AB10" s="227"/>
      <c r="AC10" s="227"/>
      <c r="AD10" s="227"/>
      <c r="AE10" s="227"/>
      <c r="AF10" s="227"/>
      <c r="AG10" s="227"/>
      <c r="AH10" s="212">
        <v>30</v>
      </c>
      <c r="AI10" s="198"/>
      <c r="AJ10" s="377"/>
      <c r="AK10" s="377"/>
      <c r="AL10" s="377"/>
      <c r="AM10" s="377"/>
      <c r="AN10" s="377"/>
      <c r="AO10" s="377"/>
      <c r="AP10" s="198"/>
      <c r="AQ10" s="198"/>
      <c r="AR10" s="198"/>
      <c r="AS10" s="198"/>
      <c r="AT10" s="310"/>
      <c r="AU10" s="274"/>
      <c r="CZ10" s="143"/>
      <c r="DA10" s="143"/>
      <c r="DB10" s="143"/>
      <c r="DC10" s="143"/>
      <c r="DD10" s="143"/>
      <c r="DE10" s="143"/>
      <c r="DF10" s="143"/>
      <c r="DG10" s="143"/>
      <c r="DH10" s="143"/>
      <c r="DI10" s="143"/>
      <c r="DJ10" s="143"/>
      <c r="DK10" s="143"/>
      <c r="DL10" s="143"/>
      <c r="DM10" s="143"/>
      <c r="DN10" s="254"/>
      <c r="DO10" s="255">
        <v>2778</v>
      </c>
      <c r="DP10" s="256">
        <f>W13</f>
        <v>0</v>
      </c>
      <c r="DQ10" s="254" t="str">
        <f t="shared" si="1"/>
        <v/>
      </c>
      <c r="DR10" s="254" t="str">
        <f t="shared" si="2"/>
        <v/>
      </c>
      <c r="DS10" s="254" t="str">
        <f t="shared" si="3"/>
        <v/>
      </c>
      <c r="DT10" s="254" t="str">
        <f t="shared" si="4"/>
        <v/>
      </c>
      <c r="DU10" s="254"/>
      <c r="DV10" s="255"/>
      <c r="DW10" s="143"/>
      <c r="DX10" s="143"/>
      <c r="DY10" s="143"/>
      <c r="DZ10" s="143"/>
      <c r="EA10" s="143"/>
      <c r="EB10" s="143"/>
      <c r="EC10" s="143"/>
      <c r="ED10" s="143"/>
    </row>
    <row r="11" spans="1:134" ht="26.7" customHeight="1" thickTop="1" thickBot="1">
      <c r="A11" s="142"/>
      <c r="B11" s="446" t="s">
        <v>175</v>
      </c>
      <c r="C11" s="456"/>
      <c r="D11" s="456"/>
      <c r="E11" s="456"/>
      <c r="F11" s="456"/>
      <c r="G11" s="456"/>
      <c r="H11" s="456"/>
      <c r="I11" s="456"/>
      <c r="J11" s="456"/>
      <c r="K11" s="456"/>
      <c r="L11" s="147"/>
      <c r="M11" s="469"/>
      <c r="N11" s="469"/>
      <c r="O11" s="470"/>
      <c r="P11" s="248"/>
      <c r="Q11" s="211">
        <v>29</v>
      </c>
      <c r="R11" s="209"/>
      <c r="S11" s="224"/>
      <c r="T11" s="206"/>
      <c r="U11" s="206" t="s">
        <v>23</v>
      </c>
      <c r="V11" s="206"/>
      <c r="W11" s="206"/>
      <c r="X11" s="206"/>
      <c r="Y11" s="206"/>
      <c r="Z11" s="226"/>
      <c r="AA11" s="227"/>
      <c r="AB11" s="227"/>
      <c r="AC11" s="227"/>
      <c r="AD11" s="227"/>
      <c r="AE11" s="227"/>
      <c r="AF11" s="227"/>
      <c r="AG11" s="227"/>
      <c r="AH11" s="212">
        <v>29</v>
      </c>
      <c r="AI11" s="198"/>
      <c r="AJ11" s="377"/>
      <c r="AK11" s="377"/>
      <c r="AL11" s="377"/>
      <c r="AM11" s="377"/>
      <c r="AN11" s="377"/>
      <c r="AO11" s="377"/>
      <c r="AP11" s="198"/>
      <c r="AQ11" s="198"/>
      <c r="AR11" s="198"/>
      <c r="AS11" s="198"/>
      <c r="AT11" s="310"/>
      <c r="AU11" s="274"/>
      <c r="CZ11" s="143"/>
      <c r="DA11" s="143"/>
      <c r="DB11" s="143"/>
      <c r="DC11" s="143"/>
      <c r="DD11" s="143"/>
      <c r="DE11" s="143"/>
      <c r="DF11" s="143"/>
      <c r="DG11" s="143"/>
      <c r="DH11" s="143"/>
      <c r="DI11" s="143"/>
      <c r="DJ11" s="143"/>
      <c r="DK11" s="143"/>
      <c r="DL11" s="143"/>
      <c r="DM11" s="143"/>
      <c r="DN11" s="254"/>
      <c r="DO11" s="255">
        <v>2779</v>
      </c>
      <c r="DP11" s="256">
        <f>V13</f>
        <v>0</v>
      </c>
      <c r="DQ11" s="254" t="str">
        <f t="shared" si="1"/>
        <v/>
      </c>
      <c r="DR11" s="254" t="str">
        <f t="shared" si="2"/>
        <v/>
      </c>
      <c r="DS11" s="254" t="str">
        <f t="shared" si="3"/>
        <v/>
      </c>
      <c r="DT11" s="254" t="str">
        <f t="shared" si="4"/>
        <v/>
      </c>
      <c r="DU11" s="254"/>
      <c r="DV11" s="255"/>
      <c r="DW11" s="143"/>
      <c r="DX11" s="143"/>
      <c r="DY11" s="143"/>
      <c r="DZ11" s="143"/>
      <c r="EA11" s="143"/>
      <c r="EB11" s="143"/>
      <c r="EC11" s="143"/>
      <c r="ED11" s="143"/>
    </row>
    <row r="12" spans="1:134" ht="26.7" customHeight="1" thickBot="1">
      <c r="A12" s="142"/>
      <c r="B12" s="236" t="s">
        <v>218</v>
      </c>
      <c r="C12" s="237"/>
      <c r="D12" s="237"/>
      <c r="E12" s="237"/>
      <c r="F12" s="147"/>
      <c r="G12" s="147"/>
      <c r="H12" s="147"/>
      <c r="I12" s="147"/>
      <c r="J12" s="147"/>
      <c r="K12" s="147"/>
      <c r="L12" s="147"/>
      <c r="M12" s="147"/>
      <c r="N12" s="147"/>
      <c r="O12" s="147"/>
      <c r="P12" s="249"/>
      <c r="Q12" s="211">
        <v>28</v>
      </c>
      <c r="R12" s="208"/>
      <c r="S12" s="225"/>
      <c r="T12" s="224"/>
      <c r="U12" s="206" t="s">
        <v>23</v>
      </c>
      <c r="V12" s="206"/>
      <c r="W12" s="206"/>
      <c r="X12" s="206"/>
      <c r="Y12" s="226"/>
      <c r="Z12" s="227"/>
      <c r="AA12" s="227"/>
      <c r="AB12" s="227"/>
      <c r="AC12" s="227"/>
      <c r="AD12" s="227"/>
      <c r="AE12" s="227"/>
      <c r="AF12" s="227"/>
      <c r="AG12" s="227"/>
      <c r="AH12" s="212">
        <v>28</v>
      </c>
      <c r="AI12" s="198"/>
      <c r="AJ12" s="377"/>
      <c r="AK12" s="377"/>
      <c r="AL12" s="377"/>
      <c r="AM12" s="377"/>
      <c r="AN12" s="377"/>
      <c r="AO12" s="377"/>
      <c r="AP12" s="198"/>
      <c r="AQ12" s="198"/>
      <c r="AR12" s="198"/>
      <c r="AS12" s="198"/>
      <c r="AT12" s="310"/>
      <c r="AU12" s="274"/>
      <c r="CZ12" s="143"/>
      <c r="DA12" s="143"/>
      <c r="DB12" s="143"/>
      <c r="DC12" s="143"/>
      <c r="DD12" s="143"/>
      <c r="DE12" s="143"/>
      <c r="DF12" s="143"/>
      <c r="DG12" s="143"/>
      <c r="DH12" s="143"/>
      <c r="DI12" s="143"/>
      <c r="DJ12" s="143"/>
      <c r="DK12" s="143"/>
      <c r="DL12" s="143"/>
      <c r="DM12" s="143"/>
      <c r="DN12" s="254"/>
      <c r="DO12" s="255">
        <v>2780</v>
      </c>
      <c r="DP12" s="256">
        <f>U13</f>
        <v>0</v>
      </c>
      <c r="DQ12" s="254" t="str">
        <f t="shared" si="1"/>
        <v/>
      </c>
      <c r="DR12" s="254" t="str">
        <f t="shared" si="2"/>
        <v/>
      </c>
      <c r="DS12" s="254" t="str">
        <f t="shared" si="3"/>
        <v/>
      </c>
      <c r="DT12" s="254" t="str">
        <f t="shared" si="4"/>
        <v/>
      </c>
      <c r="DU12" s="254"/>
      <c r="DV12" s="255"/>
      <c r="DW12" s="143"/>
      <c r="DX12" s="143"/>
      <c r="DY12" s="143"/>
      <c r="DZ12" s="143"/>
      <c r="EA12" s="143"/>
      <c r="EB12" s="143"/>
      <c r="EC12" s="143"/>
      <c r="ED12" s="143"/>
    </row>
    <row r="13" spans="1:134" ht="26.7" customHeight="1" thickBot="1">
      <c r="A13" s="142"/>
      <c r="B13" s="153"/>
      <c r="C13" s="155"/>
      <c r="D13" s="151"/>
      <c r="E13" s="151"/>
      <c r="F13" s="147"/>
      <c r="G13" s="147"/>
      <c r="H13" s="147"/>
      <c r="I13" s="147"/>
      <c r="J13" s="147"/>
      <c r="K13" s="147"/>
      <c r="L13" s="361" t="s">
        <v>245</v>
      </c>
      <c r="M13" s="361" t="s">
        <v>244</v>
      </c>
      <c r="N13" s="361" t="s">
        <v>246</v>
      </c>
      <c r="O13" s="147"/>
      <c r="P13" s="250"/>
      <c r="Q13" s="211">
        <v>27</v>
      </c>
      <c r="R13" s="208"/>
      <c r="S13" s="224"/>
      <c r="T13" s="228"/>
      <c r="U13" s="206"/>
      <c r="V13" s="206"/>
      <c r="W13" s="206"/>
      <c r="X13" s="226"/>
      <c r="Y13" s="227"/>
      <c r="Z13" s="227"/>
      <c r="AA13" s="227"/>
      <c r="AB13" s="227"/>
      <c r="AC13" s="227"/>
      <c r="AD13" s="227"/>
      <c r="AE13" s="227"/>
      <c r="AF13" s="227"/>
      <c r="AG13" s="227"/>
      <c r="AH13" s="212">
        <v>27</v>
      </c>
      <c r="AI13" s="210"/>
      <c r="AJ13" s="198"/>
      <c r="AK13" s="198"/>
      <c r="AL13" s="198"/>
      <c r="AM13" s="198"/>
      <c r="AN13" s="198"/>
      <c r="AO13" s="198"/>
      <c r="AP13" s="198"/>
      <c r="AQ13" s="198"/>
      <c r="AR13" s="198"/>
      <c r="AS13" s="198"/>
      <c r="AT13" s="310"/>
      <c r="AU13" s="274"/>
      <c r="BO13" s="156"/>
      <c r="BP13" s="156"/>
      <c r="CZ13" s="143"/>
      <c r="DA13" s="143"/>
      <c r="DB13" s="143"/>
      <c r="DC13" s="143"/>
      <c r="DD13" s="143"/>
      <c r="DE13" s="143"/>
      <c r="DF13" s="143"/>
      <c r="DG13" s="143"/>
      <c r="DH13" s="143"/>
      <c r="DI13" s="143"/>
      <c r="DJ13" s="143"/>
      <c r="DK13" s="143"/>
      <c r="DL13" s="143"/>
      <c r="DM13" s="143"/>
      <c r="DN13" s="254"/>
      <c r="DO13" s="255">
        <v>2877</v>
      </c>
      <c r="DP13" s="256">
        <f>X12</f>
        <v>0</v>
      </c>
      <c r="DQ13" s="254" t="str">
        <f t="shared" si="1"/>
        <v/>
      </c>
      <c r="DR13" s="254" t="str">
        <f t="shared" si="2"/>
        <v/>
      </c>
      <c r="DS13" s="254" t="str">
        <f t="shared" si="3"/>
        <v/>
      </c>
      <c r="DT13" s="254" t="str">
        <f t="shared" si="4"/>
        <v/>
      </c>
      <c r="DU13" s="254"/>
      <c r="DV13" s="255"/>
      <c r="DW13" s="143"/>
      <c r="DX13" s="143"/>
      <c r="DY13" s="143"/>
      <c r="DZ13" s="143"/>
      <c r="EA13" s="143"/>
      <c r="EB13" s="143"/>
      <c r="EC13" s="143"/>
      <c r="ED13" s="143"/>
    </row>
    <row r="14" spans="1:134" ht="26.7" customHeight="1" thickTop="1" thickBot="1">
      <c r="A14" s="142"/>
      <c r="B14" s="150" t="s">
        <v>247</v>
      </c>
      <c r="C14" s="155"/>
      <c r="D14" s="151"/>
      <c r="E14" s="151"/>
      <c r="F14" s="147"/>
      <c r="G14" s="147"/>
      <c r="H14" s="147"/>
      <c r="I14" s="147"/>
      <c r="J14" s="147"/>
      <c r="K14" s="147"/>
      <c r="L14" s="152"/>
      <c r="M14" s="152" t="s">
        <v>23</v>
      </c>
      <c r="N14" s="152"/>
      <c r="O14" s="360"/>
      <c r="P14" s="250"/>
      <c r="Q14" s="211">
        <v>26</v>
      </c>
      <c r="R14" s="208"/>
      <c r="S14" s="224"/>
      <c r="T14" s="224"/>
      <c r="U14" s="206"/>
      <c r="V14" s="206"/>
      <c r="W14" s="229"/>
      <c r="X14" s="227"/>
      <c r="Y14" s="227"/>
      <c r="Z14" s="227"/>
      <c r="AA14" s="227"/>
      <c r="AB14" s="227"/>
      <c r="AC14" s="227"/>
      <c r="AD14" s="227"/>
      <c r="AE14" s="227"/>
      <c r="AF14" s="227"/>
      <c r="AG14" s="227"/>
      <c r="AH14" s="212">
        <v>26</v>
      </c>
      <c r="AI14" s="198"/>
      <c r="AJ14" s="198"/>
      <c r="AK14" s="198"/>
      <c r="AL14" s="198"/>
      <c r="AM14" s="198"/>
      <c r="AN14" s="198"/>
      <c r="AO14" s="198"/>
      <c r="AP14" s="198"/>
      <c r="AQ14" s="198"/>
      <c r="AR14" s="198"/>
      <c r="AS14" s="198"/>
      <c r="AT14" s="310"/>
      <c r="AU14" s="274"/>
      <c r="BO14" s="156"/>
      <c r="BP14" s="156"/>
      <c r="CZ14" s="143"/>
      <c r="DA14" s="143"/>
      <c r="DB14" s="143"/>
      <c r="DC14" s="143"/>
      <c r="DD14" s="143"/>
      <c r="DE14" s="143"/>
      <c r="DF14" s="143"/>
      <c r="DG14" s="143"/>
      <c r="DH14" s="143"/>
      <c r="DI14" s="143"/>
      <c r="DJ14" s="143"/>
      <c r="DK14" s="143"/>
      <c r="DL14" s="143"/>
      <c r="DM14" s="143"/>
      <c r="DN14" s="254"/>
      <c r="DO14" s="255">
        <v>2878</v>
      </c>
      <c r="DP14" s="256">
        <f>W12</f>
        <v>0</v>
      </c>
      <c r="DQ14" s="254" t="str">
        <f t="shared" si="1"/>
        <v/>
      </c>
      <c r="DR14" s="254" t="str">
        <f t="shared" si="2"/>
        <v/>
      </c>
      <c r="DS14" s="254" t="str">
        <f t="shared" si="3"/>
        <v/>
      </c>
      <c r="DT14" s="254" t="str">
        <f t="shared" si="4"/>
        <v/>
      </c>
      <c r="DU14" s="254"/>
      <c r="DV14" s="255"/>
      <c r="DW14" s="143"/>
      <c r="DX14" s="143"/>
      <c r="DY14" s="143"/>
      <c r="DZ14" s="143"/>
      <c r="EA14" s="143"/>
      <c r="EB14" s="143"/>
      <c r="EC14" s="143"/>
      <c r="ED14" s="143"/>
    </row>
    <row r="15" spans="1:134" ht="26.7" customHeight="1" thickTop="1" thickBot="1">
      <c r="A15" s="142"/>
      <c r="B15" s="446" t="s">
        <v>248</v>
      </c>
      <c r="C15" s="456"/>
      <c r="D15" s="456"/>
      <c r="E15" s="456"/>
      <c r="F15" s="456"/>
      <c r="G15" s="456"/>
      <c r="H15" s="456"/>
      <c r="I15" s="456"/>
      <c r="J15" s="471" t="str">
        <f>IF(LEN(CONCATENATE(L14,M14,N14))&gt;1,"ERROR: Please select only one bathymetric closure depth range!  ",IF(AND(ISBLANK($L$14),ISBLANK($M$14),ISBLANK($N$14)),"","CAUTION: Reductions associated with bathymetric closure are highly uncertain.  "))</f>
        <v xml:space="preserve">CAUTION: Reductions associated with bathymetric closure are highly uncertain.  </v>
      </c>
      <c r="K15" s="472"/>
      <c r="L15" s="472"/>
      <c r="M15" s="472"/>
      <c r="N15" s="472"/>
      <c r="O15" s="157"/>
      <c r="P15" s="251"/>
      <c r="Q15" s="213">
        <v>25</v>
      </c>
      <c r="R15" s="208"/>
      <c r="S15" s="230"/>
      <c r="T15" s="224"/>
      <c r="U15" s="206"/>
      <c r="V15" s="206"/>
      <c r="W15" s="231"/>
      <c r="X15" s="232"/>
      <c r="Y15" s="307" t="str">
        <f>IF(NOT(ISBLANK($L$14)),"Closure between 98-240 ft in selected grids.",IF(NOT(ISBLANK($M$14)),"Closure between 66-240 ft in selected grids.",IF(NOT(ISBLANK($N$14)),"Closure between 66-300 ft in selected grids.","")))</f>
        <v>Closure between 66-240 ft in selected grids.</v>
      </c>
      <c r="Z15" s="232"/>
      <c r="AA15" s="232"/>
      <c r="AB15" s="232"/>
      <c r="AC15" s="232"/>
      <c r="AD15" s="232"/>
      <c r="AE15" s="232"/>
      <c r="AF15" s="232"/>
      <c r="AG15" s="232"/>
      <c r="AH15" s="214">
        <v>25</v>
      </c>
      <c r="AI15" s="198"/>
      <c r="AJ15" s="198"/>
      <c r="AK15" s="198"/>
      <c r="AL15" s="198"/>
      <c r="AM15" s="198"/>
      <c r="AN15" s="198"/>
      <c r="AO15" s="198"/>
      <c r="AP15" s="198"/>
      <c r="AQ15" s="198"/>
      <c r="AR15" s="198"/>
      <c r="AS15" s="198"/>
      <c r="AT15" s="310"/>
      <c r="AU15" s="274"/>
      <c r="BO15" s="156"/>
      <c r="BP15" s="156"/>
      <c r="CZ15" s="143"/>
      <c r="DA15" s="143"/>
      <c r="DB15" s="143"/>
      <c r="DC15" s="143"/>
      <c r="DD15" s="143"/>
      <c r="DE15" s="143"/>
      <c r="DF15" s="143"/>
      <c r="DG15" s="143"/>
      <c r="DH15" s="143"/>
      <c r="DI15" s="143"/>
      <c r="DJ15" s="143"/>
      <c r="DK15" s="143"/>
      <c r="DL15" s="143"/>
      <c r="DM15" s="143"/>
      <c r="DN15" s="254"/>
      <c r="DO15" s="255">
        <v>2879</v>
      </c>
      <c r="DP15" s="256">
        <f>V12</f>
        <v>0</v>
      </c>
      <c r="DQ15" s="254" t="str">
        <f t="shared" si="1"/>
        <v/>
      </c>
      <c r="DR15" s="254" t="str">
        <f t="shared" si="2"/>
        <v/>
      </c>
      <c r="DS15" s="254" t="str">
        <f t="shared" si="3"/>
        <v/>
      </c>
      <c r="DT15" s="254" t="str">
        <f t="shared" si="4"/>
        <v/>
      </c>
      <c r="DU15" s="254"/>
      <c r="DV15" s="255"/>
      <c r="DW15" s="143"/>
      <c r="DX15" s="143"/>
      <c r="DY15" s="143"/>
      <c r="DZ15" s="143"/>
      <c r="EA15" s="143"/>
      <c r="EB15" s="143"/>
      <c r="EC15" s="143"/>
      <c r="ED15" s="143"/>
    </row>
    <row r="16" spans="1:134" ht="26.7" customHeight="1" thickBot="1">
      <c r="A16" s="142"/>
      <c r="B16" s="150" t="s">
        <v>126</v>
      </c>
      <c r="C16" s="151"/>
      <c r="D16" s="151"/>
      <c r="E16" s="151"/>
      <c r="F16" s="147"/>
      <c r="G16" s="147"/>
      <c r="H16" s="147"/>
      <c r="I16" s="147"/>
      <c r="J16" s="147"/>
      <c r="K16" s="147"/>
      <c r="L16" s="147"/>
      <c r="M16" s="147"/>
      <c r="N16" s="147"/>
      <c r="O16" s="147"/>
      <c r="Q16" s="211">
        <v>24</v>
      </c>
      <c r="R16" s="208"/>
      <c r="S16" s="206"/>
      <c r="T16" s="206"/>
      <c r="U16" s="206"/>
      <c r="V16" s="206"/>
      <c r="W16" s="233"/>
      <c r="X16" s="234"/>
      <c r="Y16" s="234"/>
      <c r="Z16" s="234"/>
      <c r="AA16" s="234"/>
      <c r="AB16" s="234"/>
      <c r="AC16" s="234"/>
      <c r="AD16" s="234"/>
      <c r="AE16" s="234"/>
      <c r="AF16" s="234"/>
      <c r="AG16" s="234"/>
      <c r="AH16" s="215">
        <v>24</v>
      </c>
      <c r="AI16" s="198"/>
      <c r="AJ16" s="198"/>
      <c r="AK16" s="198"/>
      <c r="AL16" s="198"/>
      <c r="AM16" s="198"/>
      <c r="AN16" s="198"/>
      <c r="AO16" s="198"/>
      <c r="AP16" s="198"/>
      <c r="AQ16" s="198"/>
      <c r="AR16" s="198"/>
      <c r="AS16" s="198"/>
      <c r="AT16" s="310"/>
      <c r="AU16" s="274"/>
      <c r="CZ16" s="143"/>
      <c r="DA16" s="143"/>
      <c r="DB16" s="143"/>
      <c r="DC16" s="143"/>
      <c r="DD16" s="143"/>
      <c r="DE16" s="143"/>
      <c r="DF16" s="143"/>
      <c r="DG16" s="143"/>
      <c r="DH16" s="143"/>
      <c r="DI16" s="143"/>
      <c r="DJ16" s="143"/>
      <c r="DK16" s="143"/>
      <c r="DL16" s="143"/>
      <c r="DM16" s="143"/>
      <c r="DN16" s="254"/>
      <c r="DO16" s="255">
        <v>2880</v>
      </c>
      <c r="DP16" s="256" t="str">
        <f>U12</f>
        <v>X</v>
      </c>
      <c r="DQ16" s="254" t="str">
        <f t="shared" si="1"/>
        <v xml:space="preserve">2880, </v>
      </c>
      <c r="DR16" s="254" t="str">
        <f t="shared" si="2"/>
        <v/>
      </c>
      <c r="DS16" s="254" t="str">
        <f t="shared" si="3"/>
        <v xml:space="preserve">2880, </v>
      </c>
      <c r="DT16" s="254" t="str">
        <f t="shared" si="4"/>
        <v/>
      </c>
      <c r="DU16" s="254"/>
      <c r="DV16" s="255"/>
      <c r="DW16" s="143"/>
      <c r="DX16" s="143"/>
      <c r="DY16" s="143"/>
      <c r="DZ16" s="143"/>
      <c r="EA16" s="143"/>
      <c r="EB16" s="143"/>
      <c r="EC16" s="143"/>
      <c r="ED16" s="143"/>
    </row>
    <row r="17" spans="1:134" ht="21.6" customHeight="1" thickBot="1">
      <c r="A17" s="142"/>
      <c r="B17" s="238" t="str">
        <f>IF($B$19="n/a","No spatial closures selected.",IF(AND(LEN(CONCATENATE(B29,I17,L17))=0),"Note: If you select a bathymetric closure in #6a, entering 100% below = 100% closure between specified depths",""))</f>
        <v>Note: If you select a bathymetric closure in #6a, entering 100% below = 100% closure between specified depths</v>
      </c>
      <c r="C17" s="151"/>
      <c r="D17" s="151"/>
      <c r="E17" s="158"/>
      <c r="F17" s="159"/>
      <c r="G17" s="159"/>
      <c r="H17" s="159"/>
      <c r="I17" s="147"/>
      <c r="J17" s="159"/>
      <c r="K17" s="147"/>
      <c r="L17" s="459" t="str">
        <f>IF(OR(NOT(ISNUMBER(AVERAGE(C19:N28))),COUNT(C19:N28)&lt;&gt;COUNTA(C19:N28),MAX(C19:N28)&gt;1,MIN(C19:N28)&lt;0),"ERROR: Please only enter percentages between 0-100% in the monthly closure table.  ","")</f>
        <v/>
      </c>
      <c r="M17" s="460"/>
      <c r="N17" s="460"/>
      <c r="O17" s="461"/>
      <c r="P17" s="250"/>
      <c r="Q17" s="216"/>
      <c r="R17" s="217">
        <v>83</v>
      </c>
      <c r="S17" s="218">
        <v>82</v>
      </c>
      <c r="T17" s="219">
        <v>81</v>
      </c>
      <c r="U17" s="219">
        <v>80</v>
      </c>
      <c r="V17" s="219">
        <v>79</v>
      </c>
      <c r="W17" s="219">
        <v>78</v>
      </c>
      <c r="X17" s="219">
        <v>77</v>
      </c>
      <c r="Y17" s="219">
        <v>76</v>
      </c>
      <c r="Z17" s="219">
        <v>75</v>
      </c>
      <c r="AA17" s="219">
        <v>74</v>
      </c>
      <c r="AB17" s="219">
        <v>73</v>
      </c>
      <c r="AC17" s="219">
        <v>72</v>
      </c>
      <c r="AD17" s="219">
        <v>71</v>
      </c>
      <c r="AE17" s="219">
        <v>70</v>
      </c>
      <c r="AF17" s="219">
        <v>69</v>
      </c>
      <c r="AG17" s="220">
        <v>68</v>
      </c>
      <c r="AH17" s="221"/>
      <c r="AI17" s="198"/>
      <c r="AJ17" s="200"/>
      <c r="AK17" s="200"/>
      <c r="AL17" s="200"/>
      <c r="AM17" s="200"/>
      <c r="AN17" s="200"/>
      <c r="AO17" s="200"/>
      <c r="AP17" s="200"/>
      <c r="AQ17" s="200"/>
      <c r="AR17" s="200"/>
      <c r="AS17" s="200"/>
      <c r="AT17" s="254"/>
      <c r="AU17" s="274"/>
      <c r="CZ17" s="143"/>
      <c r="DA17" s="143"/>
      <c r="DB17" s="143"/>
      <c r="DC17" s="143"/>
      <c r="DD17" s="143"/>
      <c r="DE17" s="143"/>
      <c r="DF17" s="143"/>
      <c r="DG17" s="143"/>
      <c r="DH17" s="143"/>
      <c r="DI17" s="143"/>
      <c r="DJ17" s="143"/>
      <c r="DK17" s="143"/>
      <c r="DL17" s="143"/>
      <c r="DM17" s="143"/>
      <c r="DN17" s="254"/>
      <c r="DO17" s="255">
        <v>2976</v>
      </c>
      <c r="DP17" s="256">
        <f>Y11</f>
        <v>0</v>
      </c>
      <c r="DQ17" s="254" t="str">
        <f t="shared" si="1"/>
        <v/>
      </c>
      <c r="DR17" s="254" t="str">
        <f t="shared" si="2"/>
        <v/>
      </c>
      <c r="DS17" s="254" t="str">
        <f t="shared" si="3"/>
        <v xml:space="preserve">2880, </v>
      </c>
      <c r="DT17" s="254" t="str">
        <f t="shared" si="4"/>
        <v/>
      </c>
      <c r="DU17" s="254"/>
      <c r="DV17" s="255"/>
      <c r="DW17" s="143"/>
      <c r="DX17" s="143"/>
      <c r="DY17" s="143"/>
      <c r="DZ17" s="143"/>
      <c r="EA17" s="143"/>
      <c r="EB17" s="143"/>
      <c r="EC17" s="143"/>
      <c r="ED17" s="143"/>
    </row>
    <row r="18" spans="1:134" ht="19.2" thickTop="1" thickBot="1">
      <c r="A18" s="142"/>
      <c r="B18" s="160" t="str">
        <f>IF(B29&lt;&gt;"n/a","CELL","")</f>
        <v>CELL</v>
      </c>
      <c r="C18" s="161" t="str">
        <f>IF(B29&lt;&gt;"n/a","Jan","")</f>
        <v>Jan</v>
      </c>
      <c r="D18" s="161" t="s">
        <v>4</v>
      </c>
      <c r="E18" s="161" t="s">
        <v>5</v>
      </c>
      <c r="F18" s="161" t="s">
        <v>6</v>
      </c>
      <c r="G18" s="161" t="s">
        <v>7</v>
      </c>
      <c r="H18" s="161" t="s">
        <v>8</v>
      </c>
      <c r="I18" s="161" t="s">
        <v>9</v>
      </c>
      <c r="J18" s="161" t="s">
        <v>10</v>
      </c>
      <c r="K18" s="161" t="s">
        <v>11</v>
      </c>
      <c r="L18" s="161" t="s">
        <v>12</v>
      </c>
      <c r="M18" s="161" t="s">
        <v>13</v>
      </c>
      <c r="N18" s="161" t="s">
        <v>14</v>
      </c>
      <c r="O18" s="147"/>
      <c r="P18" s="357"/>
      <c r="Q18" s="5"/>
      <c r="R18" s="5"/>
      <c r="S18" s="6"/>
      <c r="T18" s="6"/>
      <c r="U18" s="6"/>
      <c r="V18" s="6"/>
      <c r="W18" s="6"/>
      <c r="X18" s="6"/>
      <c r="Y18" s="6"/>
      <c r="Z18" s="200"/>
      <c r="AA18" s="200"/>
      <c r="AB18" s="200"/>
      <c r="AC18" s="200"/>
      <c r="AD18" s="200"/>
      <c r="AE18" s="200"/>
      <c r="AF18" s="200"/>
      <c r="AG18" s="200"/>
      <c r="AH18" s="200"/>
      <c r="AI18" s="200"/>
      <c r="AJ18" s="200"/>
      <c r="AK18" s="200"/>
      <c r="AL18" s="200"/>
      <c r="AM18" s="200"/>
      <c r="AN18" s="200"/>
      <c r="AO18" s="200"/>
      <c r="AP18" s="200"/>
      <c r="AQ18" s="200"/>
      <c r="AR18" s="200"/>
      <c r="AS18" s="200"/>
      <c r="AT18" s="254"/>
      <c r="AU18" s="274"/>
      <c r="CZ18" s="143"/>
      <c r="DA18" s="143"/>
      <c r="DB18" s="143"/>
      <c r="DC18" s="143"/>
      <c r="DD18" s="143"/>
      <c r="DE18" s="143"/>
      <c r="DF18" s="143"/>
      <c r="DG18" s="143"/>
      <c r="DH18" s="143"/>
      <c r="DI18" s="143"/>
      <c r="DJ18" s="143"/>
      <c r="DK18" s="143"/>
      <c r="DL18" s="143"/>
      <c r="DM18" s="143"/>
      <c r="DN18" s="254"/>
      <c r="DO18" s="255">
        <v>2977</v>
      </c>
      <c r="DP18" s="256">
        <f>X11</f>
        <v>0</v>
      </c>
      <c r="DQ18" s="254" t="str">
        <f t="shared" si="1"/>
        <v/>
      </c>
      <c r="DR18" s="254" t="str">
        <f t="shared" si="2"/>
        <v/>
      </c>
      <c r="DS18" s="254" t="str">
        <f t="shared" si="3"/>
        <v xml:space="preserve">2880, </v>
      </c>
      <c r="DT18" s="254" t="str">
        <f t="shared" si="4"/>
        <v/>
      </c>
      <c r="DU18" s="254"/>
      <c r="DV18" s="255"/>
      <c r="DW18" s="143"/>
      <c r="DX18" s="143"/>
      <c r="DY18" s="143"/>
      <c r="DZ18" s="143"/>
      <c r="EA18" s="143"/>
      <c r="EB18" s="143"/>
      <c r="EC18" s="143"/>
      <c r="ED18" s="143"/>
    </row>
    <row r="19" spans="1:134" ht="19.2" thickTop="1" thickBot="1">
      <c r="A19" s="142"/>
      <c r="B19" s="160">
        <f>IF(LEN('User Interface (Start Here!)'!$DS$73)&gt;=4,VALUE(LEFT('User Interface (Start Here!)'!$DS$73,4)),"n/a")</f>
        <v>3279</v>
      </c>
      <c r="C19" s="162">
        <v>1</v>
      </c>
      <c r="D19" s="163">
        <v>1</v>
      </c>
      <c r="E19" s="163">
        <v>1</v>
      </c>
      <c r="F19" s="163">
        <v>1</v>
      </c>
      <c r="G19" s="163">
        <v>1</v>
      </c>
      <c r="H19" s="163">
        <v>1</v>
      </c>
      <c r="I19" s="163">
        <v>1</v>
      </c>
      <c r="J19" s="163">
        <v>1</v>
      </c>
      <c r="K19" s="163">
        <v>1</v>
      </c>
      <c r="L19" s="163">
        <v>1</v>
      </c>
      <c r="M19" s="163">
        <v>1</v>
      </c>
      <c r="N19" s="163">
        <v>1</v>
      </c>
      <c r="O19" s="164" t="str">
        <f>IF(B19&lt;&gt;"n/a",IF(SUM(C19:N19)&lt;&gt;1200%,CONCATENATE(B19,", "),""),"")</f>
        <v/>
      </c>
      <c r="P19" s="357" t="s">
        <v>243</v>
      </c>
      <c r="Q19" s="5"/>
      <c r="R19" s="5"/>
      <c r="S19" s="6"/>
      <c r="T19" s="6"/>
      <c r="U19" s="6"/>
      <c r="V19" s="6"/>
      <c r="W19" s="6"/>
      <c r="X19" s="6"/>
      <c r="Y19" s="6"/>
      <c r="Z19" s="199"/>
      <c r="AA19" s="200"/>
      <c r="AB19" s="200"/>
      <c r="AC19" s="200"/>
      <c r="AD19" s="200"/>
      <c r="AE19" s="200"/>
      <c r="AF19" s="200"/>
      <c r="AG19" s="200"/>
      <c r="AH19" s="200"/>
      <c r="AI19" s="200"/>
      <c r="AJ19" s="200"/>
      <c r="AK19" s="200"/>
      <c r="AL19" s="200"/>
      <c r="AM19" s="200"/>
      <c r="AN19" s="200"/>
      <c r="AO19" s="200"/>
      <c r="AP19" s="200"/>
      <c r="AQ19" s="200"/>
      <c r="AR19" s="200"/>
      <c r="AS19" s="200"/>
      <c r="AT19" s="254"/>
      <c r="AU19" s="275"/>
      <c r="AV19" s="276"/>
      <c r="AW19" s="277"/>
      <c r="AX19" s="277"/>
      <c r="AY19" s="277"/>
      <c r="AZ19" s="277"/>
      <c r="BA19" s="277"/>
      <c r="BB19" s="277"/>
      <c r="BC19" s="277"/>
      <c r="BD19" s="277"/>
      <c r="BE19" s="277"/>
      <c r="BF19" s="277"/>
      <c r="BG19" s="277"/>
      <c r="BH19" s="277"/>
      <c r="BI19" s="277"/>
      <c r="BJ19" s="277"/>
      <c r="BK19" s="277"/>
      <c r="BL19" s="277"/>
      <c r="BM19" s="277"/>
      <c r="BN19" s="277"/>
      <c r="CZ19" s="143"/>
      <c r="DA19" s="143"/>
      <c r="DB19" s="143"/>
      <c r="DC19" s="143"/>
      <c r="DD19" s="143"/>
      <c r="DE19" s="143"/>
      <c r="DF19" s="143"/>
      <c r="DG19" s="143"/>
      <c r="DH19" s="143"/>
      <c r="DI19" s="143"/>
      <c r="DJ19" s="143"/>
      <c r="DK19" s="143"/>
      <c r="DL19" s="143"/>
      <c r="DM19" s="143"/>
      <c r="DN19" s="254"/>
      <c r="DO19" s="255">
        <v>2978</v>
      </c>
      <c r="DP19" s="256">
        <f>W11</f>
        <v>0</v>
      </c>
      <c r="DQ19" s="254" t="str">
        <f t="shared" si="1"/>
        <v/>
      </c>
      <c r="DR19" s="254" t="str">
        <f t="shared" si="2"/>
        <v/>
      </c>
      <c r="DS19" s="254" t="str">
        <f t="shared" si="3"/>
        <v xml:space="preserve">2880, </v>
      </c>
      <c r="DT19" s="254" t="str">
        <f t="shared" si="4"/>
        <v/>
      </c>
      <c r="DU19" s="254"/>
      <c r="DV19" s="255"/>
      <c r="DW19" s="143"/>
      <c r="DX19" s="143"/>
      <c r="DY19" s="143"/>
      <c r="DZ19" s="143"/>
      <c r="EA19" s="143"/>
      <c r="EB19" s="143"/>
      <c r="EC19" s="143"/>
      <c r="ED19" s="143"/>
    </row>
    <row r="20" spans="1:134" ht="19.2" thickTop="1" thickBot="1">
      <c r="A20" s="142"/>
      <c r="B20" s="160">
        <f>IF(LEN('User Interface (Start Here!)'!$DS$73)&gt;=10,VALUE(RIGHT(LEFT('User Interface (Start Here!)'!$DS$73,10),4)),"n/a")</f>
        <v>3278</v>
      </c>
      <c r="C20" s="165">
        <v>1</v>
      </c>
      <c r="D20" s="154">
        <v>1</v>
      </c>
      <c r="E20" s="154">
        <v>1</v>
      </c>
      <c r="F20" s="154">
        <v>1</v>
      </c>
      <c r="G20" s="154">
        <v>1</v>
      </c>
      <c r="H20" s="154">
        <v>1</v>
      </c>
      <c r="I20" s="154">
        <v>1</v>
      </c>
      <c r="J20" s="154">
        <v>1</v>
      </c>
      <c r="K20" s="154">
        <v>1</v>
      </c>
      <c r="L20" s="154">
        <v>1</v>
      </c>
      <c r="M20" s="154">
        <v>1</v>
      </c>
      <c r="N20" s="154">
        <v>1</v>
      </c>
      <c r="O20" s="164" t="str">
        <f t="shared" ref="O20:O28" si="5">IF(B20&lt;&gt;"n/a",IF(SUM(C20:N20)&lt;&gt;1200%,CONCATENATE(B20,", "),""),"")</f>
        <v/>
      </c>
      <c r="P20" s="358" t="s">
        <v>243</v>
      </c>
      <c r="Q20" s="5"/>
      <c r="R20" s="5"/>
      <c r="S20" s="6"/>
      <c r="T20" s="6"/>
      <c r="U20" s="6"/>
      <c r="V20" s="6"/>
      <c r="W20" s="6"/>
      <c r="X20" s="6"/>
      <c r="Y20" s="6"/>
      <c r="Z20" s="199"/>
      <c r="AA20" s="200"/>
      <c r="AB20" s="200"/>
      <c r="AC20" s="200"/>
      <c r="AD20" s="200"/>
      <c r="AE20" s="200"/>
      <c r="AF20" s="200"/>
      <c r="AG20" s="200"/>
      <c r="AH20" s="200"/>
      <c r="AI20" s="200"/>
      <c r="AJ20" s="200"/>
      <c r="AK20" s="200"/>
      <c r="AL20" s="200"/>
      <c r="AM20" s="200"/>
      <c r="AN20" s="200"/>
      <c r="AO20" s="200"/>
      <c r="AP20" s="200"/>
      <c r="AQ20" s="200"/>
      <c r="AR20" s="200"/>
      <c r="AS20" s="200"/>
      <c r="AT20" s="254"/>
      <c r="AU20" s="274"/>
      <c r="AV20" s="278"/>
      <c r="AW20" s="279"/>
      <c r="AX20" s="279"/>
      <c r="AY20" s="279"/>
      <c r="AZ20" s="279"/>
      <c r="BA20" s="279"/>
      <c r="BB20" s="279"/>
      <c r="BC20" s="279"/>
      <c r="BD20" s="279"/>
      <c r="BE20" s="280"/>
      <c r="BF20" s="280"/>
      <c r="BG20" s="280"/>
      <c r="BH20" s="280"/>
      <c r="BI20" s="280"/>
      <c r="BJ20" s="280"/>
      <c r="BK20" s="280"/>
      <c r="BL20" s="279"/>
      <c r="BM20" s="279"/>
      <c r="CZ20" s="143"/>
      <c r="DA20" s="143"/>
      <c r="DB20" s="143"/>
      <c r="DC20" s="143"/>
      <c r="DD20" s="143"/>
      <c r="DE20" s="143"/>
      <c r="DF20" s="143"/>
      <c r="DG20" s="143"/>
      <c r="DH20" s="143"/>
      <c r="DI20" s="143"/>
      <c r="DJ20" s="143"/>
      <c r="DK20" s="143"/>
      <c r="DL20" s="143"/>
      <c r="DM20" s="143"/>
      <c r="DN20" s="254"/>
      <c r="DO20" s="255">
        <v>2979</v>
      </c>
      <c r="DP20" s="256">
        <f>V11</f>
        <v>0</v>
      </c>
      <c r="DQ20" s="254" t="str">
        <f t="shared" si="1"/>
        <v/>
      </c>
      <c r="DR20" s="254" t="str">
        <f t="shared" si="2"/>
        <v/>
      </c>
      <c r="DS20" s="254" t="str">
        <f t="shared" si="3"/>
        <v xml:space="preserve">2880, </v>
      </c>
      <c r="DT20" s="254" t="str">
        <f t="shared" si="4"/>
        <v/>
      </c>
      <c r="DU20" s="254"/>
      <c r="DV20" s="255"/>
      <c r="DW20" s="143"/>
      <c r="DX20" s="143"/>
      <c r="DY20" s="143"/>
      <c r="DZ20" s="143"/>
      <c r="EA20" s="143"/>
      <c r="EB20" s="143"/>
      <c r="EC20" s="143"/>
      <c r="ED20" s="143"/>
    </row>
    <row r="21" spans="1:134" ht="19.2" thickTop="1" thickBot="1">
      <c r="A21" s="142"/>
      <c r="B21" s="160">
        <f>IF(LEN('User Interface (Start Here!)'!$DS$73)&gt;=16,VALUE(RIGHT(LEFT('User Interface (Start Here!)'!$DS$73,16),4)),"n/a")</f>
        <v>3180</v>
      </c>
      <c r="C21" s="165">
        <v>1</v>
      </c>
      <c r="D21" s="154">
        <v>1</v>
      </c>
      <c r="E21" s="154">
        <v>1</v>
      </c>
      <c r="F21" s="154">
        <v>1</v>
      </c>
      <c r="G21" s="154">
        <v>1</v>
      </c>
      <c r="H21" s="154">
        <v>1</v>
      </c>
      <c r="I21" s="154">
        <v>1</v>
      </c>
      <c r="J21" s="154">
        <v>1</v>
      </c>
      <c r="K21" s="154">
        <v>1</v>
      </c>
      <c r="L21" s="154">
        <v>1</v>
      </c>
      <c r="M21" s="154">
        <v>1</v>
      </c>
      <c r="N21" s="154">
        <v>1</v>
      </c>
      <c r="O21" s="164" t="str">
        <f t="shared" si="5"/>
        <v/>
      </c>
      <c r="P21" s="358" t="s">
        <v>243</v>
      </c>
      <c r="Q21" s="5"/>
      <c r="R21" s="5"/>
      <c r="S21" s="6"/>
      <c r="T21" s="6"/>
      <c r="U21" s="6"/>
      <c r="V21" s="6"/>
      <c r="W21" s="6"/>
      <c r="X21" s="6"/>
      <c r="Y21" s="6"/>
      <c r="Z21" s="199"/>
      <c r="AA21" s="200"/>
      <c r="AB21" s="200"/>
      <c r="AC21" s="200"/>
      <c r="AD21" s="200"/>
      <c r="AE21" s="200"/>
      <c r="AF21" s="200"/>
      <c r="AG21" s="200"/>
      <c r="AH21" s="200"/>
      <c r="AI21" s="200"/>
      <c r="AJ21" s="200"/>
      <c r="AK21" s="200"/>
      <c r="AL21" s="200"/>
      <c r="AM21" s="200"/>
      <c r="AN21" s="200"/>
      <c r="AO21" s="200"/>
      <c r="AP21" s="200"/>
      <c r="AQ21" s="200"/>
      <c r="AR21" s="200"/>
      <c r="AS21" s="200"/>
      <c r="AT21" s="254"/>
      <c r="AU21" s="274"/>
      <c r="AV21" s="278"/>
      <c r="AW21" s="279"/>
      <c r="AX21" s="279"/>
      <c r="AY21" s="279"/>
      <c r="AZ21" s="281"/>
      <c r="BA21" s="279"/>
      <c r="BB21" s="279"/>
      <c r="BC21" s="279"/>
      <c r="BD21" s="279"/>
      <c r="BE21" s="280"/>
      <c r="BF21" s="280"/>
      <c r="BG21" s="280"/>
      <c r="BH21" s="280"/>
      <c r="BI21" s="280"/>
      <c r="BJ21" s="280"/>
      <c r="BK21" s="280"/>
      <c r="BL21" s="279"/>
      <c r="BM21" s="279"/>
      <c r="CZ21" s="143"/>
      <c r="DA21" s="143"/>
      <c r="DB21" s="143"/>
      <c r="DC21" s="143"/>
      <c r="DD21" s="143"/>
      <c r="DE21" s="143"/>
      <c r="DF21" s="143"/>
      <c r="DG21" s="143"/>
      <c r="DH21" s="143"/>
      <c r="DI21" s="143"/>
      <c r="DJ21" s="143"/>
      <c r="DK21" s="143"/>
      <c r="DL21" s="143"/>
      <c r="DM21" s="143"/>
      <c r="DN21" s="254"/>
      <c r="DO21" s="255">
        <v>2980</v>
      </c>
      <c r="DP21" s="256" t="str">
        <f>U11</f>
        <v>X</v>
      </c>
      <c r="DQ21" s="254" t="str">
        <f t="shared" si="1"/>
        <v xml:space="preserve">2980, </v>
      </c>
      <c r="DR21" s="254" t="str">
        <f t="shared" si="2"/>
        <v/>
      </c>
      <c r="DS21" s="254" t="str">
        <f t="shared" si="3"/>
        <v xml:space="preserve">2980, 2880, </v>
      </c>
      <c r="DT21" s="254" t="str">
        <f t="shared" si="4"/>
        <v/>
      </c>
      <c r="DU21" s="254"/>
      <c r="DV21" s="255"/>
      <c r="DW21" s="143"/>
      <c r="DX21" s="143"/>
      <c r="DY21" s="143"/>
      <c r="DZ21" s="143"/>
      <c r="EA21" s="143"/>
      <c r="EB21" s="143"/>
      <c r="EC21" s="143"/>
      <c r="ED21" s="143"/>
    </row>
    <row r="22" spans="1:134" ht="19.2" thickTop="1" thickBot="1">
      <c r="A22" s="142"/>
      <c r="B22" s="160">
        <f>IF(LEN('User Interface (Start Here!)'!$DS$73)&gt;=22,VALUE(RIGHT(LEFT('User Interface (Start Here!)'!$DS$73,22),4)),"n/a")</f>
        <v>3179</v>
      </c>
      <c r="C22" s="165">
        <v>1</v>
      </c>
      <c r="D22" s="154">
        <v>1</v>
      </c>
      <c r="E22" s="154">
        <v>1</v>
      </c>
      <c r="F22" s="154">
        <v>1</v>
      </c>
      <c r="G22" s="154">
        <v>1</v>
      </c>
      <c r="H22" s="154">
        <v>1</v>
      </c>
      <c r="I22" s="154">
        <v>1</v>
      </c>
      <c r="J22" s="154">
        <v>1</v>
      </c>
      <c r="K22" s="154">
        <v>1</v>
      </c>
      <c r="L22" s="154">
        <v>1</v>
      </c>
      <c r="M22" s="154">
        <v>1</v>
      </c>
      <c r="N22" s="154">
        <v>1</v>
      </c>
      <c r="O22" s="164" t="str">
        <f t="shared" si="5"/>
        <v/>
      </c>
      <c r="P22" s="358" t="s">
        <v>243</v>
      </c>
      <c r="Q22" s="5"/>
      <c r="R22" s="5"/>
      <c r="S22" s="6"/>
      <c r="T22" s="6"/>
      <c r="U22" s="6"/>
      <c r="V22" s="6"/>
      <c r="W22" s="6"/>
      <c r="X22" s="6"/>
      <c r="Y22" s="6"/>
      <c r="Z22" s="199"/>
      <c r="AA22" s="200"/>
      <c r="AB22" s="200"/>
      <c r="AC22" s="200"/>
      <c r="AD22" s="200"/>
      <c r="AE22" s="200"/>
      <c r="AF22" s="200"/>
      <c r="AG22" s="200"/>
      <c r="AH22" s="200"/>
      <c r="AI22" s="200"/>
      <c r="AJ22" s="200"/>
      <c r="AK22" s="200"/>
      <c r="AL22" s="200"/>
      <c r="AM22" s="200"/>
      <c r="AN22" s="200"/>
      <c r="AO22" s="200"/>
      <c r="AP22" s="200"/>
      <c r="AQ22" s="200"/>
      <c r="AR22" s="200"/>
      <c r="AS22" s="200"/>
      <c r="AT22" s="254"/>
      <c r="AU22" s="274"/>
      <c r="AV22" s="278"/>
      <c r="AW22" s="279"/>
      <c r="AX22" s="279"/>
      <c r="AY22" s="279"/>
      <c r="AZ22" s="279"/>
      <c r="BA22" s="279"/>
      <c r="BB22" s="279"/>
      <c r="BC22" s="279"/>
      <c r="BD22" s="279"/>
      <c r="BE22" s="280"/>
      <c r="BF22" s="280"/>
      <c r="BG22" s="280"/>
      <c r="BH22" s="280"/>
      <c r="BI22" s="280"/>
      <c r="BJ22" s="280"/>
      <c r="BK22" s="280"/>
      <c r="BL22" s="279"/>
      <c r="BM22" s="279"/>
      <c r="CZ22" s="143"/>
      <c r="DA22" s="143"/>
      <c r="DB22" s="143"/>
      <c r="DC22" s="143"/>
      <c r="DD22" s="143"/>
      <c r="DE22" s="143"/>
      <c r="DF22" s="143"/>
      <c r="DG22" s="143"/>
      <c r="DH22" s="143"/>
      <c r="DI22" s="143"/>
      <c r="DJ22" s="143"/>
      <c r="DK22" s="143"/>
      <c r="DL22" s="143"/>
      <c r="DM22" s="143"/>
      <c r="DN22" s="254"/>
      <c r="DO22" s="255">
        <v>2981</v>
      </c>
      <c r="DP22" s="256">
        <f>T11</f>
        <v>0</v>
      </c>
      <c r="DQ22" s="254" t="str">
        <f t="shared" si="1"/>
        <v/>
      </c>
      <c r="DR22" s="254" t="str">
        <f t="shared" si="2"/>
        <v/>
      </c>
      <c r="DS22" s="254" t="str">
        <f t="shared" si="3"/>
        <v xml:space="preserve">2980, 2880, </v>
      </c>
      <c r="DT22" s="254" t="str">
        <f t="shared" si="4"/>
        <v/>
      </c>
      <c r="DU22" s="254"/>
      <c r="DV22" s="255"/>
      <c r="DW22" s="143"/>
      <c r="DX22" s="143"/>
      <c r="DY22" s="143"/>
      <c r="DZ22" s="143"/>
      <c r="EA22" s="143"/>
      <c r="EB22" s="143"/>
      <c r="EC22" s="143"/>
      <c r="ED22" s="143"/>
    </row>
    <row r="23" spans="1:134" ht="19.2" thickTop="1" thickBot="1">
      <c r="A23" s="142"/>
      <c r="B23" s="160">
        <f>IF(LEN('User Interface (Start Here!)'!$DS$73)&gt;=28,VALUE(RIGHT(LEFT('User Interface (Start Here!)'!$DS$73,28),4)),"n/a")</f>
        <v>3080</v>
      </c>
      <c r="C23" s="165">
        <v>1</v>
      </c>
      <c r="D23" s="154">
        <v>1</v>
      </c>
      <c r="E23" s="154">
        <v>1</v>
      </c>
      <c r="F23" s="154">
        <v>1</v>
      </c>
      <c r="G23" s="154">
        <v>1</v>
      </c>
      <c r="H23" s="154">
        <v>1</v>
      </c>
      <c r="I23" s="154">
        <v>1</v>
      </c>
      <c r="J23" s="154">
        <v>1</v>
      </c>
      <c r="K23" s="154">
        <v>1</v>
      </c>
      <c r="L23" s="154">
        <v>1</v>
      </c>
      <c r="M23" s="154">
        <v>1</v>
      </c>
      <c r="N23" s="154">
        <v>1</v>
      </c>
      <c r="O23" s="164" t="str">
        <f t="shared" si="5"/>
        <v/>
      </c>
      <c r="P23" s="358" t="s">
        <v>243</v>
      </c>
      <c r="Q23" s="5"/>
      <c r="R23" s="5"/>
      <c r="S23" s="6"/>
      <c r="T23" s="6"/>
      <c r="U23" s="6"/>
      <c r="V23" s="6"/>
      <c r="W23" s="6"/>
      <c r="X23" s="6"/>
      <c r="Y23" s="6"/>
      <c r="Z23" s="199"/>
      <c r="AA23" s="200"/>
      <c r="AB23" s="200"/>
      <c r="AC23" s="200"/>
      <c r="AD23" s="200"/>
      <c r="AE23" s="200"/>
      <c r="AF23" s="200"/>
      <c r="AG23" s="200"/>
      <c r="AH23" s="200"/>
      <c r="AI23" s="200"/>
      <c r="AJ23" s="200"/>
      <c r="AK23" s="200"/>
      <c r="AL23" s="200"/>
      <c r="AM23" s="200"/>
      <c r="AN23" s="200"/>
      <c r="AO23" s="200"/>
      <c r="AP23" s="200"/>
      <c r="AQ23" s="200"/>
      <c r="AR23" s="200"/>
      <c r="AS23" s="200"/>
      <c r="AT23" s="254"/>
      <c r="AU23" s="274"/>
      <c r="AV23" s="278"/>
      <c r="AW23" s="279"/>
      <c r="AX23" s="279"/>
      <c r="AY23" s="279"/>
      <c r="AZ23" s="279"/>
      <c r="BA23" s="279"/>
      <c r="BB23" s="279"/>
      <c r="BC23" s="279"/>
      <c r="BD23" s="279"/>
      <c r="BE23" s="280"/>
      <c r="BF23" s="280"/>
      <c r="BG23" s="280"/>
      <c r="BH23" s="280"/>
      <c r="BI23" s="280"/>
      <c r="BJ23" s="280"/>
      <c r="BK23" s="280"/>
      <c r="BL23" s="279"/>
      <c r="BM23" s="279"/>
      <c r="CZ23" s="143"/>
      <c r="DA23" s="143"/>
      <c r="DB23" s="143"/>
      <c r="DC23" s="143"/>
      <c r="DD23" s="143"/>
      <c r="DE23" s="143"/>
      <c r="DF23" s="143"/>
      <c r="DG23" s="143"/>
      <c r="DH23" s="143"/>
      <c r="DI23" s="143"/>
      <c r="DJ23" s="143"/>
      <c r="DK23" s="143"/>
      <c r="DL23" s="143"/>
      <c r="DM23" s="143"/>
      <c r="DN23" s="254"/>
      <c r="DO23" s="255">
        <v>3075</v>
      </c>
      <c r="DP23" s="256">
        <f>Z10</f>
        <v>0</v>
      </c>
      <c r="DQ23" s="254" t="str">
        <f t="shared" si="1"/>
        <v/>
      </c>
      <c r="DR23" s="254" t="str">
        <f t="shared" si="2"/>
        <v/>
      </c>
      <c r="DS23" s="254" t="str">
        <f t="shared" si="3"/>
        <v xml:space="preserve">2980, 2880, </v>
      </c>
      <c r="DT23" s="254" t="str">
        <f t="shared" si="4"/>
        <v/>
      </c>
      <c r="DU23" s="254"/>
      <c r="DV23" s="255"/>
      <c r="DW23" s="143"/>
      <c r="DX23" s="143"/>
      <c r="DY23" s="143"/>
      <c r="DZ23" s="143"/>
      <c r="EA23" s="143"/>
      <c r="EB23" s="143"/>
      <c r="EC23" s="143"/>
      <c r="ED23" s="143"/>
    </row>
    <row r="24" spans="1:134" ht="19.2" thickTop="1" thickBot="1">
      <c r="A24" s="142"/>
      <c r="B24" s="160">
        <f>IF(LEN('User Interface (Start Here!)'!$DS$73)&gt;=34,VALUE(RIGHT(LEFT('User Interface (Start Here!)'!$DS$73,34),4)),"n/a")</f>
        <v>2980</v>
      </c>
      <c r="C24" s="165">
        <v>1</v>
      </c>
      <c r="D24" s="154">
        <v>1</v>
      </c>
      <c r="E24" s="154">
        <v>1</v>
      </c>
      <c r="F24" s="154">
        <v>1</v>
      </c>
      <c r="G24" s="154">
        <v>1</v>
      </c>
      <c r="H24" s="154">
        <v>1</v>
      </c>
      <c r="I24" s="154">
        <v>1</v>
      </c>
      <c r="J24" s="154">
        <v>1</v>
      </c>
      <c r="K24" s="154">
        <v>1</v>
      </c>
      <c r="L24" s="154">
        <v>1</v>
      </c>
      <c r="M24" s="154">
        <v>1</v>
      </c>
      <c r="N24" s="154">
        <v>1</v>
      </c>
      <c r="O24" s="164" t="str">
        <f t="shared" si="5"/>
        <v/>
      </c>
      <c r="P24" s="358" t="s">
        <v>243</v>
      </c>
      <c r="Q24" s="5"/>
      <c r="R24" s="5"/>
      <c r="S24" s="6"/>
      <c r="T24" s="6"/>
      <c r="U24" s="6"/>
      <c r="V24" s="6"/>
      <c r="W24" s="6"/>
      <c r="X24" s="6"/>
      <c r="Y24" s="6"/>
      <c r="Z24" s="199"/>
      <c r="AA24" s="200"/>
      <c r="AB24" s="200"/>
      <c r="AC24" s="200"/>
      <c r="AD24" s="200"/>
      <c r="AE24" s="200"/>
      <c r="AF24" s="200"/>
      <c r="AG24" s="200"/>
      <c r="AH24" s="200"/>
      <c r="AI24" s="200"/>
      <c r="AJ24" s="200"/>
      <c r="AK24" s="200"/>
      <c r="AL24" s="200"/>
      <c r="AM24" s="200"/>
      <c r="AN24" s="200"/>
      <c r="AO24" s="200"/>
      <c r="AP24" s="200"/>
      <c r="AQ24" s="200"/>
      <c r="AR24" s="200"/>
      <c r="AS24" s="200"/>
      <c r="AT24" s="254"/>
      <c r="AU24" s="274"/>
      <c r="AV24" s="278"/>
      <c r="AW24" s="279"/>
      <c r="AX24" s="279"/>
      <c r="AY24" s="279"/>
      <c r="AZ24" s="279"/>
      <c r="BA24" s="279"/>
      <c r="BB24" s="279"/>
      <c r="BC24" s="279"/>
      <c r="BD24" s="279"/>
      <c r="BE24" s="280"/>
      <c r="BF24" s="280"/>
      <c r="BG24" s="280"/>
      <c r="BH24" s="280"/>
      <c r="BI24" s="280"/>
      <c r="BJ24" s="280"/>
      <c r="BK24" s="280"/>
      <c r="BL24" s="279"/>
      <c r="BM24" s="279"/>
      <c r="CZ24" s="143"/>
      <c r="DA24" s="143"/>
      <c r="DB24" s="143"/>
      <c r="DC24" s="143"/>
      <c r="DD24" s="143"/>
      <c r="DE24" s="143"/>
      <c r="DF24" s="143"/>
      <c r="DG24" s="143"/>
      <c r="DH24" s="143"/>
      <c r="DI24" s="143"/>
      <c r="DJ24" s="143"/>
      <c r="DK24" s="143"/>
      <c r="DL24" s="143"/>
      <c r="DM24" s="143"/>
      <c r="DN24" s="254"/>
      <c r="DO24" s="255">
        <v>3076</v>
      </c>
      <c r="DP24" s="256">
        <f>Y10</f>
        <v>0</v>
      </c>
      <c r="DQ24" s="254" t="str">
        <f t="shared" si="1"/>
        <v/>
      </c>
      <c r="DR24" s="254" t="str">
        <f t="shared" si="2"/>
        <v/>
      </c>
      <c r="DS24" s="254" t="str">
        <f t="shared" si="3"/>
        <v xml:space="preserve">2980, 2880, </v>
      </c>
      <c r="DT24" s="254" t="str">
        <f t="shared" si="4"/>
        <v/>
      </c>
      <c r="DU24" s="254"/>
      <c r="DV24" s="255"/>
      <c r="DW24" s="143"/>
      <c r="DX24" s="143"/>
      <c r="DY24" s="143"/>
      <c r="DZ24" s="143"/>
      <c r="EA24" s="143"/>
      <c r="EB24" s="143"/>
      <c r="EC24" s="143"/>
      <c r="ED24" s="143"/>
    </row>
    <row r="25" spans="1:134" ht="19.2" thickTop="1" thickBot="1">
      <c r="A25" s="142"/>
      <c r="B25" s="160">
        <f>IF(LEN('User Interface (Start Here!)'!$DS$73)&gt;=40,VALUE(RIGHT(LEFT('User Interface (Start Here!)'!$DS$73,40),4)),"n/a")</f>
        <v>2880</v>
      </c>
      <c r="C25" s="165">
        <v>1</v>
      </c>
      <c r="D25" s="154">
        <v>1</v>
      </c>
      <c r="E25" s="154">
        <v>1</v>
      </c>
      <c r="F25" s="154">
        <v>1</v>
      </c>
      <c r="G25" s="154">
        <v>1</v>
      </c>
      <c r="H25" s="154">
        <v>1</v>
      </c>
      <c r="I25" s="154">
        <v>1</v>
      </c>
      <c r="J25" s="154">
        <v>1</v>
      </c>
      <c r="K25" s="154">
        <v>1</v>
      </c>
      <c r="L25" s="154">
        <v>1</v>
      </c>
      <c r="M25" s="154">
        <v>1</v>
      </c>
      <c r="N25" s="154">
        <v>1</v>
      </c>
      <c r="O25" s="164" t="str">
        <f t="shared" si="5"/>
        <v/>
      </c>
      <c r="P25" s="358" t="s">
        <v>243</v>
      </c>
      <c r="Q25" s="5"/>
      <c r="R25" s="5"/>
      <c r="S25" s="6"/>
      <c r="T25" s="6"/>
      <c r="U25" s="6"/>
      <c r="V25" s="6"/>
      <c r="W25" s="6"/>
      <c r="X25" s="6"/>
      <c r="Y25" s="6"/>
      <c r="Z25" s="199"/>
      <c r="AA25" s="200"/>
      <c r="AB25" s="200"/>
      <c r="AC25" s="200"/>
      <c r="AD25" s="200"/>
      <c r="AE25" s="200"/>
      <c r="AF25" s="200"/>
      <c r="AG25" s="200"/>
      <c r="AH25" s="200"/>
      <c r="AI25" s="200"/>
      <c r="AJ25" s="200"/>
      <c r="AK25" s="200"/>
      <c r="AL25" s="200"/>
      <c r="AM25" s="200"/>
      <c r="AN25" s="200"/>
      <c r="AO25" s="200"/>
      <c r="AP25" s="200"/>
      <c r="AQ25" s="200"/>
      <c r="AR25" s="200"/>
      <c r="AS25" s="200"/>
      <c r="AT25" s="254"/>
      <c r="AU25" s="274"/>
      <c r="AV25" s="278"/>
      <c r="AW25" s="279"/>
      <c r="AX25" s="279"/>
      <c r="AY25" s="279"/>
      <c r="AZ25" s="279"/>
      <c r="BA25" s="279"/>
      <c r="BB25" s="279"/>
      <c r="BC25" s="279"/>
      <c r="BD25" s="279"/>
      <c r="BE25" s="280"/>
      <c r="BF25" s="280"/>
      <c r="BG25" s="280"/>
      <c r="BH25" s="280"/>
      <c r="BI25" s="280"/>
      <c r="BJ25" s="280"/>
      <c r="BK25" s="279"/>
      <c r="BL25" s="279"/>
      <c r="BM25" s="279"/>
      <c r="CZ25" s="143"/>
      <c r="DA25" s="143"/>
      <c r="DB25" s="143"/>
      <c r="DC25" s="143"/>
      <c r="DD25" s="143"/>
      <c r="DE25" s="143"/>
      <c r="DF25" s="143"/>
      <c r="DG25" s="143"/>
      <c r="DH25" s="143"/>
      <c r="DI25" s="143"/>
      <c r="DJ25" s="143"/>
      <c r="DK25" s="143"/>
      <c r="DL25" s="143"/>
      <c r="DM25" s="143"/>
      <c r="DN25" s="254"/>
      <c r="DO25" s="255">
        <v>3077</v>
      </c>
      <c r="DP25" s="256">
        <f>X10</f>
        <v>0</v>
      </c>
      <c r="DQ25" s="254" t="str">
        <f t="shared" si="1"/>
        <v/>
      </c>
      <c r="DR25" s="254" t="str">
        <f t="shared" si="2"/>
        <v/>
      </c>
      <c r="DS25" s="254" t="str">
        <f t="shared" si="3"/>
        <v xml:space="preserve">2980, 2880, </v>
      </c>
      <c r="DT25" s="254" t="str">
        <f t="shared" si="4"/>
        <v/>
      </c>
      <c r="DU25" s="254"/>
      <c r="DV25" s="255"/>
      <c r="DW25" s="143"/>
      <c r="DX25" s="143"/>
      <c r="DY25" s="143"/>
      <c r="DZ25" s="143"/>
      <c r="EA25" s="143"/>
      <c r="EB25" s="143"/>
      <c r="EC25" s="143"/>
      <c r="ED25" s="143"/>
    </row>
    <row r="26" spans="1:134" ht="19.2" thickTop="1" thickBot="1">
      <c r="A26" s="142"/>
      <c r="B26" s="160" t="str">
        <f>IF(LEN('User Interface (Start Here!)'!$DS$73)&gt;=46,VALUE(RIGHT(LEFT('User Interface (Start Here!)'!$DS$73,46),4)),"n/a")</f>
        <v>n/a</v>
      </c>
      <c r="C26" s="165">
        <v>1</v>
      </c>
      <c r="D26" s="154">
        <v>1</v>
      </c>
      <c r="E26" s="154">
        <v>1</v>
      </c>
      <c r="F26" s="154">
        <v>1</v>
      </c>
      <c r="G26" s="154">
        <v>1</v>
      </c>
      <c r="H26" s="154">
        <v>1</v>
      </c>
      <c r="I26" s="154">
        <v>1</v>
      </c>
      <c r="J26" s="154">
        <v>1</v>
      </c>
      <c r="K26" s="154">
        <v>1</v>
      </c>
      <c r="L26" s="154">
        <v>1</v>
      </c>
      <c r="M26" s="154">
        <v>1</v>
      </c>
      <c r="N26" s="154">
        <v>1</v>
      </c>
      <c r="O26" s="164" t="str">
        <f t="shared" si="5"/>
        <v/>
      </c>
      <c r="P26" s="358" t="s">
        <v>243</v>
      </c>
      <c r="Q26" s="5"/>
      <c r="R26" s="5"/>
      <c r="S26" s="6"/>
      <c r="T26" s="6"/>
      <c r="U26" s="6"/>
      <c r="V26" s="6"/>
      <c r="W26" s="6"/>
      <c r="X26" s="6"/>
      <c r="Y26" s="6"/>
      <c r="Z26" s="199"/>
      <c r="AA26" s="200"/>
      <c r="AB26" s="200"/>
      <c r="AC26" s="200"/>
      <c r="AD26" s="200"/>
      <c r="AE26" s="200"/>
      <c r="AF26" s="200"/>
      <c r="AG26" s="200"/>
      <c r="AH26" s="200"/>
      <c r="AI26" s="200"/>
      <c r="AJ26" s="200"/>
      <c r="AK26" s="200"/>
      <c r="AL26" s="200"/>
      <c r="AM26" s="200"/>
      <c r="AN26" s="200"/>
      <c r="AO26" s="200"/>
      <c r="AP26" s="200"/>
      <c r="AQ26" s="200"/>
      <c r="AR26" s="200"/>
      <c r="AS26" s="200"/>
      <c r="AT26" s="254"/>
      <c r="AU26" s="274"/>
      <c r="AV26" s="278"/>
      <c r="AW26" s="279"/>
      <c r="AX26" s="279"/>
      <c r="AY26" s="279"/>
      <c r="AZ26" s="279"/>
      <c r="BA26" s="279"/>
      <c r="BB26" s="279"/>
      <c r="BC26" s="279"/>
      <c r="BD26" s="279"/>
      <c r="BE26" s="280"/>
      <c r="BF26" s="280"/>
      <c r="BG26" s="280"/>
      <c r="BH26" s="280"/>
      <c r="BI26" s="280"/>
      <c r="BJ26" s="280"/>
      <c r="BK26" s="279"/>
      <c r="BL26" s="279"/>
      <c r="BM26" s="279"/>
      <c r="CZ26" s="143"/>
      <c r="DA26" s="143"/>
      <c r="DB26" s="143"/>
      <c r="DC26" s="143"/>
      <c r="DD26" s="143"/>
      <c r="DE26" s="143"/>
      <c r="DF26" s="143"/>
      <c r="DG26" s="143"/>
      <c r="DH26" s="143"/>
      <c r="DI26" s="143"/>
      <c r="DJ26" s="143"/>
      <c r="DK26" s="143"/>
      <c r="DL26" s="143"/>
      <c r="DM26" s="143"/>
      <c r="DN26" s="254"/>
      <c r="DO26" s="255">
        <v>3078</v>
      </c>
      <c r="DP26" s="256">
        <f>W10</f>
        <v>0</v>
      </c>
      <c r="DQ26" s="254" t="str">
        <f t="shared" si="1"/>
        <v/>
      </c>
      <c r="DR26" s="254" t="str">
        <f t="shared" si="2"/>
        <v/>
      </c>
      <c r="DS26" s="254" t="str">
        <f t="shared" si="3"/>
        <v xml:space="preserve">2980, 2880, </v>
      </c>
      <c r="DT26" s="254" t="str">
        <f t="shared" si="4"/>
        <v/>
      </c>
      <c r="DU26" s="254"/>
      <c r="DV26" s="255"/>
      <c r="DW26" s="143"/>
      <c r="DX26" s="143"/>
      <c r="DY26" s="143"/>
      <c r="DZ26" s="143"/>
      <c r="EA26" s="143"/>
      <c r="EB26" s="143"/>
      <c r="EC26" s="143"/>
      <c r="ED26" s="143"/>
    </row>
    <row r="27" spans="1:134" ht="19.2" thickTop="1" thickBot="1">
      <c r="A27" s="142"/>
      <c r="B27" s="160" t="str">
        <f>IF(LEN('User Interface (Start Here!)'!$DS$73)&gt;=52,VALUE(RIGHT(LEFT('User Interface (Start Here!)'!$DS$73,52),4)),"n/a")</f>
        <v>n/a</v>
      </c>
      <c r="C27" s="165">
        <v>1</v>
      </c>
      <c r="D27" s="154">
        <v>1</v>
      </c>
      <c r="E27" s="154">
        <v>1</v>
      </c>
      <c r="F27" s="154">
        <v>1</v>
      </c>
      <c r="G27" s="154">
        <v>1</v>
      </c>
      <c r="H27" s="154">
        <v>1</v>
      </c>
      <c r="I27" s="154">
        <v>1</v>
      </c>
      <c r="J27" s="154">
        <v>1</v>
      </c>
      <c r="K27" s="154">
        <v>1</v>
      </c>
      <c r="L27" s="154">
        <v>1</v>
      </c>
      <c r="M27" s="154">
        <v>1</v>
      </c>
      <c r="N27" s="154">
        <v>1</v>
      </c>
      <c r="O27" s="164" t="str">
        <f t="shared" si="5"/>
        <v/>
      </c>
      <c r="P27" s="358" t="s">
        <v>243</v>
      </c>
      <c r="Q27" s="5"/>
      <c r="R27" s="5"/>
      <c r="S27" s="6"/>
      <c r="T27" s="6"/>
      <c r="U27" s="6"/>
      <c r="V27" s="6"/>
      <c r="W27" s="6"/>
      <c r="X27" s="6"/>
      <c r="Y27" s="6"/>
      <c r="Z27" s="199"/>
      <c r="AA27" s="200"/>
      <c r="AB27" s="200"/>
      <c r="AC27" s="200"/>
      <c r="AD27" s="200"/>
      <c r="AE27" s="200"/>
      <c r="AF27" s="200"/>
      <c r="AG27" s="200"/>
      <c r="AH27" s="200"/>
      <c r="AI27" s="200"/>
      <c r="AJ27" s="200"/>
      <c r="AK27" s="200"/>
      <c r="AL27" s="200"/>
      <c r="AM27" s="200"/>
      <c r="AN27" s="200"/>
      <c r="AO27" s="200"/>
      <c r="AP27" s="200"/>
      <c r="AQ27" s="200"/>
      <c r="AR27" s="200"/>
      <c r="AS27" s="200"/>
      <c r="AT27" s="254"/>
      <c r="AU27" s="274"/>
      <c r="AV27" s="278"/>
      <c r="AW27" s="279"/>
      <c r="AX27" s="279"/>
      <c r="AY27" s="279"/>
      <c r="AZ27" s="279"/>
      <c r="BA27" s="279"/>
      <c r="BB27" s="279"/>
      <c r="BC27" s="280"/>
      <c r="BD27" s="280"/>
      <c r="BE27" s="280"/>
      <c r="BF27" s="280"/>
      <c r="BG27" s="280"/>
      <c r="BH27" s="280"/>
      <c r="BI27" s="280"/>
      <c r="BJ27" s="279"/>
      <c r="BK27" s="279"/>
      <c r="BL27" s="279"/>
      <c r="BM27" s="279"/>
      <c r="CZ27" s="143"/>
      <c r="DA27" s="143"/>
      <c r="DB27" s="143"/>
      <c r="DC27" s="143"/>
      <c r="DD27" s="143"/>
      <c r="DE27" s="143"/>
      <c r="DF27" s="143"/>
      <c r="DG27" s="143"/>
      <c r="DH27" s="143"/>
      <c r="DI27" s="143"/>
      <c r="DJ27" s="143"/>
      <c r="DK27" s="143"/>
      <c r="DL27" s="143"/>
      <c r="DM27" s="143"/>
      <c r="DN27" s="254"/>
      <c r="DO27" s="255">
        <v>3079</v>
      </c>
      <c r="DP27" s="256">
        <f>V10</f>
        <v>0</v>
      </c>
      <c r="DQ27" s="254" t="str">
        <f t="shared" si="1"/>
        <v/>
      </c>
      <c r="DR27" s="254" t="str">
        <f t="shared" si="2"/>
        <v/>
      </c>
      <c r="DS27" s="254" t="str">
        <f t="shared" si="3"/>
        <v xml:space="preserve">2980, 2880, </v>
      </c>
      <c r="DT27" s="254" t="str">
        <f t="shared" si="4"/>
        <v/>
      </c>
      <c r="DU27" s="254"/>
      <c r="DV27" s="255"/>
      <c r="DW27" s="143"/>
      <c r="DX27" s="143"/>
      <c r="DY27" s="143"/>
      <c r="DZ27" s="143"/>
      <c r="EA27" s="143"/>
      <c r="EB27" s="143"/>
      <c r="EC27" s="143"/>
      <c r="ED27" s="143"/>
    </row>
    <row r="28" spans="1:134" ht="19.2" thickTop="1" thickBot="1">
      <c r="A28" s="142"/>
      <c r="B28" s="160" t="str">
        <f>IF(LEN('User Interface (Start Here!)'!$DS$73)&gt;=58,VALUE(RIGHT(LEFT('User Interface (Start Here!)'!$DS$73,58),4)),"n/a")</f>
        <v>n/a</v>
      </c>
      <c r="C28" s="165">
        <v>1</v>
      </c>
      <c r="D28" s="154">
        <v>1</v>
      </c>
      <c r="E28" s="154">
        <v>1</v>
      </c>
      <c r="F28" s="154">
        <v>1</v>
      </c>
      <c r="G28" s="154">
        <v>1</v>
      </c>
      <c r="H28" s="154">
        <v>1</v>
      </c>
      <c r="I28" s="154">
        <v>1</v>
      </c>
      <c r="J28" s="154">
        <v>1</v>
      </c>
      <c r="K28" s="154">
        <v>1</v>
      </c>
      <c r="L28" s="154">
        <v>1</v>
      </c>
      <c r="M28" s="154">
        <v>1</v>
      </c>
      <c r="N28" s="154">
        <v>1</v>
      </c>
      <c r="O28" s="164" t="str">
        <f t="shared" si="5"/>
        <v/>
      </c>
      <c r="P28" s="358" t="s">
        <v>243</v>
      </c>
      <c r="Q28" s="316" t="s">
        <v>177</v>
      </c>
      <c r="R28" s="313"/>
      <c r="S28" s="313"/>
      <c r="T28" s="313"/>
      <c r="U28" s="313"/>
      <c r="V28" s="313"/>
      <c r="W28" s="313"/>
      <c r="X28" s="313"/>
      <c r="Y28" s="313"/>
      <c r="Z28" s="314"/>
      <c r="AA28" s="315"/>
      <c r="AB28" s="315"/>
      <c r="AC28" s="200"/>
      <c r="AD28" s="200"/>
      <c r="AE28" s="200"/>
      <c r="AF28" s="200"/>
      <c r="AG28" s="200"/>
      <c r="AH28" s="200"/>
      <c r="AI28" s="200"/>
      <c r="AJ28" s="200"/>
      <c r="AK28" s="200"/>
      <c r="AL28" s="200"/>
      <c r="AM28" s="200"/>
      <c r="AN28" s="200"/>
      <c r="AO28" s="200"/>
      <c r="AP28" s="200"/>
      <c r="AQ28" s="200"/>
      <c r="AR28" s="200"/>
      <c r="AS28" s="200"/>
      <c r="AT28" s="254"/>
      <c r="AU28" s="274"/>
      <c r="AV28" s="278"/>
      <c r="AW28" s="279"/>
      <c r="AX28" s="279"/>
      <c r="AY28" s="279"/>
      <c r="AZ28" s="279"/>
      <c r="BA28" s="279"/>
      <c r="BB28" s="280"/>
      <c r="BC28" s="280"/>
      <c r="BD28" s="280"/>
      <c r="BE28" s="280"/>
      <c r="BF28" s="280"/>
      <c r="BG28" s="280"/>
      <c r="BH28" s="280"/>
      <c r="BI28" s="280"/>
      <c r="BJ28" s="279"/>
      <c r="BK28" s="279"/>
      <c r="BL28" s="279"/>
      <c r="BM28" s="279"/>
      <c r="CZ28" s="143"/>
      <c r="DA28" s="143"/>
      <c r="DB28" s="143"/>
      <c r="DC28" s="143"/>
      <c r="DD28" s="143"/>
      <c r="DE28" s="143"/>
      <c r="DF28" s="143"/>
      <c r="DG28" s="143"/>
      <c r="DH28" s="143"/>
      <c r="DI28" s="143"/>
      <c r="DJ28" s="143"/>
      <c r="DK28" s="143"/>
      <c r="DL28" s="143"/>
      <c r="DM28" s="143"/>
      <c r="DN28" s="254"/>
      <c r="DO28" s="255">
        <v>3080</v>
      </c>
      <c r="DP28" s="256" t="str">
        <f>U10</f>
        <v>X</v>
      </c>
      <c r="DQ28" s="254" t="str">
        <f t="shared" si="1"/>
        <v xml:space="preserve">3080, </v>
      </c>
      <c r="DR28" s="254" t="str">
        <f t="shared" si="2"/>
        <v/>
      </c>
      <c r="DS28" s="254" t="str">
        <f t="shared" si="3"/>
        <v xml:space="preserve">3080, 2980, 2880, </v>
      </c>
      <c r="DT28" s="254" t="str">
        <f t="shared" si="4"/>
        <v/>
      </c>
      <c r="DU28" s="254"/>
      <c r="DV28" s="255"/>
      <c r="DW28" s="143"/>
      <c r="DX28" s="143"/>
      <c r="DY28" s="143"/>
      <c r="DZ28" s="143"/>
      <c r="EA28" s="143"/>
      <c r="EB28" s="143"/>
      <c r="EC28" s="143"/>
      <c r="ED28" s="143"/>
    </row>
    <row r="29" spans="1:134" ht="19.2" thickTop="1" thickBot="1">
      <c r="A29" s="142"/>
      <c r="B29" s="239" t="str">
        <f>IF(COUNTIF(DP8:DP73,"&lt;&gt;0")&gt;10,"ERROR: Too many closed cells for program as currently designed.","")</f>
        <v/>
      </c>
      <c r="C29" s="167"/>
      <c r="D29" s="167"/>
      <c r="E29" s="167"/>
      <c r="F29" s="167"/>
      <c r="G29" s="167"/>
      <c r="H29" s="167"/>
      <c r="I29" s="167"/>
      <c r="J29" s="167"/>
      <c r="K29" s="167"/>
      <c r="L29" s="167"/>
      <c r="M29" s="167"/>
      <c r="N29" s="167"/>
      <c r="O29" s="164" t="str">
        <f>CONCATENATE(O19,O20,O21,O22,O23,O24,O25,O26,O27,O28)</f>
        <v/>
      </c>
      <c r="P29" s="358" t="s">
        <v>243</v>
      </c>
      <c r="Q29" s="313" t="s">
        <v>179</v>
      </c>
      <c r="R29" s="313"/>
      <c r="S29" s="313"/>
      <c r="T29" s="313"/>
      <c r="U29" s="313"/>
      <c r="V29" s="313"/>
      <c r="W29" s="313"/>
      <c r="X29" s="6"/>
      <c r="Y29" s="313" t="s">
        <v>184</v>
      </c>
      <c r="Z29" s="314"/>
      <c r="AA29" s="315"/>
      <c r="AB29" s="315"/>
      <c r="AC29" s="200"/>
      <c r="AD29" s="200"/>
      <c r="AE29" s="200"/>
      <c r="AF29" s="200"/>
      <c r="AG29" s="200"/>
      <c r="AH29" s="200"/>
      <c r="AI29" s="200"/>
      <c r="AJ29" s="200"/>
      <c r="AK29" s="200"/>
      <c r="AL29" s="200"/>
      <c r="AM29" s="200"/>
      <c r="AN29" s="200"/>
      <c r="AO29" s="200"/>
      <c r="AP29" s="200"/>
      <c r="AQ29" s="200"/>
      <c r="AR29" s="200"/>
      <c r="AS29" s="200"/>
      <c r="AT29" s="254"/>
      <c r="AU29" s="274"/>
      <c r="AV29" s="278"/>
      <c r="AW29" s="279"/>
      <c r="AX29" s="279"/>
      <c r="AY29" s="279"/>
      <c r="AZ29" s="280"/>
      <c r="BA29" s="280"/>
      <c r="BB29" s="280"/>
      <c r="BC29" s="280"/>
      <c r="BD29" s="280"/>
      <c r="BE29" s="280"/>
      <c r="BF29" s="280"/>
      <c r="BG29" s="280"/>
      <c r="BH29" s="279"/>
      <c r="BI29" s="279"/>
      <c r="BJ29" s="279"/>
      <c r="BK29" s="279"/>
      <c r="BL29" s="279"/>
      <c r="BM29" s="279"/>
      <c r="CZ29" s="143"/>
      <c r="DA29" s="143"/>
      <c r="DB29" s="143"/>
      <c r="DC29" s="143"/>
      <c r="DD29" s="143"/>
      <c r="DE29" s="143"/>
      <c r="DF29" s="143"/>
      <c r="DG29" s="143"/>
      <c r="DH29" s="143"/>
      <c r="DI29" s="143"/>
      <c r="DJ29" s="143"/>
      <c r="DK29" s="143"/>
      <c r="DL29" s="143"/>
      <c r="DM29" s="143"/>
      <c r="DN29" s="254"/>
      <c r="DO29" s="255">
        <v>3081</v>
      </c>
      <c r="DP29" s="256">
        <f>T10</f>
        <v>0</v>
      </c>
      <c r="DQ29" s="254" t="str">
        <f t="shared" si="1"/>
        <v/>
      </c>
      <c r="DR29" s="254" t="str">
        <f t="shared" si="2"/>
        <v/>
      </c>
      <c r="DS29" s="254" t="str">
        <f t="shared" si="3"/>
        <v xml:space="preserve">3080, 2980, 2880, </v>
      </c>
      <c r="DT29" s="254" t="str">
        <f t="shared" si="4"/>
        <v/>
      </c>
      <c r="DU29" s="254"/>
      <c r="DV29" s="255"/>
      <c r="DW29" s="143"/>
      <c r="DX29" s="143"/>
      <c r="DY29" s="143"/>
      <c r="DZ29" s="143"/>
      <c r="EA29" s="143"/>
      <c r="EB29" s="143"/>
      <c r="EC29" s="143"/>
      <c r="ED29" s="143"/>
    </row>
    <row r="30" spans="1:134" ht="19.2" thickTop="1" thickBot="1">
      <c r="A30" s="142"/>
      <c r="B30" s="150" t="s">
        <v>219</v>
      </c>
      <c r="C30" s="151"/>
      <c r="D30" s="151"/>
      <c r="E30" s="151"/>
      <c r="F30" s="147"/>
      <c r="G30" s="147"/>
      <c r="H30" s="147"/>
      <c r="I30" s="147"/>
      <c r="J30" s="147"/>
      <c r="K30" s="147"/>
      <c r="L30" s="154">
        <v>1</v>
      </c>
      <c r="M30" s="448" t="str">
        <f>IF(OR(L30&lt;0,L30&gt;1),"ERROR: Please enter a compliance rate between 0-100%",IF(L30=1,"CAUTION: Published studies suggest compliance likely &lt;100%.  ",""))</f>
        <v xml:space="preserve">CAUTION: Published studies suggest compliance likely &lt;100%.  </v>
      </c>
      <c r="N30" s="449"/>
      <c r="O30" s="449"/>
      <c r="P30" s="358"/>
      <c r="Q30" s="313" t="s">
        <v>180</v>
      </c>
      <c r="R30" s="313"/>
      <c r="S30" s="313"/>
      <c r="T30" s="313"/>
      <c r="U30" s="313"/>
      <c r="V30" s="313"/>
      <c r="W30" s="313"/>
      <c r="X30" s="6"/>
      <c r="Y30" s="313" t="s">
        <v>185</v>
      </c>
      <c r="Z30" s="314"/>
      <c r="AA30" s="315"/>
      <c r="AB30" s="315"/>
      <c r="AC30" s="200"/>
      <c r="AD30" s="200"/>
      <c r="AE30" s="200"/>
      <c r="AF30" s="200"/>
      <c r="AG30" s="200"/>
      <c r="AH30" s="200"/>
      <c r="AI30" s="200"/>
      <c r="AJ30" s="200"/>
      <c r="AK30" s="200"/>
      <c r="AL30" s="200"/>
      <c r="AM30" s="200"/>
      <c r="AN30" s="200"/>
      <c r="AO30" s="200"/>
      <c r="AP30" s="200"/>
      <c r="AQ30" s="200"/>
      <c r="AR30" s="200"/>
      <c r="AS30" s="200"/>
      <c r="AT30" s="254"/>
      <c r="AU30" s="274"/>
      <c r="AV30" s="278"/>
      <c r="AW30" s="279"/>
      <c r="AX30" s="279"/>
      <c r="AY30" s="280"/>
      <c r="AZ30" s="280"/>
      <c r="BA30" s="280"/>
      <c r="BB30" s="280"/>
      <c r="BC30" s="280"/>
      <c r="BD30" s="280"/>
      <c r="BE30" s="280"/>
      <c r="BF30" s="280"/>
      <c r="BG30" s="279"/>
      <c r="BH30" s="279"/>
      <c r="BI30" s="279"/>
      <c r="BJ30" s="279"/>
      <c r="BK30" s="279"/>
      <c r="BL30" s="279"/>
      <c r="BM30" s="279"/>
      <c r="CZ30" s="143"/>
      <c r="DA30" s="143"/>
      <c r="DB30" s="143"/>
      <c r="DC30" s="143"/>
      <c r="DD30" s="143"/>
      <c r="DE30" s="143"/>
      <c r="DF30" s="143"/>
      <c r="DG30" s="143"/>
      <c r="DH30" s="143"/>
      <c r="DI30" s="143"/>
      <c r="DJ30" s="143"/>
      <c r="DK30" s="143"/>
      <c r="DL30" s="143"/>
      <c r="DM30" s="143"/>
      <c r="DN30" s="254"/>
      <c r="DO30" s="255">
        <v>3174</v>
      </c>
      <c r="DP30" s="256">
        <f>AA9</f>
        <v>0</v>
      </c>
      <c r="DQ30" s="254" t="str">
        <f t="shared" si="1"/>
        <v/>
      </c>
      <c r="DR30" s="254" t="str">
        <f t="shared" si="2"/>
        <v/>
      </c>
      <c r="DS30" s="254" t="str">
        <f t="shared" si="3"/>
        <v xml:space="preserve">3080, 2980, 2880, </v>
      </c>
      <c r="DT30" s="254" t="str">
        <f t="shared" si="4"/>
        <v/>
      </c>
      <c r="DU30" s="254"/>
      <c r="DV30" s="255"/>
      <c r="DW30" s="143"/>
      <c r="DX30" s="143"/>
      <c r="DY30" s="143"/>
      <c r="DZ30" s="143"/>
      <c r="EA30" s="143"/>
      <c r="EB30" s="143"/>
      <c r="EC30" s="143"/>
      <c r="ED30" s="143"/>
    </row>
    <row r="31" spans="1:134" ht="19.2" thickTop="1" thickBot="1">
      <c r="A31" s="142"/>
      <c r="B31" s="166"/>
      <c r="C31" s="338"/>
      <c r="D31" s="338"/>
      <c r="E31" s="338"/>
      <c r="F31" s="338"/>
      <c r="G31" s="338"/>
      <c r="H31" s="338"/>
      <c r="I31" s="338"/>
      <c r="J31" s="338"/>
      <c r="K31" s="338"/>
      <c r="L31" s="338"/>
      <c r="M31" s="450"/>
      <c r="N31" s="450"/>
      <c r="O31" s="450"/>
      <c r="P31" s="359"/>
      <c r="Q31" s="313" t="s">
        <v>181</v>
      </c>
      <c r="R31" s="313"/>
      <c r="S31" s="313"/>
      <c r="T31" s="313"/>
      <c r="U31" s="313"/>
      <c r="V31" s="313"/>
      <c r="W31" s="313"/>
      <c r="X31" s="6"/>
      <c r="Y31" s="313" t="s">
        <v>186</v>
      </c>
      <c r="Z31" s="314"/>
      <c r="AA31" s="315"/>
      <c r="AB31" s="315"/>
      <c r="AC31" s="200"/>
      <c r="AD31" s="200"/>
      <c r="AE31" s="200"/>
      <c r="AF31" s="200"/>
      <c r="AG31" s="200"/>
      <c r="AH31" s="200"/>
      <c r="AI31" s="200"/>
      <c r="AJ31" s="200"/>
      <c r="AK31" s="200"/>
      <c r="AL31" s="200"/>
      <c r="AM31" s="200"/>
      <c r="AN31" s="200"/>
      <c r="AO31" s="200"/>
      <c r="AP31" s="200"/>
      <c r="AQ31" s="200"/>
      <c r="AR31" s="200"/>
      <c r="AS31" s="200"/>
      <c r="AT31" s="254"/>
      <c r="AU31" s="274"/>
      <c r="AV31" s="278"/>
      <c r="AW31" s="279"/>
      <c r="AX31" s="279"/>
      <c r="AY31" s="280"/>
      <c r="AZ31" s="280"/>
      <c r="BA31" s="280"/>
      <c r="BB31" s="280"/>
      <c r="BC31" s="280"/>
      <c r="BD31" s="280"/>
      <c r="BE31" s="280"/>
      <c r="BF31" s="279"/>
      <c r="BG31" s="279"/>
      <c r="BH31" s="279"/>
      <c r="BI31" s="279"/>
      <c r="BJ31" s="279"/>
      <c r="BK31" s="279"/>
      <c r="BL31" s="279"/>
      <c r="BM31" s="279"/>
      <c r="CZ31" s="143"/>
      <c r="DA31" s="143"/>
      <c r="DB31" s="143"/>
      <c r="DC31" s="143"/>
      <c r="DD31" s="143"/>
      <c r="DE31" s="143"/>
      <c r="DF31" s="143"/>
      <c r="DG31" s="143"/>
      <c r="DH31" s="143"/>
      <c r="DI31" s="143"/>
      <c r="DJ31" s="143"/>
      <c r="DK31" s="143"/>
      <c r="DL31" s="143"/>
      <c r="DM31" s="143"/>
      <c r="DN31" s="254"/>
      <c r="DO31" s="255">
        <v>3175</v>
      </c>
      <c r="DP31" s="256">
        <f>Z9</f>
        <v>0</v>
      </c>
      <c r="DQ31" s="254" t="str">
        <f t="shared" si="1"/>
        <v/>
      </c>
      <c r="DR31" s="254" t="str">
        <f t="shared" si="2"/>
        <v/>
      </c>
      <c r="DS31" s="254" t="str">
        <f t="shared" si="3"/>
        <v xml:space="preserve">3080, 2980, 2880, </v>
      </c>
      <c r="DT31" s="254" t="str">
        <f t="shared" si="4"/>
        <v/>
      </c>
      <c r="DU31" s="254"/>
      <c r="DV31" s="255"/>
      <c r="DW31" s="143"/>
      <c r="DX31" s="143"/>
      <c r="DY31" s="143"/>
      <c r="DZ31" s="143"/>
      <c r="EA31" s="143"/>
      <c r="EB31" s="143"/>
      <c r="EC31" s="143"/>
      <c r="ED31" s="143"/>
    </row>
    <row r="32" spans="1:134" ht="19.2" thickTop="1" thickBot="1">
      <c r="A32" s="142"/>
      <c r="B32" s="348" t="s">
        <v>240</v>
      </c>
      <c r="C32" s="349"/>
      <c r="D32" s="349"/>
      <c r="E32" s="349"/>
      <c r="F32" s="350"/>
      <c r="G32" s="350"/>
      <c r="H32" s="350"/>
      <c r="I32" s="350"/>
      <c r="J32" s="350"/>
      <c r="K32" s="350"/>
      <c r="L32" s="154" t="s">
        <v>237</v>
      </c>
      <c r="M32" s="452" t="str">
        <f>IF(AND(NOT(ISBLANK(L14)),ISBLANK(L32)),"CAUTION: Default assumption of homogeneously distributed stock is highly uncertain.  ",IF(AND(NOT(ISBLANK(L14)),NOT(ISBLANK(L32))),"CAUTION: Assumption of hetergeneously distributed stock is highly uncertain.  ",""))</f>
        <v/>
      </c>
      <c r="N32" s="452"/>
      <c r="O32" s="453"/>
      <c r="P32" s="252"/>
      <c r="Q32" s="313" t="s">
        <v>182</v>
      </c>
      <c r="R32" s="313"/>
      <c r="S32" s="313"/>
      <c r="T32" s="313"/>
      <c r="U32" s="313"/>
      <c r="V32" s="313"/>
      <c r="W32" s="313"/>
      <c r="X32" s="6"/>
      <c r="Y32" s="313" t="s">
        <v>187</v>
      </c>
      <c r="Z32" s="314"/>
      <c r="AA32" s="315"/>
      <c r="AB32" s="315"/>
      <c r="AC32" s="200"/>
      <c r="AD32" s="200"/>
      <c r="AE32" s="200"/>
      <c r="AF32" s="200"/>
      <c r="AG32" s="200"/>
      <c r="AH32" s="200"/>
      <c r="AI32" s="200"/>
      <c r="AJ32" s="200"/>
      <c r="AK32" s="200"/>
      <c r="AL32" s="200"/>
      <c r="AM32" s="200"/>
      <c r="AN32" s="200"/>
      <c r="AO32" s="200"/>
      <c r="AP32" s="200"/>
      <c r="AQ32" s="200"/>
      <c r="AR32" s="200"/>
      <c r="AS32" s="200"/>
      <c r="AT32" s="254"/>
      <c r="AU32" s="274"/>
      <c r="AV32" s="278"/>
      <c r="AW32" s="279"/>
      <c r="AX32" s="279"/>
      <c r="AY32" s="280"/>
      <c r="AZ32" s="280"/>
      <c r="BA32" s="280"/>
      <c r="BB32" s="280"/>
      <c r="BC32" s="280"/>
      <c r="BD32" s="280"/>
      <c r="BE32" s="279"/>
      <c r="BF32" s="279"/>
      <c r="BG32" s="279"/>
      <c r="BH32" s="279"/>
      <c r="BI32" s="279"/>
      <c r="BJ32" s="279"/>
      <c r="BK32" s="279"/>
      <c r="BL32" s="279"/>
      <c r="BM32" s="279"/>
      <c r="CZ32" s="143"/>
      <c r="DA32" s="143"/>
      <c r="DB32" s="143"/>
      <c r="DC32" s="143"/>
      <c r="DD32" s="143"/>
      <c r="DE32" s="143"/>
      <c r="DF32" s="143"/>
      <c r="DG32" s="143"/>
      <c r="DH32" s="143"/>
      <c r="DI32" s="143"/>
      <c r="DJ32" s="143"/>
      <c r="DK32" s="143"/>
      <c r="DL32" s="143"/>
      <c r="DM32" s="143"/>
      <c r="DN32" s="254"/>
      <c r="DO32" s="255">
        <v>3176</v>
      </c>
      <c r="DP32" s="256">
        <f>Y9</f>
        <v>0</v>
      </c>
      <c r="DQ32" s="254" t="str">
        <f t="shared" si="1"/>
        <v/>
      </c>
      <c r="DR32" s="254" t="str">
        <f t="shared" si="2"/>
        <v/>
      </c>
      <c r="DS32" s="254" t="str">
        <f t="shared" si="3"/>
        <v xml:space="preserve">3080, 2980, 2880, </v>
      </c>
      <c r="DT32" s="254" t="str">
        <f t="shared" si="4"/>
        <v/>
      </c>
      <c r="DU32" s="254"/>
      <c r="DV32" s="255"/>
      <c r="DW32" s="143"/>
      <c r="DX32" s="143"/>
      <c r="DY32" s="143"/>
      <c r="DZ32" s="143"/>
      <c r="EA32" s="143"/>
      <c r="EB32" s="143"/>
      <c r="EC32" s="143"/>
      <c r="ED32" s="143"/>
    </row>
    <row r="33" spans="1:134" ht="16.2" thickTop="1">
      <c r="A33" s="142"/>
      <c r="B33" s="462" t="s">
        <v>254</v>
      </c>
      <c r="C33" s="463"/>
      <c r="D33" s="463"/>
      <c r="E33" s="463"/>
      <c r="F33" s="463"/>
      <c r="G33" s="463"/>
      <c r="H33" s="463"/>
      <c r="I33" s="463"/>
      <c r="J33" s="463"/>
      <c r="K33" s="463"/>
      <c r="L33" s="463"/>
      <c r="M33" s="454"/>
      <c r="N33" s="454"/>
      <c r="O33" s="455"/>
      <c r="P33" s="253"/>
      <c r="Q33" s="313" t="s">
        <v>183</v>
      </c>
      <c r="R33" s="313"/>
      <c r="S33" s="313"/>
      <c r="T33" s="313"/>
      <c r="U33" s="313"/>
      <c r="V33" s="313"/>
      <c r="W33" s="313"/>
      <c r="X33" s="6"/>
      <c r="Y33" s="313" t="s">
        <v>178</v>
      </c>
      <c r="Z33" s="314"/>
      <c r="AA33" s="315"/>
      <c r="AB33" s="315"/>
      <c r="AC33" s="200"/>
      <c r="AD33" s="200"/>
      <c r="AE33" s="200"/>
      <c r="AF33" s="200"/>
      <c r="AG33" s="200"/>
      <c r="AH33" s="200"/>
      <c r="AI33" s="200"/>
      <c r="AJ33" s="200"/>
      <c r="AK33" s="200"/>
      <c r="AL33" s="200"/>
      <c r="AM33" s="200"/>
      <c r="AN33" s="200"/>
      <c r="AO33" s="200"/>
      <c r="AP33" s="200"/>
      <c r="AQ33" s="200"/>
      <c r="AR33" s="200"/>
      <c r="AS33" s="200"/>
      <c r="AT33" s="254"/>
      <c r="AU33" s="274"/>
      <c r="AV33" s="278"/>
      <c r="AW33" s="279"/>
      <c r="AX33" s="279"/>
      <c r="AY33" s="279"/>
      <c r="AZ33" s="280"/>
      <c r="BA33" s="280"/>
      <c r="BB33" s="280"/>
      <c r="BC33" s="279"/>
      <c r="BD33" s="279"/>
      <c r="BE33" s="279"/>
      <c r="BF33" s="279"/>
      <c r="BG33" s="279"/>
      <c r="BH33" s="279"/>
      <c r="BI33" s="279"/>
      <c r="BJ33" s="279"/>
      <c r="BK33" s="279"/>
      <c r="BL33" s="279"/>
      <c r="BM33" s="279"/>
      <c r="CZ33" s="143"/>
      <c r="DA33" s="143"/>
      <c r="DB33" s="143"/>
      <c r="DC33" s="143"/>
      <c r="DD33" s="143"/>
      <c r="DE33" s="143"/>
      <c r="DF33" s="143"/>
      <c r="DG33" s="143"/>
      <c r="DH33" s="143"/>
      <c r="DI33" s="143"/>
      <c r="DJ33" s="143"/>
      <c r="DK33" s="143"/>
      <c r="DL33" s="143"/>
      <c r="DM33" s="143"/>
      <c r="DN33" s="254"/>
      <c r="DO33" s="255">
        <v>3177</v>
      </c>
      <c r="DP33" s="256">
        <f>X9</f>
        <v>0</v>
      </c>
      <c r="DQ33" s="254" t="str">
        <f t="shared" si="1"/>
        <v/>
      </c>
      <c r="DR33" s="254" t="str">
        <f t="shared" si="2"/>
        <v/>
      </c>
      <c r="DS33" s="254" t="str">
        <f>DQ33&amp;DS32</f>
        <v xml:space="preserve">3080, 2980, 2880, </v>
      </c>
      <c r="DT33" s="254" t="str">
        <f>DR33&amp;DT32</f>
        <v/>
      </c>
      <c r="DU33" s="254"/>
      <c r="DV33" s="255"/>
      <c r="DW33" s="143"/>
      <c r="DX33" s="143"/>
      <c r="DY33" s="143"/>
      <c r="DZ33" s="143"/>
      <c r="EA33" s="143"/>
      <c r="EB33" s="143"/>
      <c r="EC33" s="143"/>
      <c r="ED33" s="143"/>
    </row>
    <row r="34" spans="1:134" ht="33" customHeight="1" thickBot="1">
      <c r="A34" s="142"/>
      <c r="B34" s="463"/>
      <c r="C34" s="463"/>
      <c r="D34" s="463"/>
      <c r="E34" s="463"/>
      <c r="F34" s="463"/>
      <c r="G34" s="463"/>
      <c r="H34" s="463"/>
      <c r="I34" s="463"/>
      <c r="J34" s="463"/>
      <c r="K34" s="463"/>
      <c r="L34" s="463"/>
      <c r="M34" s="346"/>
      <c r="N34" s="346"/>
      <c r="O34" s="351"/>
      <c r="P34" s="253"/>
      <c r="Q34" s="5"/>
      <c r="R34" s="5"/>
      <c r="S34" s="6"/>
      <c r="T34" s="6"/>
      <c r="U34" s="6"/>
      <c r="V34" s="6"/>
      <c r="W34" s="6"/>
      <c r="X34" s="6"/>
      <c r="Y34" s="6"/>
      <c r="Z34" s="199"/>
      <c r="AA34" s="200"/>
      <c r="AB34" s="200"/>
      <c r="AC34" s="200"/>
      <c r="AD34" s="200"/>
      <c r="AE34" s="200"/>
      <c r="AF34" s="200"/>
      <c r="AG34" s="200"/>
      <c r="AH34" s="200"/>
      <c r="AI34" s="200"/>
      <c r="AJ34" s="200"/>
      <c r="AK34" s="200"/>
      <c r="AL34" s="200"/>
      <c r="AM34" s="200"/>
      <c r="AN34" s="200"/>
      <c r="AO34" s="200"/>
      <c r="AP34" s="200"/>
      <c r="AQ34" s="200"/>
      <c r="AR34" s="200"/>
      <c r="AS34" s="6"/>
      <c r="AT34" s="254"/>
      <c r="AU34" s="274"/>
      <c r="AV34" s="278"/>
      <c r="AW34" s="279"/>
      <c r="AX34" s="279"/>
      <c r="AY34" s="279"/>
      <c r="AZ34" s="280"/>
      <c r="BA34" s="280"/>
      <c r="BB34" s="280"/>
      <c r="BC34" s="279"/>
      <c r="BD34" s="279"/>
      <c r="BE34" s="279"/>
      <c r="BF34" s="279"/>
      <c r="BG34" s="279"/>
      <c r="BH34" s="279"/>
      <c r="BI34" s="279"/>
      <c r="BJ34" s="279"/>
      <c r="BK34" s="279"/>
      <c r="BL34" s="279"/>
      <c r="BM34" s="279"/>
      <c r="CZ34" s="143"/>
      <c r="DA34" s="143"/>
      <c r="DB34" s="143"/>
      <c r="DC34" s="143"/>
      <c r="DD34" s="143"/>
      <c r="DE34" s="143"/>
      <c r="DF34" s="143"/>
      <c r="DG34" s="143"/>
      <c r="DH34" s="143"/>
      <c r="DI34" s="143"/>
      <c r="DJ34" s="143"/>
      <c r="DK34" s="143"/>
      <c r="DL34" s="143"/>
      <c r="DM34" s="143"/>
      <c r="DN34" s="254"/>
      <c r="DO34" s="255">
        <v>3178</v>
      </c>
      <c r="DP34" s="256">
        <f>W9</f>
        <v>0</v>
      </c>
      <c r="DQ34" s="254" t="str">
        <f t="shared" ref="DQ34:DQ65" si="6">IF($DP34&lt;&gt;0,CONCATENATE($DO34,", "),"")</f>
        <v/>
      </c>
      <c r="DR34" s="254" t="str">
        <f t="shared" ref="DR34:DR65" si="7">IF(AND($DP34&lt;100%,$DP34&gt;0%),CONCATENATE($DO34,", "),"")</f>
        <v/>
      </c>
      <c r="DS34" s="254" t="str">
        <f t="shared" si="3"/>
        <v xml:space="preserve">3080, 2980, 2880, </v>
      </c>
      <c r="DT34" s="254" t="str">
        <f t="shared" si="4"/>
        <v/>
      </c>
      <c r="DU34" s="254"/>
      <c r="DV34" s="255"/>
      <c r="DW34" s="143"/>
      <c r="DX34" s="143"/>
      <c r="DY34" s="143"/>
      <c r="DZ34" s="143"/>
      <c r="EA34" s="143"/>
      <c r="EB34" s="143"/>
      <c r="EC34" s="143"/>
      <c r="ED34" s="143"/>
    </row>
    <row r="35" spans="1:134" ht="23.4" customHeight="1" thickTop="1" thickBot="1">
      <c r="A35" s="142"/>
      <c r="B35" s="348" t="s">
        <v>241</v>
      </c>
      <c r="C35" s="349"/>
      <c r="D35" s="349"/>
      <c r="E35" s="349"/>
      <c r="F35" s="350"/>
      <c r="G35" s="350"/>
      <c r="H35" s="350"/>
      <c r="I35" s="350"/>
      <c r="J35" s="350"/>
      <c r="K35" s="350"/>
      <c r="L35" s="356">
        <v>1.5</v>
      </c>
      <c r="M35" s="452" t="str">
        <f>IF(G46="YES",IF(OR(NOT(ISNUMBER(L35)),L35&lt;1),"ERROR: Please enter a value ≥ 1.",IF(L35=1,"CAUTION: Effort is likely to increase relative to historical levels.","CAUTION: Effort shifting is highly uncertain.")),"")</f>
        <v/>
      </c>
      <c r="N35" s="452"/>
      <c r="O35" s="453"/>
      <c r="P35" s="253"/>
      <c r="Q35" s="424" t="s">
        <v>239</v>
      </c>
      <c r="R35" s="425"/>
      <c r="S35" s="425"/>
      <c r="T35" s="425"/>
      <c r="U35" s="425"/>
      <c r="V35" s="425"/>
      <c r="W35" s="425"/>
      <c r="X35" s="425"/>
      <c r="Y35" s="425"/>
      <c r="Z35" s="425"/>
      <c r="AA35" s="425"/>
      <c r="AB35" s="426"/>
      <c r="AC35" s="200"/>
      <c r="AD35" s="200"/>
      <c r="AE35" s="200"/>
      <c r="AF35" s="200"/>
      <c r="AG35" s="200"/>
      <c r="AH35" s="200"/>
      <c r="AI35" s="200"/>
      <c r="AJ35" s="200"/>
      <c r="AK35" s="200"/>
      <c r="AL35" s="200"/>
      <c r="AM35" s="200"/>
      <c r="AN35" s="200"/>
      <c r="AO35" s="200"/>
      <c r="AP35" s="200"/>
      <c r="AQ35" s="200"/>
      <c r="AR35" s="200"/>
      <c r="AS35" s="6"/>
      <c r="AT35" s="311"/>
      <c r="AU35" s="274"/>
      <c r="AV35" s="278"/>
      <c r="AW35" s="279"/>
      <c r="AX35" s="279"/>
      <c r="AY35" s="279"/>
      <c r="AZ35" s="280"/>
      <c r="BA35" s="280"/>
      <c r="BB35" s="279"/>
      <c r="BC35" s="279"/>
      <c r="BD35" s="279"/>
      <c r="BE35" s="279"/>
      <c r="BF35" s="279"/>
      <c r="BG35" s="279"/>
      <c r="BH35" s="279"/>
      <c r="BI35" s="279"/>
      <c r="BJ35" s="279"/>
      <c r="BK35" s="279"/>
      <c r="BL35" s="279"/>
      <c r="BM35" s="279"/>
      <c r="CZ35" s="143"/>
      <c r="DA35" s="143"/>
      <c r="DB35" s="143"/>
      <c r="DC35" s="143"/>
      <c r="DD35" s="143"/>
      <c r="DE35" s="143"/>
      <c r="DF35" s="143"/>
      <c r="DG35" s="143"/>
      <c r="DH35" s="143"/>
      <c r="DI35" s="143"/>
      <c r="DJ35" s="143"/>
      <c r="DK35" s="143"/>
      <c r="DL35" s="143"/>
      <c r="DM35" s="143"/>
      <c r="DN35" s="254"/>
      <c r="DO35" s="255">
        <v>3179</v>
      </c>
      <c r="DP35" s="256" t="str">
        <f>V9</f>
        <v>X</v>
      </c>
      <c r="DQ35" s="254" t="str">
        <f t="shared" si="6"/>
        <v xml:space="preserve">3179, </v>
      </c>
      <c r="DR35" s="254" t="str">
        <f t="shared" si="7"/>
        <v/>
      </c>
      <c r="DS35" s="254" t="str">
        <f t="shared" ref="DS35:DS66" si="8">DQ35&amp;DS34</f>
        <v xml:space="preserve">3179, 3080, 2980, 2880, </v>
      </c>
      <c r="DT35" s="254" t="str">
        <f t="shared" ref="DT35:DT66" si="9">DR35&amp;DT34</f>
        <v/>
      </c>
      <c r="DU35" s="254"/>
      <c r="DV35" s="255"/>
      <c r="DW35" s="143"/>
      <c r="DX35" s="143"/>
      <c r="DY35" s="143"/>
      <c r="DZ35" s="143"/>
      <c r="EA35" s="143"/>
      <c r="EB35" s="143"/>
      <c r="EC35" s="143"/>
      <c r="ED35" s="143"/>
    </row>
    <row r="36" spans="1:134" ht="23.4" customHeight="1" thickTop="1" thickBot="1">
      <c r="A36" s="142"/>
      <c r="B36" s="462" t="s">
        <v>242</v>
      </c>
      <c r="C36" s="463"/>
      <c r="D36" s="463"/>
      <c r="E36" s="463"/>
      <c r="F36" s="463"/>
      <c r="G36" s="463"/>
      <c r="H36" s="463"/>
      <c r="I36" s="463"/>
      <c r="J36" s="463"/>
      <c r="K36" s="463"/>
      <c r="L36" s="463"/>
      <c r="M36" s="454"/>
      <c r="N36" s="454"/>
      <c r="O36" s="455"/>
      <c r="P36" s="253"/>
      <c r="Q36" s="427" t="str">
        <f>CONCATENATE(G75," (",TEXT(K56,"##%"),")")</f>
        <v>YES (87%)</v>
      </c>
      <c r="R36" s="428"/>
      <c r="S36" s="428"/>
      <c r="T36" s="428"/>
      <c r="U36" s="428"/>
      <c r="V36" s="428"/>
      <c r="W36" s="428"/>
      <c r="X36" s="428"/>
      <c r="Y36" s="428"/>
      <c r="Z36" s="428"/>
      <c r="AA36" s="428"/>
      <c r="AB36" s="429"/>
      <c r="AC36" s="200"/>
      <c r="AD36" s="200"/>
      <c r="AE36" s="200"/>
      <c r="AF36" s="200"/>
      <c r="AG36" s="200"/>
      <c r="AH36" s="200"/>
      <c r="AI36" s="200"/>
      <c r="AJ36" s="200"/>
      <c r="AK36" s="200"/>
      <c r="AL36" s="200"/>
      <c r="AM36" s="200"/>
      <c r="AN36" s="200"/>
      <c r="AO36" s="200"/>
      <c r="AP36" s="200"/>
      <c r="AQ36" s="200"/>
      <c r="AR36" s="200"/>
      <c r="AS36" s="200"/>
      <c r="AT36" s="254"/>
      <c r="AU36" s="274"/>
      <c r="AV36" s="278"/>
      <c r="AW36" s="279"/>
      <c r="AX36" s="279"/>
      <c r="AY36" s="279"/>
      <c r="AZ36" s="280"/>
      <c r="BA36" s="280"/>
      <c r="BB36" s="279"/>
      <c r="BC36" s="279"/>
      <c r="BD36" s="279"/>
      <c r="BE36" s="279"/>
      <c r="BF36" s="279"/>
      <c r="BG36" s="279"/>
      <c r="BH36" s="279"/>
      <c r="BI36" s="279"/>
      <c r="BJ36" s="279"/>
      <c r="BK36" s="279"/>
      <c r="BL36" s="279"/>
      <c r="BM36" s="279"/>
      <c r="CZ36" s="143"/>
      <c r="DA36" s="143"/>
      <c r="DB36" s="143"/>
      <c r="DC36" s="143"/>
      <c r="DD36" s="143"/>
      <c r="DE36" s="143"/>
      <c r="DF36" s="143"/>
      <c r="DG36" s="143"/>
      <c r="DH36" s="143"/>
      <c r="DI36" s="143"/>
      <c r="DJ36" s="143"/>
      <c r="DK36" s="143"/>
      <c r="DL36" s="143"/>
      <c r="DM36" s="143"/>
      <c r="DN36" s="254"/>
      <c r="DO36" s="255">
        <v>3180</v>
      </c>
      <c r="DP36" s="256" t="str">
        <f>U9</f>
        <v>X</v>
      </c>
      <c r="DQ36" s="254" t="str">
        <f t="shared" si="6"/>
        <v xml:space="preserve">3180, </v>
      </c>
      <c r="DR36" s="254" t="str">
        <f t="shared" si="7"/>
        <v/>
      </c>
      <c r="DS36" s="254" t="str">
        <f t="shared" si="8"/>
        <v xml:space="preserve">3180, 3179, 3080, 2980, 2880, </v>
      </c>
      <c r="DT36" s="254" t="str">
        <f t="shared" si="9"/>
        <v/>
      </c>
      <c r="DU36" s="254"/>
      <c r="DV36" s="255"/>
      <c r="DW36" s="143"/>
      <c r="DX36" s="143"/>
      <c r="DY36" s="143"/>
      <c r="DZ36" s="143"/>
      <c r="EA36" s="143"/>
      <c r="EB36" s="143"/>
      <c r="EC36" s="143"/>
      <c r="ED36" s="143"/>
    </row>
    <row r="37" spans="1:134" ht="23.4" customHeight="1" thickTop="1">
      <c r="A37" s="142"/>
      <c r="B37" s="463"/>
      <c r="C37" s="463"/>
      <c r="D37" s="463"/>
      <c r="E37" s="463"/>
      <c r="F37" s="463"/>
      <c r="G37" s="463"/>
      <c r="H37" s="463"/>
      <c r="I37" s="463"/>
      <c r="J37" s="463"/>
      <c r="K37" s="463"/>
      <c r="L37" s="463"/>
      <c r="M37" s="346"/>
      <c r="N37" s="346"/>
      <c r="O37" s="351"/>
      <c r="P37" s="253"/>
      <c r="Q37" s="5"/>
      <c r="R37" s="5"/>
      <c r="S37" s="6"/>
      <c r="T37" s="6"/>
      <c r="U37" s="6"/>
      <c r="V37" s="6"/>
      <c r="W37" s="6"/>
      <c r="X37" s="6"/>
      <c r="Y37" s="6"/>
      <c r="Z37" s="199"/>
      <c r="AA37" s="200"/>
      <c r="AB37" s="200"/>
      <c r="AC37" s="200"/>
      <c r="AD37" s="200"/>
      <c r="AE37" s="200"/>
      <c r="AF37" s="200"/>
      <c r="AG37" s="200"/>
      <c r="AH37" s="200"/>
      <c r="AI37" s="200"/>
      <c r="AJ37" s="200"/>
      <c r="AK37" s="200"/>
      <c r="AL37" s="200"/>
      <c r="AM37" s="200"/>
      <c r="AN37" s="200"/>
      <c r="AO37" s="200"/>
      <c r="AP37" s="200"/>
      <c r="AQ37" s="200"/>
      <c r="AR37" s="200"/>
      <c r="AS37" s="200"/>
      <c r="AT37" s="254"/>
      <c r="AU37" s="274"/>
      <c r="AV37" s="278"/>
      <c r="AW37" s="279"/>
      <c r="AX37" s="280"/>
      <c r="AY37" s="280"/>
      <c r="AZ37" s="280"/>
      <c r="BA37" s="280"/>
      <c r="BB37" s="279"/>
      <c r="BC37" s="279"/>
      <c r="BD37" s="279"/>
      <c r="BE37" s="279"/>
      <c r="BF37" s="279"/>
      <c r="BG37" s="279"/>
      <c r="BH37" s="279"/>
      <c r="BI37" s="279"/>
      <c r="BJ37" s="279"/>
      <c r="BK37" s="279"/>
      <c r="BL37" s="279"/>
      <c r="BM37" s="279"/>
      <c r="CZ37" s="143"/>
      <c r="DA37" s="143"/>
      <c r="DB37" s="143"/>
      <c r="DC37" s="143"/>
      <c r="DD37" s="143"/>
      <c r="DE37" s="143"/>
      <c r="DF37" s="143"/>
      <c r="DG37" s="143"/>
      <c r="DH37" s="143"/>
      <c r="DI37" s="143"/>
      <c r="DJ37" s="143"/>
      <c r="DK37" s="143"/>
      <c r="DL37" s="143"/>
      <c r="DM37" s="143"/>
      <c r="DN37" s="254"/>
      <c r="DO37" s="255">
        <v>3181</v>
      </c>
      <c r="DP37" s="256">
        <f>T9</f>
        <v>0</v>
      </c>
      <c r="DQ37" s="254" t="str">
        <f t="shared" si="6"/>
        <v/>
      </c>
      <c r="DR37" s="254" t="str">
        <f t="shared" si="7"/>
        <v/>
      </c>
      <c r="DS37" s="254" t="str">
        <f t="shared" si="8"/>
        <v xml:space="preserve">3180, 3179, 3080, 2980, 2880, </v>
      </c>
      <c r="DT37" s="254" t="str">
        <f t="shared" si="9"/>
        <v/>
      </c>
      <c r="DU37" s="254"/>
      <c r="DV37" s="255"/>
      <c r="DW37" s="143"/>
      <c r="DX37" s="143"/>
      <c r="DY37" s="143"/>
      <c r="DZ37" s="143"/>
      <c r="EA37" s="143"/>
      <c r="EB37" s="143"/>
      <c r="EC37" s="143"/>
      <c r="ED37" s="143"/>
    </row>
    <row r="38" spans="1:134" ht="23.4" customHeight="1" thickBot="1">
      <c r="A38" s="142"/>
      <c r="B38" s="347"/>
      <c r="C38" s="347"/>
      <c r="D38" s="347"/>
      <c r="E38" s="347"/>
      <c r="F38" s="347"/>
      <c r="G38" s="347"/>
      <c r="H38" s="347"/>
      <c r="I38" s="347"/>
      <c r="J38" s="347"/>
      <c r="K38" s="347"/>
      <c r="L38" s="347"/>
      <c r="M38" s="346"/>
      <c r="N38" s="346"/>
      <c r="O38" s="346"/>
      <c r="P38" s="253"/>
      <c r="Q38" s="5"/>
      <c r="R38" s="5"/>
      <c r="S38" s="6"/>
      <c r="T38" s="6"/>
      <c r="U38" s="6"/>
      <c r="V38" s="6"/>
      <c r="W38" s="6"/>
      <c r="X38" s="6"/>
      <c r="Y38" s="6"/>
      <c r="Z38" s="199"/>
      <c r="AA38" s="200"/>
      <c r="AB38" s="200"/>
      <c r="AC38" s="200"/>
      <c r="AD38" s="200"/>
      <c r="AE38" s="200"/>
      <c r="AF38" s="200"/>
      <c r="AG38" s="200"/>
      <c r="AH38" s="200"/>
      <c r="AI38" s="200"/>
      <c r="AJ38" s="200"/>
      <c r="AK38" s="200"/>
      <c r="AL38" s="200"/>
      <c r="AM38" s="200"/>
      <c r="AN38" s="200"/>
      <c r="AO38" s="200"/>
      <c r="AP38" s="200"/>
      <c r="AQ38" s="200"/>
      <c r="AR38" s="200"/>
      <c r="AS38" s="200"/>
      <c r="AT38" s="254"/>
      <c r="AU38" s="274"/>
      <c r="AV38" s="278"/>
      <c r="AW38" s="279"/>
      <c r="AX38" s="279"/>
      <c r="AY38" s="279"/>
      <c r="AZ38" s="279"/>
      <c r="BA38" s="279"/>
      <c r="BB38" s="279"/>
      <c r="BC38" s="279"/>
      <c r="BD38" s="279"/>
      <c r="BE38" s="279"/>
      <c r="BF38" s="279"/>
      <c r="BG38" s="279"/>
      <c r="BH38" s="279"/>
      <c r="BI38" s="279"/>
      <c r="BJ38" s="279"/>
      <c r="BK38" s="279"/>
      <c r="BL38" s="279"/>
      <c r="BM38" s="279"/>
      <c r="CZ38" s="143"/>
      <c r="DA38" s="143"/>
      <c r="DB38" s="143"/>
      <c r="DC38" s="143"/>
      <c r="DD38" s="143"/>
      <c r="DE38" s="143"/>
      <c r="DF38" s="143"/>
      <c r="DG38" s="143"/>
      <c r="DH38" s="143"/>
      <c r="DI38" s="143"/>
      <c r="DJ38" s="143"/>
      <c r="DK38" s="143"/>
      <c r="DL38" s="143"/>
      <c r="DM38" s="143"/>
      <c r="DN38" s="254"/>
      <c r="DO38" s="255">
        <v>3273</v>
      </c>
      <c r="DP38" s="256">
        <f>AB8</f>
        <v>0</v>
      </c>
      <c r="DQ38" s="254" t="str">
        <f t="shared" si="6"/>
        <v/>
      </c>
      <c r="DR38" s="254" t="str">
        <f t="shared" si="7"/>
        <v/>
      </c>
      <c r="DS38" s="254" t="str">
        <f t="shared" si="8"/>
        <v xml:space="preserve">3180, 3179, 3080, 2980, 2880, </v>
      </c>
      <c r="DT38" s="254" t="str">
        <f t="shared" si="9"/>
        <v/>
      </c>
      <c r="DU38" s="254"/>
      <c r="DV38" s="255"/>
      <c r="DW38" s="143"/>
      <c r="DX38" s="143"/>
      <c r="DY38" s="143"/>
      <c r="DZ38" s="143"/>
      <c r="EA38" s="143"/>
      <c r="EB38" s="143"/>
      <c r="EC38" s="143"/>
      <c r="ED38" s="143"/>
    </row>
    <row r="39" spans="1:134" ht="23.4" customHeight="1" thickTop="1" thickBot="1">
      <c r="A39" s="168"/>
      <c r="B39" s="169"/>
      <c r="C39" s="169"/>
      <c r="D39" s="169"/>
      <c r="E39" s="169"/>
      <c r="F39" s="170"/>
      <c r="G39" s="170"/>
      <c r="H39" s="170"/>
      <c r="I39" s="170"/>
      <c r="J39" s="170"/>
      <c r="K39" s="170"/>
      <c r="L39" s="170"/>
      <c r="M39" s="170"/>
      <c r="N39" s="170"/>
      <c r="O39" s="170"/>
      <c r="P39" s="271"/>
      <c r="Q39" s="258"/>
      <c r="R39" s="259"/>
      <c r="S39" s="260"/>
      <c r="T39" s="260"/>
      <c r="U39" s="260"/>
      <c r="V39" s="260"/>
      <c r="W39" s="260"/>
      <c r="X39" s="260"/>
      <c r="Y39" s="260"/>
      <c r="Z39" s="260"/>
      <c r="AA39" s="260"/>
      <c r="AB39" s="260"/>
      <c r="AC39" s="260"/>
      <c r="AD39" s="260"/>
      <c r="AE39" s="260"/>
      <c r="AF39" s="259"/>
      <c r="AG39" s="259"/>
      <c r="AH39" s="272"/>
      <c r="AI39" s="272"/>
      <c r="AJ39" s="272"/>
      <c r="AK39" s="272"/>
      <c r="AL39" s="272"/>
      <c r="AM39" s="272"/>
      <c r="AN39" s="272"/>
      <c r="AO39" s="272"/>
      <c r="AP39" s="272"/>
      <c r="AQ39" s="272"/>
      <c r="AR39" s="272"/>
      <c r="AS39" s="272"/>
      <c r="AT39" s="254"/>
      <c r="AU39" s="274"/>
      <c r="AV39" s="273"/>
      <c r="CZ39" s="143"/>
      <c r="DA39" s="143"/>
      <c r="DB39" s="143"/>
      <c r="DC39" s="143"/>
      <c r="DD39" s="143"/>
      <c r="DE39" s="143"/>
      <c r="DF39" s="143"/>
      <c r="DG39" s="143"/>
      <c r="DH39" s="143"/>
      <c r="DI39" s="143"/>
      <c r="DJ39" s="143"/>
      <c r="DK39" s="143"/>
      <c r="DL39" s="143"/>
      <c r="DM39" s="143"/>
      <c r="DN39" s="254"/>
      <c r="DO39" s="255">
        <v>3274</v>
      </c>
      <c r="DP39" s="256">
        <f>AA8</f>
        <v>0</v>
      </c>
      <c r="DQ39" s="254" t="str">
        <f t="shared" si="6"/>
        <v/>
      </c>
      <c r="DR39" s="254" t="str">
        <f t="shared" si="7"/>
        <v/>
      </c>
      <c r="DS39" s="254" t="str">
        <f t="shared" si="8"/>
        <v xml:space="preserve">3180, 3179, 3080, 2980, 2880, </v>
      </c>
      <c r="DT39" s="254" t="str">
        <f t="shared" si="9"/>
        <v/>
      </c>
      <c r="DU39" s="254"/>
      <c r="DV39" s="255"/>
      <c r="DW39" s="143"/>
      <c r="DX39" s="143"/>
      <c r="DY39" s="143"/>
      <c r="DZ39" s="143"/>
      <c r="EA39" s="143"/>
      <c r="EB39" s="143"/>
      <c r="EC39" s="143"/>
      <c r="ED39" s="143"/>
    </row>
    <row r="40" spans="1:134" ht="23.4" customHeight="1" thickTop="1" thickBot="1">
      <c r="A40" s="171"/>
      <c r="B40" s="293" t="s">
        <v>17</v>
      </c>
      <c r="C40" s="293"/>
      <c r="D40" s="293"/>
      <c r="E40" s="294"/>
      <c r="F40" s="294"/>
      <c r="G40" s="294"/>
      <c r="H40" s="294"/>
      <c r="I40" s="294"/>
      <c r="J40" s="294"/>
      <c r="K40" s="294"/>
      <c r="L40" s="294"/>
      <c r="M40" s="282"/>
      <c r="N40" s="282"/>
      <c r="O40" s="283"/>
      <c r="Q40" s="6"/>
      <c r="R40" s="489"/>
      <c r="S40" s="489"/>
      <c r="T40" s="489"/>
      <c r="U40" s="489"/>
      <c r="V40" s="489"/>
      <c r="W40" s="489"/>
      <c r="X40" s="489"/>
      <c r="Y40" s="489"/>
      <c r="Z40" s="489"/>
      <c r="AA40" s="489"/>
      <c r="AB40" s="489"/>
      <c r="AC40" s="489"/>
      <c r="AD40" s="489"/>
      <c r="AE40" s="6"/>
      <c r="AF40" s="6"/>
      <c r="AG40" s="6"/>
      <c r="AH40" s="6"/>
      <c r="AI40" s="200"/>
      <c r="AJ40" s="200"/>
      <c r="AK40" s="200"/>
      <c r="AL40" s="200"/>
      <c r="AM40" s="200"/>
      <c r="AN40" s="200"/>
      <c r="AO40" s="200"/>
      <c r="AP40" s="200"/>
      <c r="AQ40" s="200"/>
      <c r="AR40" s="200"/>
      <c r="AS40" s="200"/>
      <c r="AT40" s="254"/>
      <c r="AU40" s="274"/>
      <c r="AV40" s="273"/>
      <c r="CZ40" s="143"/>
      <c r="DA40" s="143"/>
      <c r="DB40" s="143"/>
      <c r="DC40" s="143"/>
      <c r="DD40" s="143"/>
      <c r="DE40" s="143"/>
      <c r="DF40" s="143"/>
      <c r="DG40" s="143"/>
      <c r="DH40" s="143"/>
      <c r="DI40" s="143"/>
      <c r="DJ40" s="143"/>
      <c r="DK40" s="143"/>
      <c r="DL40" s="143"/>
      <c r="DM40" s="143"/>
      <c r="DN40" s="254"/>
      <c r="DO40" s="255">
        <v>3275</v>
      </c>
      <c r="DP40" s="256">
        <f>Z8</f>
        <v>0</v>
      </c>
      <c r="DQ40" s="254" t="str">
        <f t="shared" si="6"/>
        <v/>
      </c>
      <c r="DR40" s="254" t="str">
        <f t="shared" si="7"/>
        <v/>
      </c>
      <c r="DS40" s="254" t="str">
        <f t="shared" si="8"/>
        <v xml:space="preserve">3180, 3179, 3080, 2980, 2880, </v>
      </c>
      <c r="DT40" s="254" t="str">
        <f t="shared" si="9"/>
        <v/>
      </c>
      <c r="DU40" s="254"/>
      <c r="DV40" s="255"/>
      <c r="DW40" s="143"/>
      <c r="DX40" s="143"/>
      <c r="DY40" s="143"/>
      <c r="DZ40" s="143"/>
      <c r="EA40" s="143"/>
      <c r="EB40" s="143"/>
      <c r="EC40" s="143"/>
      <c r="ED40" s="143"/>
    </row>
    <row r="41" spans="1:134" ht="19.8" customHeight="1" thickTop="1">
      <c r="A41" s="171"/>
      <c r="B41" s="235"/>
      <c r="C41" s="235"/>
      <c r="D41" s="235"/>
      <c r="E41" s="282"/>
      <c r="F41" s="282"/>
      <c r="G41" s="282"/>
      <c r="H41" s="282"/>
      <c r="I41" s="282"/>
      <c r="J41" s="282"/>
      <c r="K41" s="282"/>
      <c r="L41" s="282"/>
      <c r="M41" s="282"/>
      <c r="N41" s="282"/>
      <c r="O41" s="283"/>
      <c r="Q41" s="257"/>
      <c r="R41" s="259"/>
      <c r="S41" s="260"/>
      <c r="T41" s="260"/>
      <c r="U41" s="260"/>
      <c r="V41" s="260"/>
      <c r="W41" s="260"/>
      <c r="X41" s="260"/>
      <c r="Y41" s="260"/>
      <c r="Z41" s="260"/>
      <c r="AA41" s="260"/>
      <c r="AB41" s="260"/>
      <c r="AC41" s="260"/>
      <c r="AD41" s="260"/>
      <c r="AE41" s="260"/>
      <c r="AF41" s="259"/>
      <c r="AG41" s="259"/>
      <c r="AH41" s="259"/>
      <c r="AI41" s="261"/>
      <c r="AJ41" s="200"/>
      <c r="AK41" s="200"/>
      <c r="AL41" s="200"/>
      <c r="AM41" s="200"/>
      <c r="AN41" s="200"/>
      <c r="AO41" s="200"/>
      <c r="AP41" s="200"/>
      <c r="AQ41" s="200"/>
      <c r="AR41" s="200"/>
      <c r="AS41" s="200"/>
      <c r="AT41" s="254"/>
      <c r="AU41" s="274"/>
      <c r="AV41" s="273"/>
      <c r="CZ41" s="143"/>
      <c r="DA41" s="143"/>
      <c r="DB41" s="143"/>
      <c r="DC41" s="143"/>
      <c r="DD41" s="143"/>
      <c r="DE41" s="143"/>
      <c r="DF41" s="143"/>
      <c r="DG41" s="143"/>
      <c r="DH41" s="143"/>
      <c r="DI41" s="143"/>
      <c r="DJ41" s="143"/>
      <c r="DK41" s="143"/>
      <c r="DL41" s="143"/>
      <c r="DM41" s="143"/>
      <c r="DN41" s="254"/>
      <c r="DO41" s="255">
        <v>3276</v>
      </c>
      <c r="DP41" s="256">
        <f>Y8</f>
        <v>0</v>
      </c>
      <c r="DQ41" s="254" t="str">
        <f t="shared" si="6"/>
        <v/>
      </c>
      <c r="DR41" s="254" t="str">
        <f t="shared" si="7"/>
        <v/>
      </c>
      <c r="DS41" s="254" t="str">
        <f t="shared" si="8"/>
        <v xml:space="preserve">3180, 3179, 3080, 2980, 2880, </v>
      </c>
      <c r="DT41" s="254" t="str">
        <f t="shared" si="9"/>
        <v/>
      </c>
      <c r="DU41" s="254"/>
      <c r="DV41" s="255"/>
      <c r="DW41" s="143"/>
      <c r="DX41" s="143"/>
      <c r="DY41" s="143"/>
      <c r="DZ41" s="143"/>
      <c r="EA41" s="143"/>
      <c r="EB41" s="143"/>
      <c r="EC41" s="143"/>
      <c r="ED41" s="143"/>
    </row>
    <row r="42" spans="1:134" ht="23.4" customHeight="1">
      <c r="A42" s="171"/>
      <c r="B42" s="235" t="s">
        <v>22</v>
      </c>
      <c r="C42" s="235"/>
      <c r="D42" s="235"/>
      <c r="E42" s="284"/>
      <c r="F42" s="282"/>
      <c r="G42" s="285" t="str">
        <f>IF(LEN(CONCATENATE(BQ2,BR2,BS2))-2&gt;0,LEFT(CONCATENATE(BQ2,BR2,BS2),LEN(CONCATENATE(BQ2,BR2,BS2))-2),"None")</f>
        <v>Comm, Rec, HB</v>
      </c>
      <c r="H42" s="284"/>
      <c r="I42" s="282"/>
      <c r="J42" s="282"/>
      <c r="K42" s="282"/>
      <c r="L42" s="282"/>
      <c r="M42" s="282"/>
      <c r="N42" s="282"/>
      <c r="O42" s="283"/>
      <c r="Q42" s="53"/>
      <c r="R42" s="8"/>
      <c r="S42" s="490" t="s">
        <v>58</v>
      </c>
      <c r="T42" s="490"/>
      <c r="U42" s="490"/>
      <c r="V42" s="490"/>
      <c r="W42" s="490"/>
      <c r="X42" s="490"/>
      <c r="Y42" s="490"/>
      <c r="Z42" s="490"/>
      <c r="AA42" s="490"/>
      <c r="AB42" s="490"/>
      <c r="AC42" s="490"/>
      <c r="AD42" s="490"/>
      <c r="AE42" s="490"/>
      <c r="AF42" s="8"/>
      <c r="AG42" s="8"/>
      <c r="AH42" s="8"/>
      <c r="AI42" s="262"/>
      <c r="AJ42" s="200"/>
      <c r="AK42" s="200"/>
      <c r="AL42" s="200"/>
      <c r="AM42" s="200"/>
      <c r="AN42" s="200"/>
      <c r="AO42" s="200"/>
      <c r="AP42" s="200"/>
      <c r="AQ42" s="200"/>
      <c r="AR42" s="200"/>
      <c r="AS42" s="200"/>
      <c r="AT42" s="254"/>
      <c r="AU42" s="274"/>
      <c r="AV42" s="273"/>
      <c r="CZ42" s="143"/>
      <c r="DA42" s="143"/>
      <c r="DB42" s="143"/>
      <c r="DC42" s="143"/>
      <c r="DD42" s="143"/>
      <c r="DE42" s="143"/>
      <c r="DF42" s="143"/>
      <c r="DG42" s="143"/>
      <c r="DH42" s="143"/>
      <c r="DI42" s="143"/>
      <c r="DJ42" s="143"/>
      <c r="DK42" s="143"/>
      <c r="DL42" s="143"/>
      <c r="DM42" s="143"/>
      <c r="DN42" s="254"/>
      <c r="DO42" s="255">
        <v>3277</v>
      </c>
      <c r="DP42" s="256">
        <f>X8</f>
        <v>0</v>
      </c>
      <c r="DQ42" s="254" t="str">
        <f t="shared" si="6"/>
        <v/>
      </c>
      <c r="DR42" s="254" t="str">
        <f t="shared" si="7"/>
        <v/>
      </c>
      <c r="DS42" s="254" t="str">
        <f t="shared" si="8"/>
        <v xml:space="preserve">3180, 3179, 3080, 2980, 2880, </v>
      </c>
      <c r="DT42" s="254" t="str">
        <f t="shared" si="9"/>
        <v/>
      </c>
      <c r="DU42" s="254"/>
      <c r="DV42" s="255"/>
      <c r="DW42" s="143"/>
      <c r="DX42" s="143"/>
      <c r="DY42" s="143"/>
      <c r="DZ42" s="143"/>
      <c r="EA42" s="143"/>
      <c r="EB42" s="143"/>
      <c r="EC42" s="143"/>
      <c r="ED42" s="143"/>
    </row>
    <row r="43" spans="1:134" ht="33" customHeight="1" thickBot="1">
      <c r="A43" s="171"/>
      <c r="B43" s="235" t="s">
        <v>59</v>
      </c>
      <c r="C43" s="235"/>
      <c r="D43" s="235"/>
      <c r="E43" s="284"/>
      <c r="F43" s="282"/>
      <c r="G43" s="457" t="str">
        <f>IF(LEN('User Interface (Start Here!)'!DS73)&gt;=1,LEFT('User Interface (Start Here!)'!DS73,LEN('User Interface (Start Here!)'!DS73)-2),"None")</f>
        <v>3279, 3278, 3180, 3179, 3080, 2980, 2880</v>
      </c>
      <c r="H43" s="458"/>
      <c r="I43" s="458"/>
      <c r="J43" s="458"/>
      <c r="K43" s="458"/>
      <c r="L43" s="485" t="str">
        <f>IF($G$46="NO",IF(AND(ISBLANK($L$14),ISBLANK($M$14),ISBLANK($N$14),G43="3279, 3278, 3180, 3179, 3080, 2980, 2880"),"(ALTERNATIVE 6)",IF(AND(NOT(ISBLANK($L$14)),G43="3279, 3278, 3180, 3179, 3080, 2980, 2880"),"(ALTERNATIVE 4)",IF(AND(ISBLANK($L$14),ISBLANK($M$14),ISBLANK($N$14),G43="3180, 3080, 2980, 2880"),"(ALTERNATIVE 5)",IF(AND(NOT(ISBLANK($L$14)),G43="3180, 3080, 2980, 2880"),"(ALTERNATIVE 3)",IF($G$45=0,"(ALTERNATIVE 2)","(NEW ALTERNATIVE)"))))),"(NEW ALTERNATIVE)")</f>
        <v>(NEW ALTERNATIVE)</v>
      </c>
      <c r="M43" s="486"/>
      <c r="N43" s="282"/>
      <c r="O43" s="283"/>
      <c r="Q43" s="53"/>
      <c r="R43" s="263"/>
      <c r="S43" s="263"/>
      <c r="T43" s="263"/>
      <c r="U43" s="263"/>
      <c r="V43" s="263"/>
      <c r="W43" s="263"/>
      <c r="X43" s="263"/>
      <c r="Y43" s="263"/>
      <c r="Z43" s="263"/>
      <c r="AA43" s="263"/>
      <c r="AB43" s="263"/>
      <c r="AC43" s="263"/>
      <c r="AD43" s="263"/>
      <c r="AE43" s="263"/>
      <c r="AF43" s="263"/>
      <c r="AG43" s="263"/>
      <c r="AH43" s="8"/>
      <c r="AI43" s="262"/>
      <c r="AJ43" s="200"/>
      <c r="AK43" s="200"/>
      <c r="AL43" s="200"/>
      <c r="AM43" s="200"/>
      <c r="AN43" s="200"/>
      <c r="AO43" s="200"/>
      <c r="AP43" s="200"/>
      <c r="AQ43" s="200"/>
      <c r="AR43" s="200"/>
      <c r="AS43" s="200"/>
      <c r="AT43" s="254"/>
      <c r="AU43" s="274"/>
      <c r="AV43" s="273"/>
      <c r="CZ43" s="143"/>
      <c r="DA43" s="143"/>
      <c r="DB43" s="143"/>
      <c r="DC43" s="143"/>
      <c r="DD43" s="143"/>
      <c r="DE43" s="143"/>
      <c r="DF43" s="143"/>
      <c r="DG43" s="143"/>
      <c r="DH43" s="143"/>
      <c r="DI43" s="143"/>
      <c r="DJ43" s="143"/>
      <c r="DK43" s="143"/>
      <c r="DL43" s="143"/>
      <c r="DM43" s="143"/>
      <c r="DN43" s="254"/>
      <c r="DO43" s="255">
        <v>3278</v>
      </c>
      <c r="DP43" s="256" t="str">
        <f>W8</f>
        <v>x</v>
      </c>
      <c r="DQ43" s="254" t="str">
        <f t="shared" si="6"/>
        <v xml:space="preserve">3278, </v>
      </c>
      <c r="DR43" s="254" t="str">
        <f t="shared" si="7"/>
        <v/>
      </c>
      <c r="DS43" s="254" t="str">
        <f t="shared" si="8"/>
        <v xml:space="preserve">3278, 3180, 3179, 3080, 2980, 2880, </v>
      </c>
      <c r="DT43" s="254" t="str">
        <f t="shared" si="9"/>
        <v/>
      </c>
      <c r="DU43" s="254"/>
      <c r="DV43" s="255"/>
      <c r="DW43" s="143"/>
      <c r="DX43" s="143"/>
      <c r="DY43" s="143"/>
      <c r="DZ43" s="143"/>
      <c r="EA43" s="143"/>
      <c r="EB43" s="143"/>
      <c r="EC43" s="143"/>
      <c r="ED43" s="143"/>
    </row>
    <row r="44" spans="1:134" ht="24" customHeight="1" thickBot="1">
      <c r="A44" s="171"/>
      <c r="B44" s="235"/>
      <c r="C44" s="235"/>
      <c r="D44" s="235"/>
      <c r="E44" s="284"/>
      <c r="F44" s="282"/>
      <c r="G44" s="458"/>
      <c r="H44" s="458"/>
      <c r="I44" s="458"/>
      <c r="J44" s="458"/>
      <c r="K44" s="458"/>
      <c r="L44" s="282"/>
      <c r="M44" s="286"/>
      <c r="N44" s="282"/>
      <c r="O44" s="283"/>
      <c r="Q44" s="53"/>
      <c r="R44" s="38"/>
      <c r="S44" s="38"/>
      <c r="T44" s="38"/>
      <c r="U44" s="38"/>
      <c r="V44" s="38"/>
      <c r="W44" s="38"/>
      <c r="X44" s="38"/>
      <c r="Y44" s="38"/>
      <c r="Z44" s="9">
        <f>'User Interface (Start Here!)'!Z4</f>
        <v>0</v>
      </c>
      <c r="AA44" s="9">
        <f>'User Interface (Start Here!)'!AA4</f>
        <v>0</v>
      </c>
      <c r="AB44" s="9">
        <f>'User Interface (Start Here!)'!AB4</f>
        <v>0</v>
      </c>
      <c r="AC44" s="9">
        <f>'User Interface (Start Here!)'!AC4</f>
        <v>0</v>
      </c>
      <c r="AD44" s="9">
        <f>'User Interface (Start Here!)'!AD4</f>
        <v>0</v>
      </c>
      <c r="AE44" s="9">
        <f>'User Interface (Start Here!)'!AE4</f>
        <v>0</v>
      </c>
      <c r="AF44" s="9">
        <f>'User Interface (Start Here!)'!AF4</f>
        <v>0</v>
      </c>
      <c r="AG44" s="38"/>
      <c r="AH44" s="8"/>
      <c r="AI44" s="262"/>
      <c r="AJ44" s="200"/>
      <c r="AK44" s="200"/>
      <c r="AL44" s="200"/>
      <c r="AM44" s="200"/>
      <c r="AN44" s="200"/>
      <c r="AO44" s="200"/>
      <c r="AP44" s="200"/>
      <c r="AQ44" s="200"/>
      <c r="AR44" s="200"/>
      <c r="AS44" s="200"/>
      <c r="AT44" s="254"/>
      <c r="AU44" s="274"/>
      <c r="AV44" s="273"/>
      <c r="CZ44" s="143"/>
      <c r="DA44" s="143"/>
      <c r="DB44" s="143"/>
      <c r="DC44" s="143"/>
      <c r="DD44" s="143"/>
      <c r="DE44" s="143"/>
      <c r="DF44" s="143"/>
      <c r="DG44" s="143"/>
      <c r="DH44" s="143"/>
      <c r="DI44" s="143"/>
      <c r="DJ44" s="143"/>
      <c r="DK44" s="143"/>
      <c r="DL44" s="143"/>
      <c r="DM44" s="143"/>
      <c r="DN44" s="254"/>
      <c r="DO44" s="255">
        <v>3279</v>
      </c>
      <c r="DP44" s="256" t="str">
        <f>V8</f>
        <v>X</v>
      </c>
      <c r="DQ44" s="254" t="str">
        <f t="shared" si="6"/>
        <v xml:space="preserve">3279, </v>
      </c>
      <c r="DR44" s="254" t="str">
        <f t="shared" si="7"/>
        <v/>
      </c>
      <c r="DS44" s="254" t="str">
        <f t="shared" si="8"/>
        <v xml:space="preserve">3279, 3278, 3180, 3179, 3080, 2980, 2880, </v>
      </c>
      <c r="DT44" s="254" t="str">
        <f t="shared" si="9"/>
        <v/>
      </c>
      <c r="DU44" s="254"/>
      <c r="DV44" s="255"/>
      <c r="DW44" s="143"/>
      <c r="DX44" s="143"/>
      <c r="DY44" s="143"/>
      <c r="DZ44" s="143"/>
      <c r="EA44" s="143"/>
      <c r="EB44" s="143"/>
      <c r="EC44" s="143"/>
      <c r="ED44" s="143"/>
    </row>
    <row r="45" spans="1:134" ht="24" customHeight="1" thickBot="1">
      <c r="A45" s="171"/>
      <c r="B45" s="235" t="s">
        <v>135</v>
      </c>
      <c r="C45" s="235"/>
      <c r="D45" s="235"/>
      <c r="E45" s="284"/>
      <c r="F45" s="282"/>
      <c r="G45" s="287">
        <f>COUNTIF(B19:B28,"&lt;&gt;n/a")</f>
        <v>7</v>
      </c>
      <c r="H45" s="285"/>
      <c r="I45" s="282"/>
      <c r="J45" s="282"/>
      <c r="K45" s="503" t="str">
        <f>IF(G45=1,"Note: The table below has been partially obscured to protect confidentiality.","")</f>
        <v/>
      </c>
      <c r="L45" s="504"/>
      <c r="M45" s="504"/>
      <c r="N45" s="282"/>
      <c r="O45" s="283"/>
      <c r="Q45" s="53"/>
      <c r="R45" s="38"/>
      <c r="S45" s="38"/>
      <c r="T45" s="38"/>
      <c r="U45" s="38"/>
      <c r="V45" s="38"/>
      <c r="W45" s="38"/>
      <c r="X45" s="38"/>
      <c r="Y45" s="38"/>
      <c r="Z45" s="9">
        <f>'User Interface (Start Here!)'!Z5</f>
        <v>0</v>
      </c>
      <c r="AA45" s="9">
        <f>'User Interface (Start Here!)'!AA5</f>
        <v>0</v>
      </c>
      <c r="AB45" s="9">
        <f>'User Interface (Start Here!)'!AB5</f>
        <v>0</v>
      </c>
      <c r="AC45" s="9">
        <f>'User Interface (Start Here!)'!AC5</f>
        <v>0</v>
      </c>
      <c r="AD45" s="9">
        <f>'User Interface (Start Here!)'!AD5</f>
        <v>0</v>
      </c>
      <c r="AE45" s="9">
        <f>'User Interface (Start Here!)'!AE5</f>
        <v>0</v>
      </c>
      <c r="AF45" s="38"/>
      <c r="AG45" s="38"/>
      <c r="AH45" s="8"/>
      <c r="AI45" s="262"/>
      <c r="AJ45" s="200"/>
      <c r="AK45" s="200"/>
      <c r="AL45" s="200"/>
      <c r="AM45" s="200"/>
      <c r="AN45" s="200"/>
      <c r="AO45" s="200"/>
      <c r="AP45" s="200"/>
      <c r="AQ45" s="200"/>
      <c r="AR45" s="200"/>
      <c r="AS45" s="200"/>
      <c r="AT45" s="254"/>
      <c r="AU45" s="274"/>
      <c r="AV45" s="273"/>
      <c r="CZ45" s="143"/>
      <c r="DA45" s="143"/>
      <c r="DB45" s="143"/>
      <c r="DC45" s="143"/>
      <c r="DD45" s="143"/>
      <c r="DE45" s="143"/>
      <c r="DF45" s="143"/>
      <c r="DG45" s="143"/>
      <c r="DH45" s="143"/>
      <c r="DI45" s="143"/>
      <c r="DJ45" s="143"/>
      <c r="DK45" s="143"/>
      <c r="DL45" s="143"/>
      <c r="DM45" s="143"/>
      <c r="DN45" s="254"/>
      <c r="DO45" s="255">
        <v>3280</v>
      </c>
      <c r="DP45" s="256">
        <f>U8</f>
        <v>0</v>
      </c>
      <c r="DQ45" s="254" t="str">
        <f t="shared" si="6"/>
        <v/>
      </c>
      <c r="DR45" s="254" t="str">
        <f t="shared" si="7"/>
        <v/>
      </c>
      <c r="DS45" s="254" t="str">
        <f t="shared" si="8"/>
        <v xml:space="preserve">3279, 3278, 3180, 3179, 3080, 2980, 2880, </v>
      </c>
      <c r="DT45" s="254" t="str">
        <f t="shared" si="9"/>
        <v/>
      </c>
      <c r="DU45" s="254"/>
      <c r="DV45" s="255"/>
      <c r="DW45" s="143"/>
      <c r="DX45" s="143"/>
      <c r="DY45" s="143"/>
      <c r="DZ45" s="143"/>
      <c r="EA45" s="143"/>
      <c r="EB45" s="143"/>
      <c r="EC45" s="143"/>
      <c r="ED45" s="143"/>
    </row>
    <row r="46" spans="1:134" ht="23.4" customHeight="1" thickBot="1">
      <c r="A46" s="171"/>
      <c r="B46" s="235" t="s">
        <v>69</v>
      </c>
      <c r="C46" s="235"/>
      <c r="D46" s="235"/>
      <c r="E46" s="284"/>
      <c r="F46" s="282"/>
      <c r="G46" s="285" t="str">
        <f>IF(SUM($C$19:$N$28)&lt;&gt;12000%,"YES","NO")</f>
        <v>NO</v>
      </c>
      <c r="H46" s="284"/>
      <c r="I46" s="282"/>
      <c r="J46" s="282"/>
      <c r="K46" s="504"/>
      <c r="L46" s="504"/>
      <c r="M46" s="504"/>
      <c r="N46" s="282"/>
      <c r="O46" s="283"/>
      <c r="Q46" s="53"/>
      <c r="R46" s="38"/>
      <c r="S46" s="38"/>
      <c r="T46" s="38"/>
      <c r="U46" s="38"/>
      <c r="V46" s="38"/>
      <c r="W46" s="38"/>
      <c r="X46" s="9">
        <f>'User Interface (Start Here!)'!X6</f>
        <v>0</v>
      </c>
      <c r="Y46" s="9">
        <f>'User Interface (Start Here!)'!Y6</f>
        <v>0</v>
      </c>
      <c r="Z46" s="9">
        <f>'User Interface (Start Here!)'!Z6</f>
        <v>0</v>
      </c>
      <c r="AA46" s="9">
        <f>'User Interface (Start Here!)'!AA6</f>
        <v>0</v>
      </c>
      <c r="AB46" s="9">
        <f>'User Interface (Start Here!)'!AB6</f>
        <v>0</v>
      </c>
      <c r="AC46" s="9">
        <f>'User Interface (Start Here!)'!AC6</f>
        <v>0</v>
      </c>
      <c r="AD46" s="9">
        <f>'User Interface (Start Here!)'!AD6</f>
        <v>0</v>
      </c>
      <c r="AE46" s="38"/>
      <c r="AF46" s="38"/>
      <c r="AG46" s="38"/>
      <c r="AH46" s="8"/>
      <c r="AI46" s="262"/>
      <c r="AJ46" s="200"/>
      <c r="AK46" s="200"/>
      <c r="AL46" s="200"/>
      <c r="AM46" s="200"/>
      <c r="AN46" s="200"/>
      <c r="AO46" s="200"/>
      <c r="AP46" s="200"/>
      <c r="AQ46" s="200"/>
      <c r="AR46" s="200"/>
      <c r="AS46" s="200"/>
      <c r="AT46" s="254"/>
      <c r="AU46" s="274"/>
      <c r="AV46" s="273"/>
      <c r="CZ46" s="143"/>
      <c r="DA46" s="143"/>
      <c r="DB46" s="143"/>
      <c r="DC46" s="143"/>
      <c r="DD46" s="143"/>
      <c r="DE46" s="143"/>
      <c r="DF46" s="143"/>
      <c r="DG46" s="143"/>
      <c r="DH46" s="143"/>
      <c r="DI46" s="143"/>
      <c r="DJ46" s="143"/>
      <c r="DK46" s="143"/>
      <c r="DL46" s="143"/>
      <c r="DM46" s="143"/>
      <c r="DN46" s="254"/>
      <c r="DO46" s="255">
        <v>3372</v>
      </c>
      <c r="DP46" s="256">
        <f>AC7</f>
        <v>0</v>
      </c>
      <c r="DQ46" s="254" t="str">
        <f t="shared" si="6"/>
        <v/>
      </c>
      <c r="DR46" s="254" t="str">
        <f t="shared" si="7"/>
        <v/>
      </c>
      <c r="DS46" s="254" t="str">
        <f t="shared" si="8"/>
        <v xml:space="preserve">3279, 3278, 3180, 3179, 3080, 2980, 2880, </v>
      </c>
      <c r="DT46" s="254" t="str">
        <f t="shared" si="9"/>
        <v/>
      </c>
      <c r="DU46" s="254"/>
      <c r="DV46" s="255"/>
      <c r="DW46" s="143"/>
      <c r="DX46" s="143"/>
      <c r="DY46" s="143"/>
      <c r="DZ46" s="143"/>
      <c r="EA46" s="143"/>
      <c r="EB46" s="143"/>
      <c r="EC46" s="143"/>
      <c r="ED46" s="143"/>
    </row>
    <row r="47" spans="1:134" ht="23.4" customHeight="1" thickBot="1">
      <c r="A47" s="171"/>
      <c r="B47" s="235" t="s">
        <v>80</v>
      </c>
      <c r="C47" s="235"/>
      <c r="D47" s="235"/>
      <c r="E47" s="284"/>
      <c r="F47" s="282"/>
      <c r="G47" s="285" t="str">
        <f>IF(LEN(O29)&gt;0,LEFT(O29,LEN(O29)-2),"n/a")</f>
        <v>n/a</v>
      </c>
      <c r="H47" s="284"/>
      <c r="I47" s="282"/>
      <c r="J47" s="282"/>
      <c r="K47" s="504"/>
      <c r="L47" s="504"/>
      <c r="M47" s="504"/>
      <c r="N47" s="282"/>
      <c r="O47" s="283"/>
      <c r="Q47" s="53"/>
      <c r="R47" s="38"/>
      <c r="S47" s="38"/>
      <c r="T47" s="38"/>
      <c r="U47" s="38"/>
      <c r="V47" s="38"/>
      <c r="W47" s="10">
        <f>'User Interface (Start Here!)'!W7</f>
        <v>0</v>
      </c>
      <c r="X47" s="9">
        <f>'User Interface (Start Here!)'!X7</f>
        <v>0</v>
      </c>
      <c r="Y47" s="9">
        <f>'User Interface (Start Here!)'!Y7</f>
        <v>0</v>
      </c>
      <c r="Z47" s="9">
        <f>'User Interface (Start Here!)'!Z7</f>
        <v>0</v>
      </c>
      <c r="AA47" s="9">
        <f>'User Interface (Start Here!)'!AA7</f>
        <v>0</v>
      </c>
      <c r="AB47" s="9">
        <f>'User Interface (Start Here!)'!AB7</f>
        <v>0</v>
      </c>
      <c r="AC47" s="9">
        <f>'User Interface (Start Here!)'!AC7</f>
        <v>0</v>
      </c>
      <c r="AD47" s="39"/>
      <c r="AE47" s="38"/>
      <c r="AF47" s="38"/>
      <c r="AG47" s="38"/>
      <c r="AH47" s="8"/>
      <c r="AI47" s="262"/>
      <c r="AJ47" s="200"/>
      <c r="AK47" s="200"/>
      <c r="AL47" s="200"/>
      <c r="AM47" s="200"/>
      <c r="AN47" s="200"/>
      <c r="AO47" s="200"/>
      <c r="AP47" s="200"/>
      <c r="AQ47" s="200"/>
      <c r="AR47" s="200"/>
      <c r="AS47" s="200"/>
      <c r="AT47" s="254"/>
      <c r="AU47" s="275"/>
      <c r="AV47" s="276"/>
      <c r="AW47" s="277"/>
      <c r="AX47" s="277"/>
      <c r="AY47" s="277"/>
      <c r="AZ47" s="277"/>
      <c r="BA47" s="277"/>
      <c r="BB47" s="277"/>
      <c r="BC47" s="277"/>
      <c r="BD47" s="277"/>
      <c r="BE47" s="277"/>
      <c r="BF47" s="277"/>
      <c r="BG47" s="277"/>
      <c r="BH47" s="277"/>
      <c r="BI47" s="277"/>
      <c r="BJ47" s="277"/>
      <c r="BK47" s="277"/>
      <c r="BL47" s="277"/>
      <c r="BM47" s="277"/>
      <c r="BN47" s="277"/>
      <c r="CZ47" s="143"/>
      <c r="DA47" s="143"/>
      <c r="DB47" s="143"/>
      <c r="DC47" s="143"/>
      <c r="DD47" s="143"/>
      <c r="DE47" s="143"/>
      <c r="DF47" s="143"/>
      <c r="DG47" s="143"/>
      <c r="DH47" s="143"/>
      <c r="DI47" s="143"/>
      <c r="DJ47" s="143"/>
      <c r="DK47" s="143"/>
      <c r="DL47" s="143"/>
      <c r="DM47" s="143"/>
      <c r="DN47" s="254"/>
      <c r="DO47" s="255">
        <v>3373</v>
      </c>
      <c r="DP47" s="256">
        <f>AB7</f>
        <v>0</v>
      </c>
      <c r="DQ47" s="254" t="str">
        <f t="shared" si="6"/>
        <v/>
      </c>
      <c r="DR47" s="254" t="str">
        <f t="shared" si="7"/>
        <v/>
      </c>
      <c r="DS47" s="254" t="str">
        <f t="shared" si="8"/>
        <v xml:space="preserve">3279, 3278, 3180, 3179, 3080, 2980, 2880, </v>
      </c>
      <c r="DT47" s="254" t="str">
        <f t="shared" si="9"/>
        <v/>
      </c>
      <c r="DU47" s="254"/>
      <c r="DV47" s="255"/>
      <c r="DW47" s="143"/>
      <c r="DX47" s="143"/>
      <c r="DY47" s="143"/>
      <c r="DZ47" s="143"/>
      <c r="EA47" s="143"/>
      <c r="EB47" s="143"/>
      <c r="EC47" s="143"/>
      <c r="ED47" s="143"/>
    </row>
    <row r="48" spans="1:134" ht="24" customHeight="1" thickBot="1">
      <c r="A48" s="171"/>
      <c r="B48" s="235" t="s">
        <v>81</v>
      </c>
      <c r="C48" s="235"/>
      <c r="D48" s="235"/>
      <c r="E48" s="284"/>
      <c r="F48" s="282"/>
      <c r="G48" s="285" t="str">
        <f>IF(AND(ISBLANK($L$14),ISBLANK($M$14),ISBLANK($N$14)),"Full Statistical Area Closures",IF(NOT(ISBLANK($M$14)),"Bathymetric (66-240 ft) closure assuming heterogeneous distribution [Logbook]",IF(NOT(ISBLANK($N$14)),"Bathymetric closure (66-300 ft) assuming heterogeneous distribution [Logbook]",IF(OR($L$32="m",$L$32="M"),"Bathymetric (98 - 240 ft) closure assuming heterogeneous distribution [MARMAP]",IF(OR($L$32="L",$L$32="l"),"Bathymetric (98 - 240 ft) closure assuming heterogeneous distribution [Logbook]","Bathymetric (98 - 240 ft) closure assuming homogeneous distribution")))))</f>
        <v>Bathymetric (66-240 ft) closure assuming heterogeneous distribution [Logbook]</v>
      </c>
      <c r="H48" s="284"/>
      <c r="I48" s="282"/>
      <c r="J48" s="282"/>
      <c r="K48" s="282"/>
      <c r="L48" s="282"/>
      <c r="M48" s="282"/>
      <c r="N48" s="282"/>
      <c r="O48" s="283"/>
      <c r="Q48" s="53"/>
      <c r="R48" s="38"/>
      <c r="S48" s="38"/>
      <c r="T48" s="38"/>
      <c r="U48" s="9">
        <f>'User Interface (Start Here!)'!U8</f>
        <v>0</v>
      </c>
      <c r="V48" s="9" t="str">
        <f>'User Interface (Start Here!)'!V8</f>
        <v>X</v>
      </c>
      <c r="W48" s="9" t="str">
        <f>'User Interface (Start Here!)'!W8</f>
        <v>x</v>
      </c>
      <c r="X48" s="11">
        <f>'User Interface (Start Here!)'!X8</f>
        <v>0</v>
      </c>
      <c r="Y48" s="9">
        <f>'User Interface (Start Here!)'!Y8</f>
        <v>0</v>
      </c>
      <c r="Z48" s="9">
        <f>'User Interface (Start Here!)'!Z8</f>
        <v>0</v>
      </c>
      <c r="AA48" s="9">
        <f>'User Interface (Start Here!)'!AA8</f>
        <v>0</v>
      </c>
      <c r="AB48" s="9">
        <f>'User Interface (Start Here!)'!AB8</f>
        <v>0</v>
      </c>
      <c r="AC48" s="38"/>
      <c r="AD48" s="38"/>
      <c r="AE48" s="38"/>
      <c r="AF48" s="38"/>
      <c r="AG48" s="38"/>
      <c r="AH48" s="8"/>
      <c r="AI48" s="262"/>
      <c r="AJ48" s="200"/>
      <c r="AK48" s="200"/>
      <c r="AL48" s="200"/>
      <c r="AM48" s="200"/>
      <c r="AN48" s="200"/>
      <c r="AO48" s="200"/>
      <c r="AP48" s="200"/>
      <c r="AQ48" s="200"/>
      <c r="AR48" s="200"/>
      <c r="AS48" s="200"/>
      <c r="AT48" s="254"/>
      <c r="AU48" s="274"/>
      <c r="AV48" s="278"/>
      <c r="AW48" s="279"/>
      <c r="AX48" s="279"/>
      <c r="AY48" s="279"/>
      <c r="AZ48" s="279"/>
      <c r="BA48" s="279"/>
      <c r="BB48" s="279"/>
      <c r="BC48" s="279"/>
      <c r="BD48" s="279"/>
      <c r="BE48" s="279"/>
      <c r="BF48" s="279"/>
      <c r="BG48" s="279"/>
      <c r="BH48" s="279"/>
      <c r="BI48" s="279"/>
      <c r="BJ48" s="279"/>
      <c r="BK48" s="279"/>
      <c r="BL48" s="279"/>
      <c r="BM48" s="279"/>
      <c r="BN48" s="279"/>
      <c r="CZ48" s="143"/>
      <c r="DA48" s="143"/>
      <c r="DB48" s="143"/>
      <c r="DC48" s="143"/>
      <c r="DD48" s="143"/>
      <c r="DE48" s="143"/>
      <c r="DF48" s="143"/>
      <c r="DG48" s="143"/>
      <c r="DH48" s="143"/>
      <c r="DI48" s="143"/>
      <c r="DJ48" s="143"/>
      <c r="DK48" s="143"/>
      <c r="DL48" s="143"/>
      <c r="DM48" s="143"/>
      <c r="DN48" s="254"/>
      <c r="DO48" s="255">
        <v>3374</v>
      </c>
      <c r="DP48" s="256">
        <f>AA7</f>
        <v>0</v>
      </c>
      <c r="DQ48" s="254" t="str">
        <f t="shared" si="6"/>
        <v/>
      </c>
      <c r="DR48" s="254" t="str">
        <f t="shared" si="7"/>
        <v/>
      </c>
      <c r="DS48" s="254" t="str">
        <f t="shared" si="8"/>
        <v xml:space="preserve">3279, 3278, 3180, 3179, 3080, 2980, 2880, </v>
      </c>
      <c r="DT48" s="254" t="str">
        <f t="shared" si="9"/>
        <v/>
      </c>
      <c r="DU48" s="254"/>
      <c r="DV48" s="255"/>
      <c r="DW48" s="143"/>
      <c r="DX48" s="143"/>
      <c r="DY48" s="143"/>
      <c r="DZ48" s="143"/>
      <c r="EA48" s="143"/>
      <c r="EB48" s="143"/>
      <c r="EC48" s="143"/>
      <c r="ED48" s="143"/>
    </row>
    <row r="49" spans="1:134" ht="23.4" customHeight="1" thickBot="1">
      <c r="A49" s="171"/>
      <c r="B49" s="235"/>
      <c r="C49" s="235"/>
      <c r="D49" s="235"/>
      <c r="E49" s="282"/>
      <c r="F49" s="282"/>
      <c r="G49" s="282"/>
      <c r="H49" s="282"/>
      <c r="I49" s="282"/>
      <c r="J49" s="282"/>
      <c r="K49" s="282"/>
      <c r="L49" s="282"/>
      <c r="M49" s="282"/>
      <c r="N49" s="282"/>
      <c r="O49" s="283"/>
      <c r="Q49" s="53"/>
      <c r="R49" s="38"/>
      <c r="S49" s="38"/>
      <c r="T49" s="12">
        <f>'User Interface (Start Here!)'!T9</f>
        <v>0</v>
      </c>
      <c r="U49" s="9" t="str">
        <f>'User Interface (Start Here!)'!U9</f>
        <v>X</v>
      </c>
      <c r="V49" s="9" t="str">
        <f>'User Interface (Start Here!)'!V9</f>
        <v>X</v>
      </c>
      <c r="W49" s="13">
        <f>'User Interface (Start Here!)'!W9</f>
        <v>0</v>
      </c>
      <c r="X49" s="9">
        <f>'User Interface (Start Here!)'!X9</f>
        <v>0</v>
      </c>
      <c r="Y49" s="9">
        <f>'User Interface (Start Here!)'!Y9</f>
        <v>0</v>
      </c>
      <c r="Z49" s="9">
        <f>'User Interface (Start Here!)'!Z9</f>
        <v>0</v>
      </c>
      <c r="AA49" s="9">
        <f>'User Interface (Start Here!)'!AA9</f>
        <v>0</v>
      </c>
      <c r="AB49" s="38"/>
      <c r="AC49" s="38"/>
      <c r="AD49" s="38"/>
      <c r="AE49" s="38"/>
      <c r="AF49" s="38"/>
      <c r="AG49" s="38"/>
      <c r="AH49" s="8"/>
      <c r="AI49" s="262"/>
      <c r="AJ49" s="200"/>
      <c r="AK49" s="200"/>
      <c r="AL49" s="200"/>
      <c r="AM49" s="200"/>
      <c r="AN49" s="200"/>
      <c r="AO49" s="200"/>
      <c r="AP49" s="200"/>
      <c r="AQ49" s="200"/>
      <c r="AR49" s="200"/>
      <c r="AS49" s="200"/>
      <c r="AT49" s="254"/>
      <c r="AU49" s="274"/>
      <c r="AV49" s="273"/>
      <c r="AY49" s="281"/>
      <c r="CZ49" s="143"/>
      <c r="DA49" s="143"/>
      <c r="DB49" s="143"/>
      <c r="DC49" s="143"/>
      <c r="DD49" s="143"/>
      <c r="DE49" s="143"/>
      <c r="DF49" s="143"/>
      <c r="DG49" s="143"/>
      <c r="DH49" s="143"/>
      <c r="DI49" s="143"/>
      <c r="DJ49" s="143"/>
      <c r="DK49" s="143"/>
      <c r="DL49" s="143"/>
      <c r="DM49" s="143"/>
      <c r="DN49" s="254"/>
      <c r="DO49" s="255">
        <v>3375</v>
      </c>
      <c r="DP49" s="256">
        <f>Z7</f>
        <v>0</v>
      </c>
      <c r="DQ49" s="254" t="str">
        <f t="shared" si="6"/>
        <v/>
      </c>
      <c r="DR49" s="254" t="str">
        <f t="shared" si="7"/>
        <v/>
      </c>
      <c r="DS49" s="254" t="str">
        <f t="shared" si="8"/>
        <v xml:space="preserve">3279, 3278, 3180, 3179, 3080, 2980, 2880, </v>
      </c>
      <c r="DT49" s="254" t="str">
        <f t="shared" si="9"/>
        <v/>
      </c>
      <c r="DU49" s="254"/>
      <c r="DV49" s="255"/>
      <c r="DW49" s="143"/>
      <c r="DX49" s="143"/>
      <c r="DY49" s="143"/>
      <c r="DZ49" s="143"/>
      <c r="EA49" s="143"/>
      <c r="EB49" s="143"/>
      <c r="EC49" s="143"/>
      <c r="ED49" s="143"/>
    </row>
    <row r="50" spans="1:134" ht="23.4" customHeight="1" thickTop="1" thickBot="1">
      <c r="A50" s="171"/>
      <c r="B50" s="293" t="s">
        <v>60</v>
      </c>
      <c r="C50" s="293"/>
      <c r="D50" s="293"/>
      <c r="E50" s="294"/>
      <c r="F50" s="294"/>
      <c r="G50" s="294"/>
      <c r="H50" s="294"/>
      <c r="I50" s="295" t="s">
        <v>83</v>
      </c>
      <c r="J50" s="294"/>
      <c r="K50" s="294"/>
      <c r="L50" s="294"/>
      <c r="M50" s="282"/>
      <c r="N50" s="282"/>
      <c r="O50" s="283"/>
      <c r="Q50" s="53"/>
      <c r="R50" s="38"/>
      <c r="S50" s="38"/>
      <c r="T50" s="12">
        <f>'User Interface (Start Here!)'!T10</f>
        <v>0</v>
      </c>
      <c r="U50" s="9" t="str">
        <f>'User Interface (Start Here!)'!U10</f>
        <v>X</v>
      </c>
      <c r="V50" s="13">
        <f>'User Interface (Start Here!)'!V10</f>
        <v>0</v>
      </c>
      <c r="W50" s="9">
        <f>'User Interface (Start Here!)'!W10</f>
        <v>0</v>
      </c>
      <c r="X50" s="9">
        <f>'User Interface (Start Here!)'!X10</f>
        <v>0</v>
      </c>
      <c r="Y50" s="9">
        <f>'User Interface (Start Here!)'!Y10</f>
        <v>0</v>
      </c>
      <c r="Z50" s="9">
        <f>'User Interface (Start Here!)'!Z10</f>
        <v>0</v>
      </c>
      <c r="AA50" s="38"/>
      <c r="AB50" s="38"/>
      <c r="AC50" s="38"/>
      <c r="AD50" s="38"/>
      <c r="AE50" s="38"/>
      <c r="AF50" s="38"/>
      <c r="AG50" s="38"/>
      <c r="AH50" s="8"/>
      <c r="AI50" s="262"/>
      <c r="AJ50" s="200"/>
      <c r="AK50" s="200"/>
      <c r="AL50" s="200"/>
      <c r="AM50" s="200"/>
      <c r="AN50" s="200"/>
      <c r="AO50" s="200"/>
      <c r="AP50" s="200"/>
      <c r="AQ50" s="200"/>
      <c r="AR50" s="200"/>
      <c r="AS50" s="200"/>
      <c r="AT50" s="254"/>
      <c r="AU50" s="274"/>
      <c r="AV50" s="273"/>
      <c r="CZ50" s="143"/>
      <c r="DA50" s="143"/>
      <c r="DB50" s="143"/>
      <c r="DC50" s="143"/>
      <c r="DD50" s="143"/>
      <c r="DE50" s="143"/>
      <c r="DF50" s="143"/>
      <c r="DG50" s="143"/>
      <c r="DH50" s="143"/>
      <c r="DI50" s="143"/>
      <c r="DJ50" s="143"/>
      <c r="DK50" s="143"/>
      <c r="DL50" s="143"/>
      <c r="DM50" s="143"/>
      <c r="DN50" s="254"/>
      <c r="DO50" s="255">
        <v>3376</v>
      </c>
      <c r="DP50" s="256">
        <f>Y7</f>
        <v>0</v>
      </c>
      <c r="DQ50" s="254" t="str">
        <f t="shared" si="6"/>
        <v/>
      </c>
      <c r="DR50" s="254" t="str">
        <f t="shared" si="7"/>
        <v/>
      </c>
      <c r="DS50" s="254" t="str">
        <f t="shared" si="8"/>
        <v xml:space="preserve">3279, 3278, 3180, 3179, 3080, 2980, 2880, </v>
      </c>
      <c r="DT50" s="254" t="str">
        <f t="shared" si="9"/>
        <v/>
      </c>
      <c r="DU50" s="254"/>
      <c r="DV50" s="255"/>
      <c r="DW50" s="143"/>
      <c r="DX50" s="143"/>
      <c r="DY50" s="143"/>
      <c r="DZ50" s="143"/>
      <c r="EA50" s="143"/>
      <c r="EB50" s="143"/>
      <c r="EC50" s="143"/>
      <c r="ED50" s="143"/>
    </row>
    <row r="51" spans="1:134" ht="24" customHeight="1" thickTop="1" thickBot="1">
      <c r="A51" s="171"/>
      <c r="B51" s="235"/>
      <c r="C51" s="235"/>
      <c r="D51" s="235"/>
      <c r="E51" s="282"/>
      <c r="F51" s="282"/>
      <c r="G51" s="282"/>
      <c r="H51" s="282"/>
      <c r="I51" s="282"/>
      <c r="J51" s="282"/>
      <c r="K51" s="282"/>
      <c r="L51" s="282"/>
      <c r="M51" s="282"/>
      <c r="N51" s="282"/>
      <c r="O51" s="283"/>
      <c r="Q51" s="53"/>
      <c r="R51" s="38"/>
      <c r="S51" s="38"/>
      <c r="T51" s="12">
        <f>'User Interface (Start Here!)'!T11</f>
        <v>0</v>
      </c>
      <c r="U51" s="9" t="str">
        <f>'User Interface (Start Here!)'!U11</f>
        <v>X</v>
      </c>
      <c r="V51" s="11">
        <f>'User Interface (Start Here!)'!V11</f>
        <v>0</v>
      </c>
      <c r="W51" s="9">
        <f>'User Interface (Start Here!)'!W11</f>
        <v>0</v>
      </c>
      <c r="X51" s="9">
        <f>'User Interface (Start Here!)'!X11</f>
        <v>0</v>
      </c>
      <c r="Y51" s="9">
        <f>'User Interface (Start Here!)'!Y11</f>
        <v>0</v>
      </c>
      <c r="Z51" s="38"/>
      <c r="AA51" s="38"/>
      <c r="AB51" s="38"/>
      <c r="AC51" s="38"/>
      <c r="AD51" s="38"/>
      <c r="AE51" s="38"/>
      <c r="AF51" s="38"/>
      <c r="AG51" s="38"/>
      <c r="AH51" s="8"/>
      <c r="AI51" s="262"/>
      <c r="AJ51" s="200"/>
      <c r="AK51" s="200"/>
      <c r="AL51" s="200"/>
      <c r="AM51" s="200"/>
      <c r="AN51" s="200"/>
      <c r="AO51" s="200"/>
      <c r="AP51" s="200"/>
      <c r="AQ51" s="200"/>
      <c r="AR51" s="200"/>
      <c r="AS51" s="200"/>
      <c r="AT51" s="254"/>
      <c r="AU51" s="274"/>
      <c r="AV51" s="273"/>
      <c r="CZ51" s="143"/>
      <c r="DA51" s="143"/>
      <c r="DB51" s="143"/>
      <c r="DC51" s="143"/>
      <c r="DD51" s="143"/>
      <c r="DE51" s="143"/>
      <c r="DF51" s="143"/>
      <c r="DG51" s="143"/>
      <c r="DH51" s="143"/>
      <c r="DI51" s="143"/>
      <c r="DJ51" s="143"/>
      <c r="DK51" s="143"/>
      <c r="DL51" s="143"/>
      <c r="DM51" s="143"/>
      <c r="DN51" s="254"/>
      <c r="DO51" s="255">
        <v>3377</v>
      </c>
      <c r="DP51" s="256">
        <f>X7</f>
        <v>0</v>
      </c>
      <c r="DQ51" s="254" t="str">
        <f t="shared" si="6"/>
        <v/>
      </c>
      <c r="DR51" s="254" t="str">
        <f t="shared" si="7"/>
        <v/>
      </c>
      <c r="DS51" s="254" t="str">
        <f t="shared" si="8"/>
        <v xml:space="preserve">3279, 3278, 3180, 3179, 3080, 2980, 2880, </v>
      </c>
      <c r="DT51" s="254" t="str">
        <f t="shared" si="9"/>
        <v/>
      </c>
      <c r="DU51" s="254"/>
      <c r="DV51" s="255"/>
      <c r="DW51" s="143"/>
      <c r="DX51" s="143"/>
      <c r="DY51" s="143"/>
      <c r="DZ51" s="143"/>
      <c r="EA51" s="143"/>
      <c r="EB51" s="143"/>
      <c r="EC51" s="143"/>
      <c r="ED51" s="143"/>
    </row>
    <row r="52" spans="1:134" ht="23.4" customHeight="1" thickBot="1">
      <c r="A52" s="171"/>
      <c r="B52" s="289" t="s">
        <v>61</v>
      </c>
      <c r="C52" s="289" t="s">
        <v>62</v>
      </c>
      <c r="D52" s="289" t="s">
        <v>63</v>
      </c>
      <c r="E52" s="289" t="s">
        <v>64</v>
      </c>
      <c r="F52" s="282"/>
      <c r="G52" s="282"/>
      <c r="H52" s="282"/>
      <c r="I52" s="289" t="s">
        <v>61</v>
      </c>
      <c r="J52" s="289" t="s">
        <v>64</v>
      </c>
      <c r="K52" s="451" t="s">
        <v>82</v>
      </c>
      <c r="L52" s="436"/>
      <c r="M52" s="282"/>
      <c r="N52" s="282"/>
      <c r="O52" s="283"/>
      <c r="Q52" s="53"/>
      <c r="R52" s="38"/>
      <c r="S52" s="38"/>
      <c r="T52" s="38"/>
      <c r="U52" s="9" t="str">
        <f>'User Interface (Start Here!)'!U12</f>
        <v>X</v>
      </c>
      <c r="V52" s="11">
        <f>'User Interface (Start Here!)'!V12</f>
        <v>0</v>
      </c>
      <c r="W52" s="9">
        <f>'User Interface (Start Here!)'!W12</f>
        <v>0</v>
      </c>
      <c r="X52" s="38"/>
      <c r="Y52" s="38"/>
      <c r="Z52" s="38"/>
      <c r="AA52" s="38"/>
      <c r="AB52" s="38"/>
      <c r="AC52" s="38"/>
      <c r="AD52" s="38"/>
      <c r="AE52" s="38"/>
      <c r="AF52" s="38"/>
      <c r="AG52" s="38"/>
      <c r="AH52" s="8"/>
      <c r="AI52" s="262"/>
      <c r="AJ52" s="200"/>
      <c r="AK52" s="200"/>
      <c r="AL52" s="200"/>
      <c r="AM52" s="200"/>
      <c r="AN52" s="200"/>
      <c r="AO52" s="200"/>
      <c r="AP52" s="200"/>
      <c r="AQ52" s="200"/>
      <c r="AR52" s="200"/>
      <c r="AS52" s="200"/>
      <c r="AT52" s="254"/>
      <c r="AU52" s="274"/>
      <c r="AV52" s="273"/>
      <c r="CZ52" s="143"/>
      <c r="DA52" s="143"/>
      <c r="DB52" s="143"/>
      <c r="DC52" s="143"/>
      <c r="DD52" s="143"/>
      <c r="DE52" s="143"/>
      <c r="DF52" s="143"/>
      <c r="DG52" s="143"/>
      <c r="DH52" s="143"/>
      <c r="DI52" s="143"/>
      <c r="DJ52" s="143"/>
      <c r="DK52" s="143"/>
      <c r="DL52" s="143"/>
      <c r="DM52" s="143"/>
      <c r="DN52" s="254"/>
      <c r="DO52" s="255">
        <v>3378</v>
      </c>
      <c r="DP52" s="256">
        <f>W7</f>
        <v>0</v>
      </c>
      <c r="DQ52" s="254" t="str">
        <f t="shared" si="6"/>
        <v/>
      </c>
      <c r="DR52" s="254" t="str">
        <f t="shared" si="7"/>
        <v/>
      </c>
      <c r="DS52" s="254" t="str">
        <f t="shared" si="8"/>
        <v xml:space="preserve">3279, 3278, 3180, 3179, 3080, 2980, 2880, </v>
      </c>
      <c r="DT52" s="254" t="str">
        <f t="shared" si="9"/>
        <v/>
      </c>
      <c r="DU52" s="254"/>
      <c r="DV52" s="255"/>
      <c r="DW52" s="143"/>
      <c r="DX52" s="143"/>
      <c r="DY52" s="143"/>
      <c r="DZ52" s="143"/>
      <c r="EA52" s="143"/>
      <c r="EB52" s="143"/>
      <c r="EC52" s="143"/>
      <c r="ED52" s="143"/>
    </row>
    <row r="53" spans="1:134" ht="23.4" customHeight="1" thickBot="1">
      <c r="A53" s="171"/>
      <c r="B53" s="290" t="s">
        <v>65</v>
      </c>
      <c r="C53" s="291">
        <f>commercial!B54</f>
        <v>107.75033333333334</v>
      </c>
      <c r="D53" s="291">
        <f>commercial!D54</f>
        <v>25.617571330661001</v>
      </c>
      <c r="E53" s="291">
        <f>C53+(D53*0.9)</f>
        <v>130.80614753092826</v>
      </c>
      <c r="F53" s="473" t="s">
        <v>169</v>
      </c>
      <c r="G53" s="474"/>
      <c r="H53" s="475"/>
      <c r="I53" s="290" t="s">
        <v>65</v>
      </c>
      <c r="J53" s="291">
        <f>commercial!AJ54</f>
        <v>19.670405768583681</v>
      </c>
      <c r="K53" s="476">
        <f>1-J53/E53</f>
        <v>0.84962170249733293</v>
      </c>
      <c r="L53" s="477"/>
      <c r="M53" s="282"/>
      <c r="N53" s="282"/>
      <c r="O53" s="283"/>
      <c r="Q53" s="53"/>
      <c r="R53" s="38"/>
      <c r="S53" s="38"/>
      <c r="T53" s="38"/>
      <c r="U53" s="14">
        <f>'User Interface (Start Here!)'!U13</f>
        <v>0</v>
      </c>
      <c r="V53" s="9">
        <f>'User Interface (Start Here!)'!V13</f>
        <v>0</v>
      </c>
      <c r="W53" s="9">
        <f>'User Interface (Start Here!)'!W13</f>
        <v>0</v>
      </c>
      <c r="X53" s="38"/>
      <c r="Y53" s="264"/>
      <c r="Z53" s="464" t="str">
        <f>IF(ISBLANK($L$14),"","Note: Actual closure will be bathymetric between 90-240 ft in selected grids.")</f>
        <v/>
      </c>
      <c r="AA53" s="465"/>
      <c r="AB53" s="465"/>
      <c r="AC53" s="465"/>
      <c r="AD53" s="465"/>
      <c r="AE53" s="465"/>
      <c r="AF53" s="465"/>
      <c r="AG53" s="264"/>
      <c r="AH53" s="265"/>
      <c r="AI53" s="262"/>
      <c r="AJ53" s="200"/>
      <c r="AK53" s="200"/>
      <c r="AL53" s="200"/>
      <c r="AM53" s="200"/>
      <c r="AN53" s="200"/>
      <c r="AO53" s="200"/>
      <c r="AP53" s="200"/>
      <c r="AQ53" s="200"/>
      <c r="AR53" s="200"/>
      <c r="AS53" s="200"/>
      <c r="AT53" s="254"/>
      <c r="AU53" s="274"/>
      <c r="AV53" s="273"/>
      <c r="CZ53" s="143"/>
      <c r="DA53" s="143"/>
      <c r="DB53" s="143"/>
      <c r="DC53" s="143"/>
      <c r="DD53" s="143"/>
      <c r="DE53" s="143"/>
      <c r="DF53" s="143"/>
      <c r="DG53" s="143"/>
      <c r="DH53" s="143"/>
      <c r="DI53" s="143"/>
      <c r="DJ53" s="143"/>
      <c r="DK53" s="143"/>
      <c r="DL53" s="143"/>
      <c r="DM53" s="143"/>
      <c r="DN53" s="254"/>
      <c r="DO53" s="255">
        <v>3379</v>
      </c>
      <c r="DP53" s="256">
        <f>V7</f>
        <v>0</v>
      </c>
      <c r="DQ53" s="254" t="str">
        <f t="shared" si="6"/>
        <v/>
      </c>
      <c r="DR53" s="254" t="str">
        <f t="shared" si="7"/>
        <v/>
      </c>
      <c r="DS53" s="254" t="str">
        <f t="shared" si="8"/>
        <v xml:space="preserve">3279, 3278, 3180, 3179, 3080, 2980, 2880, </v>
      </c>
      <c r="DT53" s="254" t="str">
        <f t="shared" si="9"/>
        <v/>
      </c>
      <c r="DU53" s="254"/>
      <c r="DV53" s="255"/>
      <c r="DW53" s="143"/>
      <c r="DX53" s="143"/>
      <c r="DY53" s="143"/>
      <c r="DZ53" s="143"/>
      <c r="EA53" s="143"/>
      <c r="EB53" s="143"/>
      <c r="EC53" s="143"/>
      <c r="ED53" s="143"/>
    </row>
    <row r="54" spans="1:134" ht="24.6" customHeight="1" thickBot="1">
      <c r="A54" s="171"/>
      <c r="B54" s="290" t="s">
        <v>66</v>
      </c>
      <c r="C54" s="291">
        <f>'rec private|charter'!$C$25/1000</f>
        <v>257.96711333333337</v>
      </c>
      <c r="D54" s="291">
        <f>'rec private|charter'!$D$25/1000</f>
        <v>351.7271463897132</v>
      </c>
      <c r="E54" s="291">
        <f>C54+(D54*0.4)</f>
        <v>398.65797188921863</v>
      </c>
      <c r="F54" s="473" t="s">
        <v>170</v>
      </c>
      <c r="G54" s="474"/>
      <c r="H54" s="475"/>
      <c r="I54" s="290" t="s">
        <v>66</v>
      </c>
      <c r="J54" s="291">
        <f>'rec private|charter'!$AL$25</f>
        <v>46.72458400055018</v>
      </c>
      <c r="K54" s="478">
        <f>1-J54/E54</f>
        <v>0.88279531002697653</v>
      </c>
      <c r="L54" s="479"/>
      <c r="M54" s="282"/>
      <c r="N54" s="282"/>
      <c r="O54" s="283"/>
      <c r="Q54" s="53"/>
      <c r="R54" s="38"/>
      <c r="S54" s="38"/>
      <c r="T54" s="38"/>
      <c r="U54" s="9">
        <f>'User Interface (Start Here!)'!U14</f>
        <v>0</v>
      </c>
      <c r="V54" s="9">
        <f>'User Interface (Start Here!)'!V14</f>
        <v>0</v>
      </c>
      <c r="W54" s="38"/>
      <c r="X54" s="38"/>
      <c r="Y54" s="264"/>
      <c r="Z54" s="465"/>
      <c r="AA54" s="465"/>
      <c r="AB54" s="465"/>
      <c r="AC54" s="465"/>
      <c r="AD54" s="465"/>
      <c r="AE54" s="465"/>
      <c r="AF54" s="465"/>
      <c r="AG54" s="264"/>
      <c r="AH54" s="265"/>
      <c r="AI54" s="262"/>
      <c r="AJ54" s="200"/>
      <c r="AK54" s="200"/>
      <c r="AL54" s="200"/>
      <c r="AM54" s="200"/>
      <c r="AN54" s="200"/>
      <c r="AO54" s="200"/>
      <c r="AP54" s="200"/>
      <c r="AQ54" s="200"/>
      <c r="AR54" s="200"/>
      <c r="AS54" s="200"/>
      <c r="AT54" s="254"/>
      <c r="AU54" s="274"/>
      <c r="AV54" s="273"/>
      <c r="CZ54" s="143"/>
      <c r="DA54" s="143"/>
      <c r="DB54" s="143"/>
      <c r="DC54" s="143"/>
      <c r="DD54" s="143"/>
      <c r="DE54" s="143"/>
      <c r="DF54" s="143"/>
      <c r="DG54" s="143"/>
      <c r="DH54" s="143"/>
      <c r="DI54" s="143"/>
      <c r="DJ54" s="143"/>
      <c r="DK54" s="143"/>
      <c r="DL54" s="143"/>
      <c r="DM54" s="143"/>
      <c r="DN54" s="254"/>
      <c r="DO54" s="255">
        <v>3471</v>
      </c>
      <c r="DP54" s="256">
        <f>AD6</f>
        <v>0</v>
      </c>
      <c r="DQ54" s="254" t="str">
        <f t="shared" si="6"/>
        <v/>
      </c>
      <c r="DR54" s="254" t="str">
        <f t="shared" si="7"/>
        <v/>
      </c>
      <c r="DS54" s="254" t="str">
        <f t="shared" si="8"/>
        <v xml:space="preserve">3279, 3278, 3180, 3179, 3080, 2980, 2880, </v>
      </c>
      <c r="DT54" s="254" t="str">
        <f t="shared" si="9"/>
        <v/>
      </c>
      <c r="DU54" s="254"/>
      <c r="DV54" s="255"/>
      <c r="DW54" s="143"/>
      <c r="DX54" s="143"/>
      <c r="DY54" s="143"/>
      <c r="DZ54" s="143"/>
      <c r="EA54" s="143"/>
      <c r="EB54" s="143"/>
      <c r="EC54" s="143"/>
      <c r="ED54" s="143"/>
    </row>
    <row r="55" spans="1:134" ht="24" customHeight="1" thickBot="1">
      <c r="A55" s="171"/>
      <c r="B55" s="290" t="s">
        <v>67</v>
      </c>
      <c r="C55" s="291">
        <f>'rec headboat'!$C$30/1000</f>
        <v>45.863019051407043</v>
      </c>
      <c r="D55" s="291">
        <f>'rec headboat'!D30/1000</f>
        <v>68.811028583964614</v>
      </c>
      <c r="E55" s="291">
        <f>C55+(D55*0.4)</f>
        <v>73.38743048499289</v>
      </c>
      <c r="F55" s="473" t="s">
        <v>171</v>
      </c>
      <c r="G55" s="474"/>
      <c r="H55" s="475"/>
      <c r="I55" s="290" t="s">
        <v>67</v>
      </c>
      <c r="J55" s="291">
        <f>'rec headboat'!$AL$30</f>
        <v>11.315262495483166</v>
      </c>
      <c r="K55" s="487">
        <f>1-J55/E55</f>
        <v>0.84581470667790937</v>
      </c>
      <c r="L55" s="488"/>
      <c r="M55" s="282"/>
      <c r="N55" s="282"/>
      <c r="O55" s="283"/>
      <c r="Q55" s="53"/>
      <c r="R55" s="38"/>
      <c r="S55" s="38"/>
      <c r="T55" s="38"/>
      <c r="U55" s="9">
        <f>'User Interface (Start Here!)'!U15</f>
        <v>0</v>
      </c>
      <c r="V55" s="9">
        <f>'User Interface (Start Here!)'!V15</f>
        <v>0</v>
      </c>
      <c r="W55" s="38"/>
      <c r="X55" s="38"/>
      <c r="Y55" s="264"/>
      <c r="Z55" s="465"/>
      <c r="AA55" s="465"/>
      <c r="AB55" s="465"/>
      <c r="AC55" s="465"/>
      <c r="AD55" s="465"/>
      <c r="AE55" s="465"/>
      <c r="AF55" s="465"/>
      <c r="AG55" s="264"/>
      <c r="AH55" s="265"/>
      <c r="AI55" s="262"/>
      <c r="AJ55" s="200"/>
      <c r="AK55" s="200"/>
      <c r="AL55" s="200"/>
      <c r="AM55" s="200"/>
      <c r="AN55" s="200"/>
      <c r="AO55" s="200"/>
      <c r="AP55" s="200"/>
      <c r="AQ55" s="200"/>
      <c r="AR55" s="200"/>
      <c r="AS55" s="200"/>
      <c r="AT55" s="254"/>
      <c r="AU55" s="274"/>
      <c r="AV55" s="273"/>
      <c r="CZ55" s="143"/>
      <c r="DA55" s="143"/>
      <c r="DB55" s="143"/>
      <c r="DC55" s="143"/>
      <c r="DD55" s="143"/>
      <c r="DE55" s="143"/>
      <c r="DF55" s="143"/>
      <c r="DG55" s="143"/>
      <c r="DH55" s="143"/>
      <c r="DI55" s="143"/>
      <c r="DJ55" s="143"/>
      <c r="DK55" s="143"/>
      <c r="DL55" s="143"/>
      <c r="DM55" s="143"/>
      <c r="DN55" s="254"/>
      <c r="DO55" s="255">
        <v>3472</v>
      </c>
      <c r="DP55" s="256">
        <f>AC6</f>
        <v>0</v>
      </c>
      <c r="DQ55" s="254" t="str">
        <f t="shared" si="6"/>
        <v/>
      </c>
      <c r="DR55" s="254" t="str">
        <f t="shared" si="7"/>
        <v/>
      </c>
      <c r="DS55" s="254" t="str">
        <f t="shared" si="8"/>
        <v xml:space="preserve">3279, 3278, 3180, 3179, 3080, 2980, 2880, </v>
      </c>
      <c r="DT55" s="254" t="str">
        <f t="shared" si="9"/>
        <v/>
      </c>
      <c r="DU55" s="254"/>
      <c r="DV55" s="255"/>
      <c r="DW55" s="143"/>
      <c r="DX55" s="143"/>
      <c r="DY55" s="143"/>
      <c r="DZ55" s="143"/>
      <c r="EA55" s="143"/>
      <c r="EB55" s="143"/>
      <c r="EC55" s="143"/>
      <c r="ED55" s="143"/>
    </row>
    <row r="56" spans="1:134" ht="18.600000000000001" thickBot="1">
      <c r="A56" s="171"/>
      <c r="B56" s="289" t="s">
        <v>68</v>
      </c>
      <c r="C56" s="292">
        <f>SUM(C53:C55)</f>
        <v>411.58046571807375</v>
      </c>
      <c r="D56" s="292">
        <f>SUM(D53:D55)</f>
        <v>446.15574630433883</v>
      </c>
      <c r="E56" s="292">
        <f>SUM(E53:E55)</f>
        <v>602.85154990513979</v>
      </c>
      <c r="F56" s="288"/>
      <c r="G56" s="376"/>
      <c r="H56" s="288"/>
      <c r="I56" s="289" t="s">
        <v>68</v>
      </c>
      <c r="J56" s="292">
        <f>IF(((LEN(TRIM(CONCATENATE(L14,M14,N14))))&lt;=1),SUM(J53:J55),"ERROR!")</f>
        <v>77.710252264617026</v>
      </c>
      <c r="K56" s="435">
        <f>1-J56/E56</f>
        <v>0.87109554205036888</v>
      </c>
      <c r="L56" s="436"/>
      <c r="M56" s="282"/>
      <c r="N56" s="282"/>
      <c r="O56" s="283"/>
      <c r="Q56" s="53"/>
      <c r="R56" s="38"/>
      <c r="S56" s="9">
        <f>'User Interface (Start Here!)'!S16</f>
        <v>0</v>
      </c>
      <c r="T56" s="9">
        <f>'User Interface (Start Here!)'!T16</f>
        <v>0</v>
      </c>
      <c r="U56" s="9">
        <f>'User Interface (Start Here!)'!U16</f>
        <v>0</v>
      </c>
      <c r="V56" s="9">
        <f>'User Interface (Start Here!)'!V16</f>
        <v>0</v>
      </c>
      <c r="W56" s="38"/>
      <c r="X56" s="38"/>
      <c r="Y56" s="38"/>
      <c r="Z56" s="38"/>
      <c r="AA56" s="38"/>
      <c r="AB56" s="38"/>
      <c r="AC56" s="38"/>
      <c r="AD56" s="38"/>
      <c r="AE56" s="38"/>
      <c r="AF56" s="38"/>
      <c r="AG56" s="38"/>
      <c r="AH56" s="8"/>
      <c r="AI56" s="262"/>
      <c r="AJ56" s="200"/>
      <c r="AK56" s="200"/>
      <c r="AL56" s="200"/>
      <c r="AM56" s="200"/>
      <c r="AN56" s="200"/>
      <c r="AO56" s="200"/>
      <c r="AP56" s="200"/>
      <c r="AQ56" s="200"/>
      <c r="AR56" s="200"/>
      <c r="AS56" s="200"/>
      <c r="AT56" s="254"/>
      <c r="AU56" s="274"/>
      <c r="AV56" s="273"/>
      <c r="CZ56" s="143"/>
      <c r="DA56" s="143"/>
      <c r="DB56" s="143"/>
      <c r="DC56" s="143"/>
      <c r="DD56" s="143"/>
      <c r="DE56" s="143"/>
      <c r="DF56" s="143"/>
      <c r="DG56" s="143"/>
      <c r="DH56" s="143"/>
      <c r="DI56" s="143"/>
      <c r="DJ56" s="143"/>
      <c r="DK56" s="143"/>
      <c r="DL56" s="143"/>
      <c r="DM56" s="143"/>
      <c r="DN56" s="254"/>
      <c r="DO56" s="255">
        <v>3473</v>
      </c>
      <c r="DP56" s="256">
        <f>AB6</f>
        <v>0</v>
      </c>
      <c r="DQ56" s="254" t="str">
        <f t="shared" si="6"/>
        <v/>
      </c>
      <c r="DR56" s="254" t="str">
        <f t="shared" si="7"/>
        <v/>
      </c>
      <c r="DS56" s="254" t="str">
        <f t="shared" si="8"/>
        <v xml:space="preserve">3279, 3278, 3180, 3179, 3080, 2980, 2880, </v>
      </c>
      <c r="DT56" s="254" t="str">
        <f t="shared" si="9"/>
        <v/>
      </c>
      <c r="DU56" s="254"/>
      <c r="DV56" s="255"/>
      <c r="DW56" s="143"/>
      <c r="DX56" s="143"/>
      <c r="DY56" s="143"/>
      <c r="DZ56" s="143"/>
      <c r="EA56" s="143"/>
      <c r="EB56" s="143"/>
      <c r="EC56" s="143"/>
      <c r="ED56" s="143"/>
    </row>
    <row r="57" spans="1:134" ht="16.2" thickBot="1">
      <c r="A57" s="171"/>
      <c r="B57" s="235"/>
      <c r="C57" s="235"/>
      <c r="D57" s="235"/>
      <c r="E57" s="235"/>
      <c r="F57" s="282"/>
      <c r="G57" s="282"/>
      <c r="H57" s="282"/>
      <c r="I57" s="282"/>
      <c r="J57" s="282"/>
      <c r="K57" s="282"/>
      <c r="L57" s="282"/>
      <c r="M57" s="282"/>
      <c r="N57" s="282"/>
      <c r="O57" s="283"/>
      <c r="Q57" s="53"/>
      <c r="R57" s="15"/>
      <c r="S57" s="15"/>
      <c r="T57" s="15"/>
      <c r="U57" s="15"/>
      <c r="V57" s="15"/>
      <c r="W57" s="15"/>
      <c r="X57" s="15"/>
      <c r="Y57" s="15"/>
      <c r="Z57" s="15"/>
      <c r="AA57" s="15"/>
      <c r="AB57" s="15"/>
      <c r="AC57" s="15"/>
      <c r="AD57" s="15"/>
      <c r="AE57" s="15"/>
      <c r="AF57" s="15"/>
      <c r="AG57" s="15"/>
      <c r="AH57" s="8"/>
      <c r="AI57" s="262"/>
      <c r="AJ57" s="200"/>
      <c r="AK57" s="200"/>
      <c r="AL57" s="200"/>
      <c r="AM57" s="200"/>
      <c r="AN57" s="200"/>
      <c r="AO57" s="200"/>
      <c r="AP57" s="200"/>
      <c r="AQ57" s="200"/>
      <c r="AR57" s="200"/>
      <c r="AS57" s="200"/>
      <c r="AT57" s="254"/>
      <c r="AU57" s="274"/>
      <c r="AV57" s="273"/>
      <c r="CZ57" s="143"/>
      <c r="DA57" s="143"/>
      <c r="DB57" s="143"/>
      <c r="DC57" s="143"/>
      <c r="DD57" s="143"/>
      <c r="DE57" s="143"/>
      <c r="DF57" s="143"/>
      <c r="DG57" s="143"/>
      <c r="DH57" s="143"/>
      <c r="DI57" s="143"/>
      <c r="DJ57" s="143"/>
      <c r="DK57" s="143"/>
      <c r="DL57" s="143"/>
      <c r="DM57" s="143"/>
      <c r="DN57" s="254"/>
      <c r="DO57" s="255">
        <v>3474</v>
      </c>
      <c r="DP57" s="256">
        <f>AA6</f>
        <v>0</v>
      </c>
      <c r="DQ57" s="254" t="str">
        <f t="shared" si="6"/>
        <v/>
      </c>
      <c r="DR57" s="254" t="str">
        <f t="shared" si="7"/>
        <v/>
      </c>
      <c r="DS57" s="254" t="str">
        <f t="shared" si="8"/>
        <v xml:space="preserve">3279, 3278, 3180, 3179, 3080, 2980, 2880, </v>
      </c>
      <c r="DT57" s="254" t="str">
        <f t="shared" si="9"/>
        <v/>
      </c>
      <c r="DU57" s="254"/>
      <c r="DV57" s="255"/>
      <c r="DW57" s="143"/>
      <c r="DX57" s="143"/>
      <c r="DY57" s="143"/>
      <c r="DZ57" s="143"/>
      <c r="EA57" s="143"/>
      <c r="EB57" s="143"/>
      <c r="EC57" s="143"/>
      <c r="ED57" s="143"/>
    </row>
    <row r="58" spans="1:134" ht="19.2" thickTop="1" thickBot="1">
      <c r="A58" s="171"/>
      <c r="B58" s="293" t="s">
        <v>84</v>
      </c>
      <c r="C58" s="293"/>
      <c r="D58" s="293"/>
      <c r="E58" s="293"/>
      <c r="F58" s="294"/>
      <c r="G58" s="294"/>
      <c r="H58" s="294"/>
      <c r="I58" s="294"/>
      <c r="J58" s="294"/>
      <c r="K58" s="294"/>
      <c r="L58" s="294"/>
      <c r="M58" s="282"/>
      <c r="N58" s="282"/>
      <c r="O58" s="283"/>
      <c r="Q58" s="53"/>
      <c r="R58" s="7"/>
      <c r="S58" s="8"/>
      <c r="T58" s="8"/>
      <c r="U58" s="8"/>
      <c r="V58" s="8"/>
      <c r="W58" s="8"/>
      <c r="X58" s="8"/>
      <c r="Y58" s="8"/>
      <c r="Z58" s="266"/>
      <c r="AA58" s="267"/>
      <c r="AB58" s="267"/>
      <c r="AC58" s="267"/>
      <c r="AD58" s="267"/>
      <c r="AE58" s="267"/>
      <c r="AF58" s="267"/>
      <c r="AG58" s="267"/>
      <c r="AH58" s="267"/>
      <c r="AI58" s="262"/>
      <c r="AJ58" s="200"/>
      <c r="AK58" s="200"/>
      <c r="AL58" s="200"/>
      <c r="AM58" s="200"/>
      <c r="AN58" s="200"/>
      <c r="AO58" s="200"/>
      <c r="AP58" s="200"/>
      <c r="AQ58" s="200"/>
      <c r="AR58" s="200"/>
      <c r="AS58" s="200"/>
      <c r="AT58" s="254"/>
      <c r="AU58" s="274"/>
      <c r="AV58" s="273"/>
      <c r="CZ58" s="143"/>
      <c r="DA58" s="143"/>
      <c r="DB58" s="143"/>
      <c r="DC58" s="143"/>
      <c r="DD58" s="143"/>
      <c r="DE58" s="143"/>
      <c r="DF58" s="143"/>
      <c r="DG58" s="143"/>
      <c r="DH58" s="143"/>
      <c r="DI58" s="143"/>
      <c r="DJ58" s="143"/>
      <c r="DK58" s="143"/>
      <c r="DL58" s="143"/>
      <c r="DM58" s="143"/>
      <c r="DN58" s="254"/>
      <c r="DO58" s="255">
        <v>3475</v>
      </c>
      <c r="DP58" s="256">
        <f>Z6</f>
        <v>0</v>
      </c>
      <c r="DQ58" s="254" t="str">
        <f t="shared" si="6"/>
        <v/>
      </c>
      <c r="DR58" s="254" t="str">
        <f t="shared" si="7"/>
        <v/>
      </c>
      <c r="DS58" s="254" t="str">
        <f t="shared" si="8"/>
        <v xml:space="preserve">3279, 3278, 3180, 3179, 3080, 2980, 2880, </v>
      </c>
      <c r="DT58" s="254" t="str">
        <f t="shared" si="9"/>
        <v/>
      </c>
      <c r="DU58" s="254"/>
      <c r="DV58" s="255"/>
      <c r="DW58" s="143"/>
      <c r="DX58" s="143"/>
      <c r="DY58" s="143"/>
      <c r="DZ58" s="143"/>
      <c r="EA58" s="143"/>
      <c r="EB58" s="143"/>
      <c r="EC58" s="143"/>
      <c r="ED58" s="143"/>
    </row>
    <row r="59" spans="1:134" ht="16.8" thickTop="1" thickBot="1">
      <c r="A59" s="171"/>
      <c r="B59" s="480" t="str">
        <f>'Reduction Targets'!A12</f>
        <v>Reduction in total removals (landings plus dead discards) needed to end overfishing.  Non-shaded areas determined by comparing actual landings from 2005-2007 with allowable removals in 2010.  Shaded areas are estimated by interpolation.</v>
      </c>
      <c r="C59" s="480"/>
      <c r="D59" s="480"/>
      <c r="E59" s="480"/>
      <c r="F59" s="480"/>
      <c r="G59" s="480"/>
      <c r="H59" s="480"/>
      <c r="I59" s="480"/>
      <c r="J59" s="480"/>
      <c r="K59" s="481"/>
      <c r="L59" s="481"/>
      <c r="M59" s="172"/>
      <c r="N59" s="172"/>
      <c r="O59" s="173"/>
      <c r="Q59" s="54"/>
      <c r="R59" s="36"/>
      <c r="S59" s="37"/>
      <c r="T59" s="37"/>
      <c r="U59" s="37"/>
      <c r="V59" s="37"/>
      <c r="W59" s="37"/>
      <c r="X59" s="37"/>
      <c r="Y59" s="37"/>
      <c r="Z59" s="268"/>
      <c r="AA59" s="269"/>
      <c r="AB59" s="269"/>
      <c r="AC59" s="269"/>
      <c r="AD59" s="269"/>
      <c r="AE59" s="269"/>
      <c r="AF59" s="269"/>
      <c r="AG59" s="269"/>
      <c r="AH59" s="269"/>
      <c r="AI59" s="270"/>
      <c r="AJ59" s="200"/>
      <c r="AK59" s="200"/>
      <c r="AL59" s="200"/>
      <c r="AM59" s="200"/>
      <c r="AN59" s="200"/>
      <c r="AO59" s="200"/>
      <c r="AP59" s="200"/>
      <c r="AQ59" s="200"/>
      <c r="AR59" s="200"/>
      <c r="AS59" s="200"/>
      <c r="AT59" s="254"/>
      <c r="AU59" s="274"/>
      <c r="AV59" s="273"/>
      <c r="CZ59" s="143"/>
      <c r="DA59" s="143"/>
      <c r="DB59" s="143"/>
      <c r="DC59" s="143"/>
      <c r="DD59" s="143"/>
      <c r="DE59" s="143"/>
      <c r="DF59" s="143"/>
      <c r="DG59" s="143"/>
      <c r="DH59" s="143"/>
      <c r="DI59" s="143"/>
      <c r="DJ59" s="143"/>
      <c r="DK59" s="143"/>
      <c r="DL59" s="143"/>
      <c r="DM59" s="143"/>
      <c r="DN59" s="254"/>
      <c r="DO59" s="255">
        <v>3476</v>
      </c>
      <c r="DP59" s="256">
        <f>Y6</f>
        <v>0</v>
      </c>
      <c r="DQ59" s="254" t="str">
        <f t="shared" si="6"/>
        <v/>
      </c>
      <c r="DR59" s="254" t="str">
        <f t="shared" si="7"/>
        <v/>
      </c>
      <c r="DS59" s="254" t="str">
        <f t="shared" si="8"/>
        <v xml:space="preserve">3279, 3278, 3180, 3179, 3080, 2980, 2880, </v>
      </c>
      <c r="DT59" s="254" t="str">
        <f t="shared" si="9"/>
        <v/>
      </c>
      <c r="DU59" s="254"/>
      <c r="DV59" s="255"/>
      <c r="DW59" s="143"/>
      <c r="DX59" s="143"/>
      <c r="DY59" s="143"/>
      <c r="DZ59" s="143"/>
      <c r="EA59" s="143"/>
      <c r="EB59" s="143"/>
      <c r="EC59" s="143"/>
      <c r="ED59" s="143"/>
    </row>
    <row r="60" spans="1:134" ht="16.2" thickTop="1">
      <c r="A60" s="171"/>
      <c r="B60" s="480"/>
      <c r="C60" s="480"/>
      <c r="D60" s="480"/>
      <c r="E60" s="480"/>
      <c r="F60" s="480"/>
      <c r="G60" s="480"/>
      <c r="H60" s="480"/>
      <c r="I60" s="480"/>
      <c r="J60" s="480"/>
      <c r="K60" s="481"/>
      <c r="L60" s="481"/>
      <c r="M60" s="172"/>
      <c r="N60" s="172"/>
      <c r="O60" s="173"/>
      <c r="Q60" s="5"/>
      <c r="R60" s="5"/>
      <c r="S60" s="6"/>
      <c r="T60" s="6"/>
      <c r="U60" s="6"/>
      <c r="V60" s="6"/>
      <c r="W60" s="6"/>
      <c r="X60" s="6"/>
      <c r="Y60" s="6"/>
      <c r="Z60" s="199"/>
      <c r="AA60" s="200"/>
      <c r="AB60" s="200"/>
      <c r="AC60" s="200"/>
      <c r="AD60" s="200"/>
      <c r="AE60" s="200"/>
      <c r="AF60" s="200"/>
      <c r="AG60" s="200"/>
      <c r="AH60" s="200"/>
      <c r="AI60" s="200"/>
      <c r="AJ60" s="200"/>
      <c r="AK60" s="200"/>
      <c r="AL60" s="200"/>
      <c r="AM60" s="200"/>
      <c r="AN60" s="200"/>
      <c r="AO60" s="200"/>
      <c r="AP60" s="200"/>
      <c r="AQ60" s="200"/>
      <c r="AR60" s="200"/>
      <c r="AS60" s="200"/>
      <c r="AT60" s="254"/>
      <c r="AU60" s="274"/>
      <c r="AV60" s="273"/>
      <c r="CZ60" s="143"/>
      <c r="DA60" s="143"/>
      <c r="DB60" s="143"/>
      <c r="DC60" s="143"/>
      <c r="DD60" s="143"/>
      <c r="DE60" s="143"/>
      <c r="DF60" s="143"/>
      <c r="DG60" s="143"/>
      <c r="DH60" s="143"/>
      <c r="DI60" s="143"/>
      <c r="DJ60" s="143"/>
      <c r="DK60" s="143"/>
      <c r="DL60" s="143"/>
      <c r="DM60" s="143"/>
      <c r="DN60" s="254"/>
      <c r="DO60" s="255">
        <v>3477</v>
      </c>
      <c r="DP60" s="256">
        <f>X6</f>
        <v>0</v>
      </c>
      <c r="DQ60" s="254" t="str">
        <f t="shared" si="6"/>
        <v/>
      </c>
      <c r="DR60" s="254" t="str">
        <f t="shared" si="7"/>
        <v/>
      </c>
      <c r="DS60" s="254" t="str">
        <f t="shared" si="8"/>
        <v xml:space="preserve">3279, 3278, 3180, 3179, 3080, 2980, 2880, </v>
      </c>
      <c r="DT60" s="254" t="str">
        <f t="shared" si="9"/>
        <v/>
      </c>
      <c r="DU60" s="254"/>
      <c r="DV60" s="255"/>
      <c r="DW60" s="143"/>
      <c r="DX60" s="143"/>
      <c r="DY60" s="143"/>
      <c r="DZ60" s="143"/>
      <c r="EA60" s="143"/>
      <c r="EB60" s="143"/>
      <c r="EC60" s="143"/>
      <c r="ED60" s="143"/>
    </row>
    <row r="61" spans="1:134" ht="16.2" thickBot="1">
      <c r="A61" s="171"/>
      <c r="B61" s="482"/>
      <c r="C61" s="482"/>
      <c r="D61" s="482"/>
      <c r="E61" s="482"/>
      <c r="F61" s="482"/>
      <c r="G61" s="482"/>
      <c r="H61" s="482"/>
      <c r="I61" s="482"/>
      <c r="J61" s="482"/>
      <c r="K61" s="482"/>
      <c r="L61" s="482"/>
      <c r="M61" s="172"/>
      <c r="N61" s="172"/>
      <c r="O61" s="173"/>
      <c r="Q61" s="5"/>
      <c r="R61" s="5"/>
      <c r="S61" s="6"/>
      <c r="T61" s="6"/>
      <c r="U61" s="6"/>
      <c r="V61" s="6"/>
      <c r="W61" s="6"/>
      <c r="X61" s="6"/>
      <c r="Y61" s="6"/>
      <c r="Z61" s="199"/>
      <c r="AA61" s="200"/>
      <c r="AB61" s="200"/>
      <c r="AC61" s="200"/>
      <c r="AD61" s="200"/>
      <c r="AE61" s="200"/>
      <c r="AF61" s="200"/>
      <c r="AG61" s="200"/>
      <c r="AH61" s="200"/>
      <c r="AI61" s="200"/>
      <c r="AJ61" s="200"/>
      <c r="AK61" s="200"/>
      <c r="AL61" s="200"/>
      <c r="AM61" s="200"/>
      <c r="AN61" s="200"/>
      <c r="AO61" s="200"/>
      <c r="AP61" s="200"/>
      <c r="AQ61" s="200"/>
      <c r="AR61" s="200"/>
      <c r="AS61" s="200"/>
      <c r="AT61" s="254"/>
      <c r="AU61" s="274"/>
      <c r="AV61" s="273"/>
      <c r="CZ61" s="143"/>
      <c r="DA61" s="143"/>
      <c r="DB61" s="143"/>
      <c r="DC61" s="143"/>
      <c r="DD61" s="143"/>
      <c r="DE61" s="143"/>
      <c r="DF61" s="143"/>
      <c r="DG61" s="143"/>
      <c r="DH61" s="143"/>
      <c r="DI61" s="143"/>
      <c r="DJ61" s="143"/>
      <c r="DK61" s="143"/>
      <c r="DL61" s="143"/>
      <c r="DM61" s="143"/>
      <c r="DN61" s="254"/>
      <c r="DO61" s="255">
        <v>3570</v>
      </c>
      <c r="DP61" s="256">
        <f>AE5</f>
        <v>0</v>
      </c>
      <c r="DQ61" s="254" t="str">
        <f t="shared" si="6"/>
        <v/>
      </c>
      <c r="DR61" s="254" t="str">
        <f t="shared" si="7"/>
        <v/>
      </c>
      <c r="DS61" s="254" t="str">
        <f t="shared" si="8"/>
        <v xml:space="preserve">3279, 3278, 3180, 3179, 3080, 2980, 2880, </v>
      </c>
      <c r="DT61" s="254" t="str">
        <f t="shared" si="9"/>
        <v/>
      </c>
      <c r="DU61" s="254"/>
      <c r="DV61" s="255"/>
      <c r="DW61" s="143"/>
      <c r="DX61" s="143"/>
      <c r="DY61" s="143"/>
      <c r="DZ61" s="143"/>
      <c r="EA61" s="143"/>
      <c r="EB61" s="143"/>
      <c r="EC61" s="143"/>
      <c r="ED61" s="143"/>
    </row>
    <row r="62" spans="1:134" ht="16.2" thickTop="1">
      <c r="A62" s="171"/>
      <c r="B62" s="443" t="s">
        <v>86</v>
      </c>
      <c r="C62" s="444"/>
      <c r="D62" s="444"/>
      <c r="E62" s="445" t="s">
        <v>87</v>
      </c>
      <c r="F62" s="433"/>
      <c r="G62" s="433"/>
      <c r="H62" s="434"/>
      <c r="I62" s="432" t="s">
        <v>88</v>
      </c>
      <c r="J62" s="433"/>
      <c r="K62" s="433"/>
      <c r="L62" s="434"/>
      <c r="M62" s="172"/>
      <c r="N62" s="172"/>
      <c r="O62" s="173"/>
      <c r="Q62" s="5"/>
      <c r="R62" s="5"/>
      <c r="S62" s="6"/>
      <c r="T62" s="6"/>
      <c r="U62" s="6"/>
      <c r="V62" s="6"/>
      <c r="W62" s="6"/>
      <c r="X62" s="6"/>
      <c r="Y62" s="6"/>
      <c r="Z62" s="199"/>
      <c r="AA62" s="200"/>
      <c r="AB62" s="200"/>
      <c r="AC62" s="200"/>
      <c r="AD62" s="200"/>
      <c r="AE62" s="200"/>
      <c r="AF62" s="200"/>
      <c r="AG62" s="200"/>
      <c r="AH62" s="200"/>
      <c r="AI62" s="200"/>
      <c r="AJ62" s="200"/>
      <c r="AK62" s="200"/>
      <c r="AL62" s="200"/>
      <c r="AM62" s="200"/>
      <c r="AN62" s="200"/>
      <c r="AO62" s="200"/>
      <c r="AP62" s="200"/>
      <c r="AQ62" s="200"/>
      <c r="AR62" s="200"/>
      <c r="AS62" s="200"/>
      <c r="AT62" s="254"/>
      <c r="AU62" s="274"/>
      <c r="AV62" s="273"/>
      <c r="CZ62" s="143"/>
      <c r="DA62" s="143"/>
      <c r="DB62" s="143"/>
      <c r="DC62" s="143"/>
      <c r="DD62" s="143"/>
      <c r="DE62" s="143"/>
      <c r="DF62" s="143"/>
      <c r="DG62" s="143"/>
      <c r="DH62" s="143"/>
      <c r="DI62" s="143"/>
      <c r="DJ62" s="143"/>
      <c r="DK62" s="143"/>
      <c r="DL62" s="143"/>
      <c r="DM62" s="143"/>
      <c r="DN62" s="254"/>
      <c r="DO62" s="255">
        <v>3571</v>
      </c>
      <c r="DP62" s="256">
        <f>AD5</f>
        <v>0</v>
      </c>
      <c r="DQ62" s="254" t="str">
        <f t="shared" si="6"/>
        <v/>
      </c>
      <c r="DR62" s="254" t="str">
        <f t="shared" si="7"/>
        <v/>
      </c>
      <c r="DS62" s="254" t="str">
        <f t="shared" si="8"/>
        <v xml:space="preserve">3279, 3278, 3180, 3179, 3080, 2980, 2880, </v>
      </c>
      <c r="DT62" s="254" t="str">
        <f t="shared" si="9"/>
        <v/>
      </c>
      <c r="DU62" s="254"/>
      <c r="DV62" s="255"/>
      <c r="DW62" s="143"/>
      <c r="DX62" s="143"/>
      <c r="DY62" s="143"/>
      <c r="DZ62" s="143"/>
      <c r="EA62" s="143"/>
      <c r="EB62" s="143"/>
      <c r="EC62" s="143"/>
      <c r="ED62" s="143"/>
    </row>
    <row r="63" spans="1:134" ht="31.2">
      <c r="A63" s="171"/>
      <c r="B63" s="441" t="s">
        <v>85</v>
      </c>
      <c r="C63" s="442"/>
      <c r="D63" s="442"/>
      <c r="E63" s="175" t="s">
        <v>89</v>
      </c>
      <c r="F63" s="176" t="s">
        <v>90</v>
      </c>
      <c r="G63" s="176" t="s">
        <v>91</v>
      </c>
      <c r="H63" s="177" t="s">
        <v>92</v>
      </c>
      <c r="I63" s="178" t="s">
        <v>89</v>
      </c>
      <c r="J63" s="176" t="s">
        <v>90</v>
      </c>
      <c r="K63" s="176" t="s">
        <v>91</v>
      </c>
      <c r="L63" s="177" t="s">
        <v>92</v>
      </c>
      <c r="M63" s="172"/>
      <c r="N63" s="172"/>
      <c r="O63" s="173"/>
      <c r="Q63" s="5"/>
      <c r="R63" s="5"/>
      <c r="S63" s="6"/>
      <c r="T63" s="6"/>
      <c r="U63" s="6"/>
      <c r="V63" s="6"/>
      <c r="W63" s="6"/>
      <c r="X63" s="6"/>
      <c r="Y63" s="6"/>
      <c r="Z63" s="199"/>
      <c r="AA63" s="200"/>
      <c r="AB63" s="200"/>
      <c r="AC63" s="200"/>
      <c r="AD63" s="200"/>
      <c r="AE63" s="200"/>
      <c r="AF63" s="200"/>
      <c r="AG63" s="200"/>
      <c r="AH63" s="200"/>
      <c r="AI63" s="200"/>
      <c r="AJ63" s="200"/>
      <c r="AK63" s="200"/>
      <c r="AL63" s="200"/>
      <c r="AM63" s="200"/>
      <c r="AN63" s="200"/>
      <c r="AO63" s="200"/>
      <c r="AP63" s="200"/>
      <c r="AQ63" s="200"/>
      <c r="AR63" s="200"/>
      <c r="AS63" s="200"/>
      <c r="AT63" s="254"/>
      <c r="AU63" s="274"/>
      <c r="AV63" s="273"/>
      <c r="CZ63" s="143"/>
      <c r="DA63" s="143"/>
      <c r="DB63" s="143"/>
      <c r="DC63" s="143"/>
      <c r="DD63" s="143"/>
      <c r="DE63" s="143"/>
      <c r="DF63" s="143"/>
      <c r="DG63" s="143"/>
      <c r="DH63" s="143"/>
      <c r="DI63" s="143"/>
      <c r="DJ63" s="143"/>
      <c r="DK63" s="143"/>
      <c r="DL63" s="143"/>
      <c r="DM63" s="143"/>
      <c r="DN63" s="254"/>
      <c r="DO63" s="255">
        <v>3572</v>
      </c>
      <c r="DP63" s="256">
        <f>AC5</f>
        <v>0</v>
      </c>
      <c r="DQ63" s="254" t="str">
        <f t="shared" si="6"/>
        <v/>
      </c>
      <c r="DR63" s="254" t="str">
        <f t="shared" si="7"/>
        <v/>
      </c>
      <c r="DS63" s="254" t="str">
        <f t="shared" si="8"/>
        <v xml:space="preserve">3279, 3278, 3180, 3179, 3080, 2980, 2880, </v>
      </c>
      <c r="DT63" s="254" t="str">
        <f t="shared" si="9"/>
        <v/>
      </c>
      <c r="DU63" s="254"/>
      <c r="DV63" s="255"/>
      <c r="DW63" s="143"/>
      <c r="DX63" s="143"/>
      <c r="DY63" s="143"/>
      <c r="DZ63" s="143"/>
      <c r="EA63" s="143"/>
      <c r="EB63" s="143"/>
      <c r="EC63" s="143"/>
      <c r="ED63" s="143"/>
    </row>
    <row r="64" spans="1:134">
      <c r="A64" s="171"/>
      <c r="B64" s="437" t="s">
        <v>93</v>
      </c>
      <c r="C64" s="438"/>
      <c r="D64" s="438"/>
      <c r="E64" s="179">
        <f>'Reduction Targets'!D17</f>
        <v>0.86399071156078955</v>
      </c>
      <c r="F64" s="180">
        <f>'Reduction Targets'!E17</f>
        <v>0.85761321968730153</v>
      </c>
      <c r="G64" s="183">
        <f>'Reduction Targets'!F17</f>
        <v>0.83</v>
      </c>
      <c r="H64" s="181">
        <f>'Reduction Targets'!G17</f>
        <v>0.81456514954125736</v>
      </c>
      <c r="I64" s="182">
        <f>'Reduction Targets'!H17</f>
        <v>0.81091391607231711</v>
      </c>
      <c r="J64" s="183">
        <f>'Reduction Targets'!I17</f>
        <v>0.8049282071513183</v>
      </c>
      <c r="K64" s="183">
        <f>'Reduction Targets'!J17</f>
        <v>0.78397822592782229</v>
      </c>
      <c r="L64" s="184">
        <f>'Reduction Targets'!K17</f>
        <v>0.76452467193457607</v>
      </c>
      <c r="M64" s="172"/>
      <c r="N64" s="172"/>
      <c r="O64" s="173"/>
      <c r="Q64" s="5"/>
      <c r="R64" s="5"/>
      <c r="S64" s="6"/>
      <c r="T64" s="6"/>
      <c r="U64" s="6"/>
      <c r="V64" s="6"/>
      <c r="W64" s="6"/>
      <c r="X64" s="6"/>
      <c r="Y64" s="6"/>
      <c r="Z64" s="199"/>
      <c r="AA64" s="200"/>
      <c r="AB64" s="200"/>
      <c r="AC64" s="200"/>
      <c r="AD64" s="200"/>
      <c r="AE64" s="200"/>
      <c r="AF64" s="200"/>
      <c r="AG64" s="200"/>
      <c r="AH64" s="200"/>
      <c r="AI64" s="200"/>
      <c r="AJ64" s="200"/>
      <c r="AK64" s="200"/>
      <c r="AL64" s="200"/>
      <c r="AM64" s="200"/>
      <c r="AN64" s="200"/>
      <c r="AO64" s="200"/>
      <c r="AP64" s="200"/>
      <c r="AQ64" s="200"/>
      <c r="AR64" s="200"/>
      <c r="AS64" s="200"/>
      <c r="AT64" s="254"/>
      <c r="AU64" s="274"/>
      <c r="AV64" s="273"/>
      <c r="CZ64" s="143"/>
      <c r="DA64" s="143"/>
      <c r="DB64" s="143"/>
      <c r="DC64" s="143"/>
      <c r="DD64" s="143"/>
      <c r="DE64" s="143"/>
      <c r="DF64" s="143"/>
      <c r="DG64" s="143"/>
      <c r="DH64" s="143"/>
      <c r="DI64" s="143"/>
      <c r="DJ64" s="143"/>
      <c r="DK64" s="143"/>
      <c r="DL64" s="143"/>
      <c r="DM64" s="143"/>
      <c r="DN64" s="254"/>
      <c r="DO64" s="255">
        <v>3573</v>
      </c>
      <c r="DP64" s="256">
        <f>AB5</f>
        <v>0</v>
      </c>
      <c r="DQ64" s="254" t="str">
        <f t="shared" si="6"/>
        <v/>
      </c>
      <c r="DR64" s="254" t="str">
        <f t="shared" si="7"/>
        <v/>
      </c>
      <c r="DS64" s="254" t="str">
        <f t="shared" si="8"/>
        <v xml:space="preserve">3279, 3278, 3180, 3179, 3080, 2980, 2880, </v>
      </c>
      <c r="DT64" s="254" t="str">
        <f t="shared" si="9"/>
        <v/>
      </c>
      <c r="DU64" s="254"/>
      <c r="DV64" s="255"/>
      <c r="DW64" s="143"/>
      <c r="DX64" s="143"/>
      <c r="DY64" s="143"/>
      <c r="DZ64" s="143"/>
      <c r="EA64" s="143"/>
      <c r="EB64" s="143"/>
      <c r="EC64" s="143"/>
      <c r="ED64" s="143"/>
    </row>
    <row r="65" spans="1:134" ht="16.2" thickBot="1">
      <c r="A65" s="171"/>
      <c r="B65" s="437" t="s">
        <v>94</v>
      </c>
      <c r="C65" s="438"/>
      <c r="D65" s="438"/>
      <c r="E65" s="179">
        <f>'Reduction Targets'!D18</f>
        <v>0.88555315972798143</v>
      </c>
      <c r="F65" s="180">
        <f>'Reduction Targets'!E18</f>
        <v>0.87901650603004466</v>
      </c>
      <c r="G65" s="342">
        <f>'Reduction Targets'!F18</f>
        <v>0.85</v>
      </c>
      <c r="H65" s="181">
        <f>'Reduction Targets'!G18</f>
        <v>0.8348940935689716</v>
      </c>
      <c r="I65" s="182">
        <f>'Reduction Targets'!H18</f>
        <v>0.83911096367556803</v>
      </c>
      <c r="J65" s="180">
        <f>'Reduction Targets'!I18</f>
        <v>0.83291712006105934</v>
      </c>
      <c r="K65" s="180">
        <f>'Reduction Targets'!J18</f>
        <v>0.81123866741027872</v>
      </c>
      <c r="L65" s="181">
        <f>'Reduction Targets'!K18</f>
        <v>0.79110867566312537</v>
      </c>
      <c r="M65" s="172"/>
      <c r="N65" s="172"/>
      <c r="O65" s="173"/>
      <c r="Q65" s="5"/>
      <c r="R65" s="5"/>
      <c r="S65" s="6"/>
      <c r="T65" s="6"/>
      <c r="U65" s="6"/>
      <c r="V65" s="6"/>
      <c r="W65" s="6"/>
      <c r="X65" s="6"/>
      <c r="Y65" s="6"/>
      <c r="Z65" s="199"/>
      <c r="AA65" s="200"/>
      <c r="AB65" s="200"/>
      <c r="AC65" s="200"/>
      <c r="AD65" s="200"/>
      <c r="AE65" s="200"/>
      <c r="AF65" s="200"/>
      <c r="AG65" s="200"/>
      <c r="AH65" s="200"/>
      <c r="AI65" s="200"/>
      <c r="AJ65" s="200"/>
      <c r="AK65" s="200"/>
      <c r="AL65" s="200"/>
      <c r="AM65" s="200"/>
      <c r="AN65" s="200"/>
      <c r="AO65" s="200"/>
      <c r="AP65" s="200"/>
      <c r="AQ65" s="200"/>
      <c r="AR65" s="200"/>
      <c r="AS65" s="200"/>
      <c r="AT65" s="254"/>
      <c r="AU65" s="274"/>
      <c r="AV65" s="273"/>
      <c r="CZ65" s="143"/>
      <c r="DA65" s="143"/>
      <c r="DB65" s="143"/>
      <c r="DC65" s="143"/>
      <c r="DD65" s="143"/>
      <c r="DE65" s="143"/>
      <c r="DF65" s="143"/>
      <c r="DG65" s="143"/>
      <c r="DH65" s="143"/>
      <c r="DI65" s="143"/>
      <c r="DJ65" s="143"/>
      <c r="DK65" s="143"/>
      <c r="DL65" s="143"/>
      <c r="DM65" s="143"/>
      <c r="DN65" s="254"/>
      <c r="DO65" s="255">
        <v>3574</v>
      </c>
      <c r="DP65" s="256">
        <f>AA5</f>
        <v>0</v>
      </c>
      <c r="DQ65" s="254" t="str">
        <f t="shared" si="6"/>
        <v/>
      </c>
      <c r="DR65" s="254" t="str">
        <f t="shared" si="7"/>
        <v/>
      </c>
      <c r="DS65" s="254" t="str">
        <f t="shared" si="8"/>
        <v xml:space="preserve">3279, 3278, 3180, 3179, 3080, 2980, 2880, </v>
      </c>
      <c r="DT65" s="254" t="str">
        <f t="shared" si="9"/>
        <v/>
      </c>
      <c r="DU65" s="254"/>
      <c r="DV65" s="255"/>
      <c r="DW65" s="143"/>
      <c r="DX65" s="143"/>
      <c r="DY65" s="143"/>
      <c r="DZ65" s="143"/>
      <c r="EA65" s="143"/>
      <c r="EB65" s="143"/>
      <c r="EC65" s="143"/>
      <c r="ED65" s="143"/>
    </row>
    <row r="66" spans="1:134" ht="16.8" thickTop="1" thickBot="1">
      <c r="A66" s="171"/>
      <c r="B66" s="437" t="s">
        <v>95</v>
      </c>
      <c r="C66" s="438"/>
      <c r="D66" s="438"/>
      <c r="E66" s="179">
        <f>'Reduction Targets'!D19</f>
        <v>0.89882235860009951</v>
      </c>
      <c r="F66" s="339">
        <f>'Reduction Targets'!E19</f>
        <v>0.89218775916404047</v>
      </c>
      <c r="G66" s="341">
        <f>'Reduction Targets'!F19</f>
        <v>0.86896666113783383</v>
      </c>
      <c r="H66" s="340">
        <f>'Reduction Targets'!G19</f>
        <v>0.84740421297064183</v>
      </c>
      <c r="I66" s="182">
        <f>'Reduction Targets'!H19</f>
        <v>0.8573561121247304</v>
      </c>
      <c r="J66" s="180">
        <f>'Reduction Targets'!I19</f>
        <v>0.85102759312030352</v>
      </c>
      <c r="K66" s="180">
        <f>'Reduction Targets'!J19</f>
        <v>0.82887777660480944</v>
      </c>
      <c r="L66" s="181">
        <f>'Reduction Targets'!K19</f>
        <v>0.80831008984042207</v>
      </c>
      <c r="M66" s="172"/>
      <c r="N66" s="172"/>
      <c r="O66" s="173"/>
      <c r="Q66" s="5"/>
      <c r="R66" s="5"/>
      <c r="S66" s="6"/>
      <c r="T66" s="6"/>
      <c r="U66" s="6"/>
      <c r="V66" s="6"/>
      <c r="W66" s="6"/>
      <c r="X66" s="6"/>
      <c r="Y66" s="6"/>
      <c r="Z66" s="199"/>
      <c r="AA66" s="200"/>
      <c r="AB66" s="200"/>
      <c r="AC66" s="200"/>
      <c r="AD66" s="200"/>
      <c r="AE66" s="200"/>
      <c r="AF66" s="200"/>
      <c r="AG66" s="200"/>
      <c r="AH66" s="200"/>
      <c r="AI66" s="200"/>
      <c r="AJ66" s="200"/>
      <c r="AK66" s="200"/>
      <c r="AL66" s="200"/>
      <c r="AM66" s="200"/>
      <c r="AN66" s="200"/>
      <c r="AO66" s="200"/>
      <c r="AP66" s="200"/>
      <c r="AQ66" s="200"/>
      <c r="AR66" s="200"/>
      <c r="AS66" s="200"/>
      <c r="AT66" s="254"/>
      <c r="AU66" s="274"/>
      <c r="AV66" s="273"/>
      <c r="CZ66" s="143"/>
      <c r="DA66" s="143"/>
      <c r="DB66" s="143"/>
      <c r="DC66" s="143"/>
      <c r="DD66" s="143"/>
      <c r="DE66" s="143"/>
      <c r="DF66" s="143"/>
      <c r="DG66" s="143"/>
      <c r="DH66" s="143"/>
      <c r="DI66" s="143"/>
      <c r="DJ66" s="143"/>
      <c r="DK66" s="143"/>
      <c r="DL66" s="143"/>
      <c r="DM66" s="143"/>
      <c r="DN66" s="254"/>
      <c r="DO66" s="255">
        <v>3575</v>
      </c>
      <c r="DP66" s="256">
        <f>Z5</f>
        <v>0</v>
      </c>
      <c r="DQ66" s="254" t="str">
        <f t="shared" ref="DQ66:DQ73" si="10">IF($DP66&lt;&gt;0,CONCATENATE($DO66,", "),"")</f>
        <v/>
      </c>
      <c r="DR66" s="254" t="str">
        <f t="shared" ref="DR66:DR73" si="11">IF(AND($DP66&lt;100%,$DP66&gt;0%),CONCATENATE($DO66,", "),"")</f>
        <v/>
      </c>
      <c r="DS66" s="254" t="str">
        <f t="shared" si="8"/>
        <v xml:space="preserve">3279, 3278, 3180, 3179, 3080, 2980, 2880, </v>
      </c>
      <c r="DT66" s="254" t="str">
        <f t="shared" si="9"/>
        <v/>
      </c>
      <c r="DU66" s="254"/>
      <c r="DV66" s="255"/>
      <c r="DW66" s="143"/>
      <c r="DX66" s="143"/>
      <c r="DY66" s="143"/>
      <c r="DZ66" s="143"/>
      <c r="EA66" s="143"/>
      <c r="EB66" s="143"/>
      <c r="EC66" s="143"/>
      <c r="ED66" s="143"/>
    </row>
    <row r="67" spans="1:134" ht="16.2" thickTop="1">
      <c r="A67" s="171"/>
      <c r="B67" s="437" t="s">
        <v>96</v>
      </c>
      <c r="C67" s="438"/>
      <c r="D67" s="438"/>
      <c r="E67" s="179">
        <f>'Reduction Targets'!D20</f>
        <v>0.91043290761320284</v>
      </c>
      <c r="F67" s="180">
        <f>'Reduction Targets'!E20</f>
        <v>0.90371260565628675</v>
      </c>
      <c r="G67" s="343">
        <f>'Reduction Targets'!F20</f>
        <v>0.89</v>
      </c>
      <c r="H67" s="181">
        <f>'Reduction Targets'!G20</f>
        <v>0.85835056744710325</v>
      </c>
      <c r="I67" s="182">
        <f>'Reduction Targets'!H20</f>
        <v>0.87560126057389287</v>
      </c>
      <c r="J67" s="180">
        <f>'Reduction Targets'!I20</f>
        <v>0.8691380661795477</v>
      </c>
      <c r="K67" s="180">
        <f>'Reduction Targets'!J20</f>
        <v>0.84651688579934015</v>
      </c>
      <c r="L67" s="181">
        <f>'Reduction Targets'!K20</f>
        <v>0.82551150401771878</v>
      </c>
      <c r="M67" s="172"/>
      <c r="N67" s="172"/>
      <c r="O67" s="173"/>
      <c r="Q67" s="5"/>
      <c r="R67" s="5"/>
      <c r="S67" s="6"/>
      <c r="T67" s="6"/>
      <c r="U67" s="6"/>
      <c r="V67" s="6"/>
      <c r="W67" s="6"/>
      <c r="X67" s="6"/>
      <c r="Y67" s="6"/>
      <c r="Z67" s="199"/>
      <c r="AA67" s="200"/>
      <c r="AB67" s="200"/>
      <c r="AC67" s="200"/>
      <c r="AD67" s="200"/>
      <c r="AE67" s="200"/>
      <c r="AF67" s="200"/>
      <c r="AG67" s="200"/>
      <c r="AH67" s="200"/>
      <c r="AI67" s="200"/>
      <c r="AJ67" s="200"/>
      <c r="AK67" s="200"/>
      <c r="AL67" s="200"/>
      <c r="AM67" s="200"/>
      <c r="AN67" s="200"/>
      <c r="AO67" s="200"/>
      <c r="AP67" s="200"/>
      <c r="AQ67" s="200"/>
      <c r="AR67" s="200"/>
      <c r="AS67" s="200"/>
      <c r="AT67" s="254"/>
      <c r="AU67" s="274"/>
      <c r="AV67" s="273"/>
      <c r="CZ67" s="143"/>
      <c r="DA67" s="143"/>
      <c r="DB67" s="143"/>
      <c r="DC67" s="143"/>
      <c r="DD67" s="143"/>
      <c r="DE67" s="143"/>
      <c r="DF67" s="143"/>
      <c r="DG67" s="143"/>
      <c r="DH67" s="143"/>
      <c r="DI67" s="143"/>
      <c r="DJ67" s="143"/>
      <c r="DK67" s="143"/>
      <c r="DL67" s="143"/>
      <c r="DM67" s="143"/>
      <c r="DN67" s="254"/>
      <c r="DO67" s="255">
        <v>3669</v>
      </c>
      <c r="DP67" s="256">
        <f>AF4</f>
        <v>0</v>
      </c>
      <c r="DQ67" s="254" t="str">
        <f t="shared" si="10"/>
        <v/>
      </c>
      <c r="DR67" s="254" t="str">
        <f t="shared" si="11"/>
        <v/>
      </c>
      <c r="DS67" s="254" t="str">
        <f t="shared" ref="DS67:DS73" si="12">DQ67&amp;DS66</f>
        <v xml:space="preserve">3279, 3278, 3180, 3179, 3080, 2980, 2880, </v>
      </c>
      <c r="DT67" s="254" t="str">
        <f t="shared" ref="DT67:DT73" si="13">DR67&amp;DT66</f>
        <v/>
      </c>
      <c r="DU67" s="254"/>
      <c r="DV67" s="255"/>
      <c r="DW67" s="143"/>
      <c r="DX67" s="143"/>
      <c r="DY67" s="143"/>
      <c r="DZ67" s="143"/>
      <c r="EA67" s="143"/>
      <c r="EB67" s="143"/>
      <c r="EC67" s="143"/>
      <c r="ED67" s="143"/>
    </row>
    <row r="68" spans="1:134" ht="16.2" thickBot="1">
      <c r="A68" s="171"/>
      <c r="B68" s="439" t="s">
        <v>97</v>
      </c>
      <c r="C68" s="440"/>
      <c r="D68" s="440"/>
      <c r="E68" s="185">
        <f>'Reduction Targets'!D21</f>
        <v>0.87062531099684859</v>
      </c>
      <c r="F68" s="186">
        <f>'Reduction Targets'!E21</f>
        <v>0.86419884625429944</v>
      </c>
      <c r="G68" s="189">
        <f>'Reduction Targets'!F21</f>
        <v>0.83</v>
      </c>
      <c r="H68" s="187">
        <f>'Reduction Targets'!G21</f>
        <v>0.82082020924209242</v>
      </c>
      <c r="I68" s="191">
        <f>'Reduction Targets'!H21</f>
        <v>0.81714093788896003</v>
      </c>
      <c r="J68" s="186">
        <f>'Reduction Targets'!I21</f>
        <v>0.81110926460688604</v>
      </c>
      <c r="K68" s="186">
        <f>'Reduction Targets'!J21</f>
        <v>0.7899984081196274</v>
      </c>
      <c r="L68" s="187">
        <f>'Reduction Targets'!K21</f>
        <v>0.77039546995288732</v>
      </c>
      <c r="M68" s="172"/>
      <c r="N68" s="172"/>
      <c r="O68" s="173"/>
      <c r="Q68" s="5"/>
      <c r="R68" s="5"/>
      <c r="S68" s="6"/>
      <c r="T68" s="6"/>
      <c r="U68" s="6"/>
      <c r="V68" s="6"/>
      <c r="W68" s="6"/>
      <c r="X68" s="6"/>
      <c r="Y68" s="6"/>
      <c r="Z68" s="199"/>
      <c r="AA68" s="200"/>
      <c r="AB68" s="200"/>
      <c r="AC68" s="200"/>
      <c r="AD68" s="200"/>
      <c r="AE68" s="200"/>
      <c r="AF68" s="200"/>
      <c r="AG68" s="200"/>
      <c r="AH68" s="200"/>
      <c r="AI68" s="200"/>
      <c r="AJ68" s="200"/>
      <c r="AK68" s="200"/>
      <c r="AL68" s="200"/>
      <c r="AM68" s="200"/>
      <c r="AN68" s="200"/>
      <c r="AO68" s="200"/>
      <c r="AP68" s="200"/>
      <c r="AQ68" s="200"/>
      <c r="AR68" s="200"/>
      <c r="AS68" s="200"/>
      <c r="AT68" s="254"/>
      <c r="AU68" s="274"/>
      <c r="AV68" s="273"/>
      <c r="CZ68" s="143"/>
      <c r="DA68" s="143"/>
      <c r="DB68" s="143"/>
      <c r="DC68" s="143"/>
      <c r="DD68" s="143"/>
      <c r="DE68" s="143"/>
      <c r="DF68" s="143"/>
      <c r="DG68" s="143"/>
      <c r="DH68" s="143"/>
      <c r="DI68" s="143"/>
      <c r="DJ68" s="143"/>
      <c r="DK68" s="143"/>
      <c r="DL68" s="143"/>
      <c r="DM68" s="143"/>
      <c r="DN68" s="254"/>
      <c r="DO68" s="255">
        <v>3670</v>
      </c>
      <c r="DP68" s="256">
        <f>AE4</f>
        <v>0</v>
      </c>
      <c r="DQ68" s="254" t="str">
        <f t="shared" si="10"/>
        <v/>
      </c>
      <c r="DR68" s="254" t="str">
        <f t="shared" si="11"/>
        <v/>
      </c>
      <c r="DS68" s="254" t="str">
        <f t="shared" si="12"/>
        <v xml:space="preserve">3279, 3278, 3180, 3179, 3080, 2980, 2880, </v>
      </c>
      <c r="DT68" s="254" t="str">
        <f t="shared" si="13"/>
        <v/>
      </c>
      <c r="DU68" s="254"/>
      <c r="DV68" s="255"/>
      <c r="DW68" s="143"/>
      <c r="DX68" s="143"/>
      <c r="DY68" s="143"/>
      <c r="DZ68" s="143"/>
      <c r="EA68" s="143"/>
      <c r="EB68" s="143"/>
      <c r="EC68" s="143"/>
      <c r="ED68" s="143"/>
    </row>
    <row r="69" spans="1:134" ht="16.2" thickTop="1">
      <c r="A69" s="171"/>
      <c r="B69" s="500" t="s">
        <v>98</v>
      </c>
      <c r="C69" s="501"/>
      <c r="D69" s="501"/>
      <c r="E69" s="501"/>
      <c r="F69" s="501"/>
      <c r="G69" s="501"/>
      <c r="H69" s="501"/>
      <c r="I69" s="501"/>
      <c r="J69" s="501"/>
      <c r="K69" s="501"/>
      <c r="L69" s="501"/>
      <c r="M69" s="172"/>
      <c r="N69" s="172"/>
      <c r="O69" s="173"/>
      <c r="Q69" s="5"/>
      <c r="R69" s="5"/>
      <c r="S69" s="6"/>
      <c r="T69" s="6"/>
      <c r="U69" s="6"/>
      <c r="V69" s="6"/>
      <c r="W69" s="6"/>
      <c r="X69" s="6"/>
      <c r="Y69" s="6"/>
      <c r="Z69" s="199"/>
      <c r="AA69" s="200"/>
      <c r="AB69" s="200"/>
      <c r="AC69" s="200"/>
      <c r="AD69" s="200"/>
      <c r="AE69" s="200"/>
      <c r="AF69" s="200"/>
      <c r="AG69" s="200"/>
      <c r="AH69" s="200"/>
      <c r="AI69" s="200"/>
      <c r="AJ69" s="200"/>
      <c r="AK69" s="200"/>
      <c r="AL69" s="200"/>
      <c r="AM69" s="200"/>
      <c r="AN69" s="200"/>
      <c r="AO69" s="200"/>
      <c r="AP69" s="200"/>
      <c r="AQ69" s="200"/>
      <c r="AR69" s="200"/>
      <c r="AS69" s="200"/>
      <c r="AT69" s="254"/>
      <c r="AU69" s="274"/>
      <c r="AV69" s="273"/>
      <c r="CZ69" s="143"/>
      <c r="DA69" s="143"/>
      <c r="DB69" s="143"/>
      <c r="DC69" s="143"/>
      <c r="DD69" s="143"/>
      <c r="DE69" s="143"/>
      <c r="DF69" s="143"/>
      <c r="DG69" s="143"/>
      <c r="DH69" s="143"/>
      <c r="DI69" s="143"/>
      <c r="DJ69" s="143"/>
      <c r="DK69" s="143"/>
      <c r="DL69" s="143"/>
      <c r="DM69" s="143"/>
      <c r="DN69" s="254"/>
      <c r="DO69" s="255">
        <v>3671</v>
      </c>
      <c r="DP69" s="256">
        <f>AD4</f>
        <v>0</v>
      </c>
      <c r="DQ69" s="254" t="str">
        <f t="shared" si="10"/>
        <v/>
      </c>
      <c r="DR69" s="254" t="str">
        <f t="shared" si="11"/>
        <v/>
      </c>
      <c r="DS69" s="254" t="str">
        <f t="shared" si="12"/>
        <v xml:space="preserve">3279, 3278, 3180, 3179, 3080, 2980, 2880, </v>
      </c>
      <c r="DT69" s="254" t="str">
        <f t="shared" si="13"/>
        <v/>
      </c>
      <c r="DU69" s="254"/>
      <c r="DV69" s="255"/>
      <c r="DW69" s="143"/>
      <c r="DX69" s="143"/>
      <c r="DY69" s="143"/>
      <c r="DZ69" s="143"/>
      <c r="EA69" s="143"/>
      <c r="EB69" s="143"/>
      <c r="EC69" s="143"/>
      <c r="ED69" s="143"/>
    </row>
    <row r="70" spans="1:134" ht="16.2" thickBot="1">
      <c r="A70" s="171"/>
      <c r="B70" s="502"/>
      <c r="C70" s="502"/>
      <c r="D70" s="502"/>
      <c r="E70" s="502"/>
      <c r="F70" s="502"/>
      <c r="G70" s="502"/>
      <c r="H70" s="502"/>
      <c r="I70" s="502"/>
      <c r="J70" s="502"/>
      <c r="K70" s="502"/>
      <c r="L70" s="502"/>
      <c r="M70" s="172"/>
      <c r="N70" s="172"/>
      <c r="O70" s="173"/>
      <c r="Q70" s="5"/>
      <c r="R70" s="5"/>
      <c r="S70" s="6"/>
      <c r="T70" s="6"/>
      <c r="U70" s="6"/>
      <c r="V70" s="6"/>
      <c r="W70" s="6"/>
      <c r="X70" s="6"/>
      <c r="Y70" s="6"/>
      <c r="Z70" s="199"/>
      <c r="AA70" s="200"/>
      <c r="AB70" s="200"/>
      <c r="AC70" s="200"/>
      <c r="AD70" s="200"/>
      <c r="AE70" s="200"/>
      <c r="AF70" s="200"/>
      <c r="AG70" s="200"/>
      <c r="AH70" s="200"/>
      <c r="AI70" s="200"/>
      <c r="AJ70" s="200"/>
      <c r="AK70" s="200"/>
      <c r="AL70" s="200"/>
      <c r="AM70" s="200"/>
      <c r="AN70" s="200"/>
      <c r="AO70" s="200"/>
      <c r="AP70" s="200"/>
      <c r="AQ70" s="200"/>
      <c r="AR70" s="200"/>
      <c r="AS70" s="200"/>
      <c r="AT70" s="254"/>
      <c r="AU70" s="274"/>
      <c r="AV70" s="273"/>
      <c r="CZ70" s="143"/>
      <c r="DA70" s="143"/>
      <c r="DB70" s="143"/>
      <c r="DC70" s="143"/>
      <c r="DD70" s="143"/>
      <c r="DE70" s="143"/>
      <c r="DF70" s="143"/>
      <c r="DG70" s="143"/>
      <c r="DH70" s="143"/>
      <c r="DI70" s="143"/>
      <c r="DJ70" s="143"/>
      <c r="DK70" s="143"/>
      <c r="DL70" s="143"/>
      <c r="DM70" s="143"/>
      <c r="DN70" s="254"/>
      <c r="DO70" s="255">
        <v>3672</v>
      </c>
      <c r="DP70" s="256">
        <f>AC4</f>
        <v>0</v>
      </c>
      <c r="DQ70" s="254" t="str">
        <f t="shared" si="10"/>
        <v/>
      </c>
      <c r="DR70" s="254" t="str">
        <f t="shared" si="11"/>
        <v/>
      </c>
      <c r="DS70" s="254" t="str">
        <f t="shared" si="12"/>
        <v xml:space="preserve">3279, 3278, 3180, 3179, 3080, 2980, 2880, </v>
      </c>
      <c r="DT70" s="254" t="str">
        <f t="shared" si="13"/>
        <v/>
      </c>
      <c r="DU70" s="254"/>
      <c r="DV70" s="255"/>
      <c r="DW70" s="143"/>
      <c r="DX70" s="143"/>
      <c r="DY70" s="143"/>
      <c r="DZ70" s="143"/>
      <c r="EA70" s="143"/>
      <c r="EB70" s="143"/>
      <c r="EC70" s="143"/>
      <c r="ED70" s="143"/>
    </row>
    <row r="71" spans="1:134" ht="16.2" thickTop="1">
      <c r="A71" s="171"/>
      <c r="B71" s="443" t="s">
        <v>86</v>
      </c>
      <c r="C71" s="444"/>
      <c r="D71" s="444"/>
      <c r="E71" s="445" t="s">
        <v>87</v>
      </c>
      <c r="F71" s="433"/>
      <c r="G71" s="433"/>
      <c r="H71" s="434"/>
      <c r="I71" s="432" t="s">
        <v>88</v>
      </c>
      <c r="J71" s="433"/>
      <c r="K71" s="433"/>
      <c r="L71" s="434"/>
      <c r="M71" s="172"/>
      <c r="N71" s="172"/>
      <c r="O71" s="173"/>
      <c r="Q71" s="5"/>
      <c r="R71" s="5"/>
      <c r="S71" s="6"/>
      <c r="T71" s="6"/>
      <c r="U71" s="6"/>
      <c r="V71" s="6"/>
      <c r="W71" s="6"/>
      <c r="X71" s="6"/>
      <c r="Y71" s="6"/>
      <c r="Z71" s="199"/>
      <c r="AA71" s="200"/>
      <c r="AB71" s="200"/>
      <c r="AC71" s="200"/>
      <c r="AD71" s="200"/>
      <c r="AE71" s="200"/>
      <c r="AF71" s="200"/>
      <c r="AG71" s="200"/>
      <c r="AH71" s="200"/>
      <c r="AI71" s="200"/>
      <c r="AJ71" s="200"/>
      <c r="AK71" s="200"/>
      <c r="AL71" s="200"/>
      <c r="AM71" s="200"/>
      <c r="AN71" s="200"/>
      <c r="AO71" s="200"/>
      <c r="AP71" s="200"/>
      <c r="AQ71" s="200"/>
      <c r="AR71" s="200"/>
      <c r="AS71" s="200"/>
      <c r="AT71" s="254"/>
      <c r="AU71" s="274"/>
      <c r="AV71" s="273"/>
      <c r="CZ71" s="143"/>
      <c r="DA71" s="143"/>
      <c r="DB71" s="143"/>
      <c r="DC71" s="143"/>
      <c r="DD71" s="143"/>
      <c r="DE71" s="143"/>
      <c r="DF71" s="143"/>
      <c r="DG71" s="143"/>
      <c r="DH71" s="143"/>
      <c r="DI71" s="143"/>
      <c r="DJ71" s="143"/>
      <c r="DK71" s="143"/>
      <c r="DL71" s="143"/>
      <c r="DM71" s="143"/>
      <c r="DN71" s="254"/>
      <c r="DO71" s="255">
        <v>3673</v>
      </c>
      <c r="DP71" s="256">
        <f>AB4</f>
        <v>0</v>
      </c>
      <c r="DQ71" s="254" t="str">
        <f t="shared" si="10"/>
        <v/>
      </c>
      <c r="DR71" s="254" t="str">
        <f t="shared" si="11"/>
        <v/>
      </c>
      <c r="DS71" s="254" t="str">
        <f t="shared" si="12"/>
        <v xml:space="preserve">3279, 3278, 3180, 3179, 3080, 2980, 2880, </v>
      </c>
      <c r="DT71" s="254" t="str">
        <f t="shared" si="13"/>
        <v/>
      </c>
      <c r="DU71" s="254"/>
      <c r="DV71" s="255"/>
      <c r="DW71" s="143"/>
      <c r="DX71" s="143"/>
      <c r="DY71" s="143"/>
      <c r="DZ71" s="143"/>
      <c r="EA71" s="143"/>
      <c r="EB71" s="143"/>
      <c r="EC71" s="143"/>
      <c r="ED71" s="143"/>
    </row>
    <row r="72" spans="1:134" ht="31.2">
      <c r="A72" s="171"/>
      <c r="B72" s="441" t="s">
        <v>85</v>
      </c>
      <c r="C72" s="442"/>
      <c r="D72" s="442"/>
      <c r="E72" s="175" t="s">
        <v>89</v>
      </c>
      <c r="F72" s="176" t="s">
        <v>90</v>
      </c>
      <c r="G72" s="176" t="s">
        <v>91</v>
      </c>
      <c r="H72" s="177" t="s">
        <v>92</v>
      </c>
      <c r="I72" s="178" t="s">
        <v>89</v>
      </c>
      <c r="J72" s="176" t="s">
        <v>90</v>
      </c>
      <c r="K72" s="176" t="s">
        <v>91</v>
      </c>
      <c r="L72" s="177" t="s">
        <v>92</v>
      </c>
      <c r="M72" s="172"/>
      <c r="N72" s="172"/>
      <c r="O72" s="173"/>
      <c r="Q72" s="5"/>
      <c r="R72" s="5"/>
      <c r="S72" s="6"/>
      <c r="T72" s="6"/>
      <c r="U72" s="6"/>
      <c r="V72" s="6"/>
      <c r="W72" s="6"/>
      <c r="X72" s="6"/>
      <c r="Y72" s="6"/>
      <c r="Z72" s="199"/>
      <c r="AA72" s="200"/>
      <c r="AB72" s="200"/>
      <c r="AC72" s="200"/>
      <c r="AD72" s="200"/>
      <c r="AE72" s="200"/>
      <c r="AF72" s="200"/>
      <c r="AG72" s="200"/>
      <c r="AH72" s="200"/>
      <c r="AI72" s="200"/>
      <c r="AJ72" s="200"/>
      <c r="AK72" s="200"/>
      <c r="AL72" s="200"/>
      <c r="AM72" s="200"/>
      <c r="AN72" s="200"/>
      <c r="AO72" s="200"/>
      <c r="AP72" s="200"/>
      <c r="AQ72" s="200"/>
      <c r="AR72" s="200"/>
      <c r="AS72" s="200"/>
      <c r="AT72" s="254"/>
      <c r="AU72" s="274"/>
      <c r="AV72" s="273"/>
      <c r="CZ72" s="143"/>
      <c r="DA72" s="143"/>
      <c r="DB72" s="143"/>
      <c r="DC72" s="143"/>
      <c r="DD72" s="143"/>
      <c r="DE72" s="143"/>
      <c r="DF72" s="143"/>
      <c r="DG72" s="143"/>
      <c r="DH72" s="143"/>
      <c r="DI72" s="143"/>
      <c r="DJ72" s="143"/>
      <c r="DK72" s="143"/>
      <c r="DL72" s="143"/>
      <c r="DM72" s="143"/>
      <c r="DN72" s="254"/>
      <c r="DO72" s="255">
        <v>3674</v>
      </c>
      <c r="DP72" s="256">
        <f>AA4</f>
        <v>0</v>
      </c>
      <c r="DQ72" s="254" t="str">
        <f t="shared" si="10"/>
        <v/>
      </c>
      <c r="DR72" s="254" t="str">
        <f t="shared" si="11"/>
        <v/>
      </c>
      <c r="DS72" s="254" t="str">
        <f t="shared" si="12"/>
        <v xml:space="preserve">3279, 3278, 3180, 3179, 3080, 2980, 2880, </v>
      </c>
      <c r="DT72" s="254" t="str">
        <f t="shared" si="13"/>
        <v/>
      </c>
      <c r="DU72" s="254"/>
      <c r="DV72" s="255"/>
      <c r="DW72" s="143"/>
      <c r="DX72" s="143"/>
      <c r="DY72" s="143"/>
      <c r="DZ72" s="143"/>
      <c r="EA72" s="143"/>
      <c r="EB72" s="143"/>
      <c r="EC72" s="143"/>
      <c r="ED72" s="143"/>
    </row>
    <row r="73" spans="1:134">
      <c r="A73" s="171"/>
      <c r="B73" s="437" t="s">
        <v>93</v>
      </c>
      <c r="C73" s="438"/>
      <c r="D73" s="438"/>
      <c r="E73" s="179" t="str">
        <f t="shared" ref="E73:L75" si="14">IF($K$56&gt;E64,"YES","NO")</f>
        <v>YES</v>
      </c>
      <c r="F73" s="183" t="str">
        <f t="shared" si="14"/>
        <v>YES</v>
      </c>
      <c r="G73" s="183" t="str">
        <f t="shared" si="14"/>
        <v>YES</v>
      </c>
      <c r="H73" s="184" t="str">
        <f t="shared" si="14"/>
        <v>YES</v>
      </c>
      <c r="I73" s="182" t="str">
        <f t="shared" si="14"/>
        <v>YES</v>
      </c>
      <c r="J73" s="183" t="str">
        <f t="shared" si="14"/>
        <v>YES</v>
      </c>
      <c r="K73" s="183" t="str">
        <f t="shared" si="14"/>
        <v>YES</v>
      </c>
      <c r="L73" s="184" t="str">
        <f t="shared" si="14"/>
        <v>YES</v>
      </c>
      <c r="M73" s="172"/>
      <c r="N73" s="172"/>
      <c r="O73" s="173"/>
      <c r="Q73" s="5"/>
      <c r="R73" s="5"/>
      <c r="S73" s="6"/>
      <c r="T73" s="6"/>
      <c r="U73" s="6"/>
      <c r="V73" s="6"/>
      <c r="W73" s="6"/>
      <c r="X73" s="6"/>
      <c r="Y73" s="6"/>
      <c r="Z73" s="199"/>
      <c r="AA73" s="200"/>
      <c r="AB73" s="200"/>
      <c r="AC73" s="200"/>
      <c r="AD73" s="200"/>
      <c r="AE73" s="200"/>
      <c r="AF73" s="200"/>
      <c r="AG73" s="200"/>
      <c r="AH73" s="200"/>
      <c r="AI73" s="200"/>
      <c r="AJ73" s="200"/>
      <c r="AK73" s="200"/>
      <c r="AL73" s="200"/>
      <c r="AM73" s="200"/>
      <c r="AN73" s="200"/>
      <c r="AO73" s="200"/>
      <c r="AP73" s="200"/>
      <c r="AQ73" s="200"/>
      <c r="AR73" s="200"/>
      <c r="AS73" s="200"/>
      <c r="AT73" s="254"/>
      <c r="AU73" s="274"/>
      <c r="AV73" s="273"/>
      <c r="CZ73" s="143"/>
      <c r="DA73" s="143"/>
      <c r="DB73" s="143"/>
      <c r="DC73" s="143"/>
      <c r="DD73" s="143"/>
      <c r="DE73" s="143"/>
      <c r="DF73" s="143"/>
      <c r="DG73" s="143"/>
      <c r="DH73" s="143"/>
      <c r="DI73" s="143"/>
      <c r="DJ73" s="143"/>
      <c r="DK73" s="143"/>
      <c r="DL73" s="143"/>
      <c r="DM73" s="143"/>
      <c r="DN73" s="254"/>
      <c r="DO73" s="255">
        <v>3675</v>
      </c>
      <c r="DP73" s="256">
        <f>Z4</f>
        <v>0</v>
      </c>
      <c r="DQ73" s="254" t="str">
        <f t="shared" si="10"/>
        <v/>
      </c>
      <c r="DR73" s="254" t="str">
        <f t="shared" si="11"/>
        <v/>
      </c>
      <c r="DS73" s="254" t="str">
        <f t="shared" si="12"/>
        <v xml:space="preserve">3279, 3278, 3180, 3179, 3080, 2980, 2880, </v>
      </c>
      <c r="DT73" s="254" t="str">
        <f t="shared" si="13"/>
        <v/>
      </c>
      <c r="DU73" s="254"/>
      <c r="DV73" s="255"/>
      <c r="DW73" s="143"/>
      <c r="DX73" s="143"/>
      <c r="DY73" s="143"/>
      <c r="DZ73" s="143"/>
      <c r="EA73" s="143"/>
      <c r="EB73" s="143"/>
      <c r="EC73" s="143"/>
      <c r="ED73" s="143"/>
    </row>
    <row r="74" spans="1:134" ht="16.2" thickBot="1">
      <c r="A74" s="171"/>
      <c r="B74" s="437" t="s">
        <v>94</v>
      </c>
      <c r="C74" s="438"/>
      <c r="D74" s="438"/>
      <c r="E74" s="179" t="str">
        <f t="shared" si="14"/>
        <v>NO</v>
      </c>
      <c r="F74" s="183" t="str">
        <f t="shared" si="14"/>
        <v>NO</v>
      </c>
      <c r="G74" s="342" t="str">
        <f t="shared" si="14"/>
        <v>YES</v>
      </c>
      <c r="H74" s="184" t="str">
        <f t="shared" si="14"/>
        <v>YES</v>
      </c>
      <c r="I74" s="182" t="str">
        <f t="shared" si="14"/>
        <v>YES</v>
      </c>
      <c r="J74" s="183" t="str">
        <f t="shared" si="14"/>
        <v>YES</v>
      </c>
      <c r="K74" s="183" t="str">
        <f t="shared" si="14"/>
        <v>YES</v>
      </c>
      <c r="L74" s="184" t="str">
        <f t="shared" si="14"/>
        <v>YES</v>
      </c>
      <c r="M74" s="172"/>
      <c r="N74" s="172"/>
      <c r="O74" s="173"/>
      <c r="Q74" s="5"/>
      <c r="R74" s="5"/>
      <c r="S74" s="6"/>
      <c r="T74" s="6"/>
      <c r="U74" s="6"/>
      <c r="V74" s="6"/>
      <c r="W74" s="6"/>
      <c r="X74" s="6"/>
      <c r="Y74" s="6"/>
      <c r="Z74" s="199"/>
      <c r="AA74" s="200"/>
      <c r="AB74" s="200"/>
      <c r="AC74" s="200"/>
      <c r="AD74" s="200"/>
      <c r="AE74" s="200"/>
      <c r="AF74" s="200"/>
      <c r="AG74" s="200"/>
      <c r="AH74" s="200"/>
      <c r="AI74" s="200"/>
      <c r="AJ74" s="200"/>
      <c r="AK74" s="200"/>
      <c r="AL74" s="200"/>
      <c r="AM74" s="200"/>
      <c r="AN74" s="200"/>
      <c r="AO74" s="200"/>
      <c r="AP74" s="200"/>
      <c r="AQ74" s="200"/>
      <c r="AR74" s="200"/>
      <c r="AS74" s="200"/>
      <c r="AT74" s="254"/>
      <c r="AU74" s="274"/>
      <c r="AV74" s="273"/>
      <c r="CZ74" s="143"/>
      <c r="DA74" s="143"/>
      <c r="DB74" s="143"/>
      <c r="DC74" s="143"/>
      <c r="DD74" s="143"/>
      <c r="DE74" s="143"/>
      <c r="DF74" s="143"/>
      <c r="DG74" s="143"/>
      <c r="DH74" s="143"/>
      <c r="DI74" s="143"/>
      <c r="DJ74" s="143"/>
      <c r="DK74" s="143"/>
      <c r="DL74" s="143"/>
      <c r="DM74" s="143"/>
      <c r="DN74" s="254"/>
      <c r="DO74" s="254"/>
      <c r="DP74" s="254"/>
      <c r="DQ74" s="254"/>
      <c r="DR74" s="254"/>
      <c r="DS74" s="254"/>
      <c r="DT74" s="254"/>
      <c r="DU74" s="254"/>
      <c r="DV74" s="254"/>
      <c r="DW74" s="143"/>
      <c r="DX74" s="143"/>
      <c r="DY74" s="143"/>
      <c r="DZ74" s="143"/>
      <c r="EA74" s="143"/>
      <c r="EB74" s="143"/>
      <c r="EC74" s="143"/>
      <c r="ED74" s="143"/>
    </row>
    <row r="75" spans="1:134" ht="16.8" thickTop="1" thickBot="1">
      <c r="A75" s="171"/>
      <c r="B75" s="437" t="s">
        <v>95</v>
      </c>
      <c r="C75" s="438"/>
      <c r="D75" s="438"/>
      <c r="E75" s="179" t="str">
        <f t="shared" si="14"/>
        <v>NO</v>
      </c>
      <c r="F75" s="339" t="str">
        <f t="shared" si="14"/>
        <v>NO</v>
      </c>
      <c r="G75" s="341" t="str">
        <f t="shared" si="14"/>
        <v>YES</v>
      </c>
      <c r="H75" s="340" t="str">
        <f t="shared" si="14"/>
        <v>YES</v>
      </c>
      <c r="I75" s="182" t="str">
        <f t="shared" si="14"/>
        <v>YES</v>
      </c>
      <c r="J75" s="183" t="str">
        <f t="shared" si="14"/>
        <v>YES</v>
      </c>
      <c r="K75" s="183" t="str">
        <f t="shared" si="14"/>
        <v>YES</v>
      </c>
      <c r="L75" s="184" t="str">
        <f t="shared" si="14"/>
        <v>YES</v>
      </c>
      <c r="M75" s="172"/>
      <c r="N75" s="172"/>
      <c r="O75" s="173"/>
      <c r="Q75" s="5"/>
      <c r="R75" s="5"/>
      <c r="S75" s="6"/>
      <c r="T75" s="6"/>
      <c r="U75" s="6"/>
      <c r="V75" s="6"/>
      <c r="W75" s="6"/>
      <c r="X75" s="6"/>
      <c r="Y75" s="6"/>
      <c r="Z75" s="199"/>
      <c r="AA75" s="200"/>
      <c r="AB75" s="200"/>
      <c r="AC75" s="200"/>
      <c r="AD75" s="200"/>
      <c r="AE75" s="200"/>
      <c r="AF75" s="200"/>
      <c r="AG75" s="200"/>
      <c r="AH75" s="200"/>
      <c r="AI75" s="200"/>
      <c r="AJ75" s="200"/>
      <c r="AK75" s="200"/>
      <c r="AL75" s="200"/>
      <c r="AM75" s="200"/>
      <c r="AN75" s="200"/>
      <c r="AO75" s="200"/>
      <c r="AP75" s="200"/>
      <c r="AQ75" s="200"/>
      <c r="AR75" s="200"/>
      <c r="AS75" s="200"/>
      <c r="AT75" s="254"/>
      <c r="AU75" s="274"/>
      <c r="AV75" s="273"/>
      <c r="CZ75" s="143"/>
      <c r="DA75" s="143"/>
      <c r="DB75" s="143"/>
      <c r="DC75" s="143"/>
      <c r="DD75" s="143"/>
      <c r="DE75" s="143"/>
      <c r="DF75" s="143"/>
      <c r="DG75" s="143"/>
      <c r="DH75" s="143"/>
      <c r="DI75" s="143"/>
      <c r="DJ75" s="143"/>
      <c r="DK75" s="143"/>
      <c r="DL75" s="143"/>
      <c r="DM75" s="143"/>
      <c r="DN75" s="143"/>
      <c r="DO75" s="143"/>
      <c r="DP75" s="143"/>
      <c r="DQ75" s="143"/>
      <c r="DR75" s="143"/>
      <c r="DS75" s="143"/>
      <c r="DT75" s="143"/>
      <c r="DU75" s="143"/>
      <c r="DV75" s="143"/>
      <c r="DW75" s="143"/>
      <c r="DX75" s="143"/>
      <c r="DY75" s="143"/>
      <c r="DZ75" s="143"/>
      <c r="EA75" s="143"/>
      <c r="EB75" s="143"/>
      <c r="EC75" s="143"/>
      <c r="ED75" s="143"/>
    </row>
    <row r="76" spans="1:134" ht="16.2" thickTop="1">
      <c r="A76" s="171"/>
      <c r="B76" s="437" t="s">
        <v>96</v>
      </c>
      <c r="C76" s="438"/>
      <c r="D76" s="438"/>
      <c r="E76" s="179" t="str">
        <f t="shared" ref="E76:L76" si="15">IF($K$56&gt;E67,"YES","NO")</f>
        <v>NO</v>
      </c>
      <c r="F76" s="183" t="str">
        <f t="shared" si="15"/>
        <v>NO</v>
      </c>
      <c r="G76" s="343" t="str">
        <f t="shared" si="15"/>
        <v>NO</v>
      </c>
      <c r="H76" s="184" t="str">
        <f t="shared" si="15"/>
        <v>YES</v>
      </c>
      <c r="I76" s="182" t="str">
        <f t="shared" si="15"/>
        <v>NO</v>
      </c>
      <c r="J76" s="183" t="str">
        <f t="shared" si="15"/>
        <v>YES</v>
      </c>
      <c r="K76" s="183" t="str">
        <f t="shared" si="15"/>
        <v>YES</v>
      </c>
      <c r="L76" s="184" t="str">
        <f t="shared" si="15"/>
        <v>YES</v>
      </c>
      <c r="M76" s="172"/>
      <c r="N76" s="172"/>
      <c r="O76" s="173"/>
      <c r="Q76" s="5"/>
      <c r="R76" s="5"/>
      <c r="S76" s="6"/>
      <c r="T76" s="6"/>
      <c r="U76" s="6"/>
      <c r="V76" s="6"/>
      <c r="W76" s="6"/>
      <c r="X76" s="6"/>
      <c r="Y76" s="6"/>
      <c r="Z76" s="199"/>
      <c r="AA76" s="200"/>
      <c r="AB76" s="200"/>
      <c r="AC76" s="200"/>
      <c r="AD76" s="200"/>
      <c r="AE76" s="200"/>
      <c r="AF76" s="200"/>
      <c r="AG76" s="200"/>
      <c r="AH76" s="200"/>
      <c r="AI76" s="200"/>
      <c r="AJ76" s="200"/>
      <c r="AK76" s="200"/>
      <c r="AL76" s="200"/>
      <c r="AM76" s="200"/>
      <c r="AN76" s="200"/>
      <c r="AO76" s="200"/>
      <c r="AP76" s="200"/>
      <c r="AQ76" s="200"/>
      <c r="AR76" s="200"/>
      <c r="AS76" s="200"/>
      <c r="AT76" s="254"/>
      <c r="AU76" s="274"/>
      <c r="AV76" s="273"/>
      <c r="CZ76" s="143"/>
      <c r="DA76" s="143"/>
      <c r="DB76" s="143"/>
      <c r="DC76" s="143"/>
      <c r="DD76" s="143"/>
      <c r="DE76" s="143"/>
      <c r="DF76" s="143"/>
      <c r="DG76" s="143"/>
      <c r="DH76" s="143"/>
      <c r="DI76" s="143"/>
      <c r="DJ76" s="143"/>
      <c r="DK76" s="143"/>
      <c r="DL76" s="143"/>
      <c r="DM76" s="143"/>
      <c r="DN76" s="143"/>
      <c r="DO76" s="143"/>
      <c r="DP76" s="143"/>
      <c r="DQ76" s="143"/>
      <c r="DR76" s="143"/>
      <c r="DS76" s="143"/>
      <c r="DT76" s="143"/>
      <c r="DU76" s="143"/>
      <c r="DV76" s="143"/>
      <c r="DW76" s="143"/>
      <c r="DX76" s="143"/>
      <c r="DY76" s="143"/>
      <c r="DZ76" s="143"/>
      <c r="EA76" s="143"/>
      <c r="EB76" s="143"/>
      <c r="EC76" s="143"/>
      <c r="ED76" s="143"/>
    </row>
    <row r="77" spans="1:134" ht="16.2" thickBot="1">
      <c r="A77" s="171"/>
      <c r="B77" s="439" t="s">
        <v>97</v>
      </c>
      <c r="C77" s="440"/>
      <c r="D77" s="440"/>
      <c r="E77" s="185" t="str">
        <f t="shared" ref="E77:L77" si="16">IF($K$56&gt;E68,"YES","NO")</f>
        <v>YES</v>
      </c>
      <c r="F77" s="189" t="str">
        <f t="shared" si="16"/>
        <v>YES</v>
      </c>
      <c r="G77" s="189" t="str">
        <f t="shared" si="16"/>
        <v>YES</v>
      </c>
      <c r="H77" s="190" t="str">
        <f t="shared" si="16"/>
        <v>YES</v>
      </c>
      <c r="I77" s="191" t="str">
        <f t="shared" si="16"/>
        <v>YES</v>
      </c>
      <c r="J77" s="189" t="str">
        <f t="shared" si="16"/>
        <v>YES</v>
      </c>
      <c r="K77" s="189" t="str">
        <f t="shared" si="16"/>
        <v>YES</v>
      </c>
      <c r="L77" s="190" t="str">
        <f t="shared" si="16"/>
        <v>YES</v>
      </c>
      <c r="M77" s="172"/>
      <c r="N77" s="172"/>
      <c r="O77" s="173"/>
      <c r="Q77" s="5"/>
      <c r="R77" s="5"/>
      <c r="S77" s="6"/>
      <c r="T77" s="6"/>
      <c r="U77" s="6"/>
      <c r="V77" s="6"/>
      <c r="W77" s="6"/>
      <c r="X77" s="6"/>
      <c r="Y77" s="6"/>
      <c r="Z77" s="199"/>
      <c r="AA77" s="200"/>
      <c r="AB77" s="200"/>
      <c r="AC77" s="200"/>
      <c r="AD77" s="200"/>
      <c r="AE77" s="200"/>
      <c r="AF77" s="200"/>
      <c r="AG77" s="200"/>
      <c r="AH77" s="200"/>
      <c r="AI77" s="200"/>
      <c r="AJ77" s="200"/>
      <c r="AK77" s="200"/>
      <c r="AL77" s="200"/>
      <c r="AM77" s="200"/>
      <c r="AN77" s="200"/>
      <c r="AO77" s="200"/>
      <c r="AP77" s="200"/>
      <c r="AQ77" s="200"/>
      <c r="AR77" s="200"/>
      <c r="AS77" s="200"/>
      <c r="AT77" s="254"/>
      <c r="AU77" s="274"/>
      <c r="AV77" s="273"/>
      <c r="CZ77" s="143"/>
      <c r="DA77" s="143"/>
      <c r="DB77" s="143"/>
      <c r="DC77" s="143"/>
      <c r="DD77" s="143"/>
      <c r="DE77" s="143"/>
      <c r="DF77" s="143"/>
      <c r="DG77" s="143"/>
      <c r="DH77" s="143"/>
      <c r="DI77" s="143"/>
      <c r="DJ77" s="143"/>
      <c r="DK77" s="143"/>
      <c r="DL77" s="143"/>
      <c r="DM77" s="143"/>
      <c r="DN77" s="143"/>
      <c r="DO77" s="143"/>
      <c r="DP77" s="143"/>
      <c r="DQ77" s="143"/>
      <c r="DR77" s="143"/>
      <c r="DS77" s="143"/>
      <c r="DT77" s="143"/>
      <c r="DU77" s="143"/>
      <c r="DV77" s="143"/>
      <c r="DW77" s="143"/>
      <c r="DX77" s="143"/>
      <c r="DY77" s="143"/>
      <c r="DZ77" s="143"/>
      <c r="EA77" s="143"/>
      <c r="EB77" s="143"/>
      <c r="EC77" s="143"/>
      <c r="ED77" s="143"/>
    </row>
    <row r="78" spans="1:134" ht="16.2" thickTop="1">
      <c r="A78" s="171"/>
      <c r="B78" s="344" t="s">
        <v>238</v>
      </c>
      <c r="C78" s="174"/>
      <c r="D78" s="174"/>
      <c r="E78" s="174"/>
      <c r="F78" s="172"/>
      <c r="G78" s="172"/>
      <c r="H78" s="172"/>
      <c r="I78" s="172"/>
      <c r="J78" s="172"/>
      <c r="K78" s="172"/>
      <c r="L78" s="172"/>
      <c r="M78" s="172"/>
      <c r="N78" s="172"/>
      <c r="O78" s="173"/>
      <c r="Q78" s="5"/>
      <c r="R78" s="5"/>
      <c r="S78" s="6"/>
      <c r="T78" s="6"/>
      <c r="U78" s="6"/>
      <c r="V78" s="6"/>
      <c r="W78" s="6"/>
      <c r="X78" s="6"/>
      <c r="Y78" s="6"/>
      <c r="Z78" s="199"/>
      <c r="AA78" s="200"/>
      <c r="AB78" s="200"/>
      <c r="AC78" s="200"/>
      <c r="AD78" s="200"/>
      <c r="AE78" s="200"/>
      <c r="AF78" s="200"/>
      <c r="AG78" s="200"/>
      <c r="AH78" s="200"/>
      <c r="AI78" s="200"/>
      <c r="AJ78" s="200"/>
      <c r="AK78" s="200"/>
      <c r="AL78" s="200"/>
      <c r="AM78" s="200"/>
      <c r="AN78" s="200"/>
      <c r="AO78" s="200"/>
      <c r="AP78" s="200"/>
      <c r="AQ78" s="200"/>
      <c r="AR78" s="200"/>
      <c r="AS78" s="200"/>
      <c r="AT78" s="254"/>
      <c r="AU78" s="274"/>
      <c r="AV78" s="273"/>
      <c r="CZ78" s="143"/>
      <c r="DA78" s="143"/>
      <c r="DB78" s="143"/>
      <c r="DC78" s="143"/>
      <c r="DD78" s="143"/>
      <c r="DE78" s="143"/>
      <c r="DF78" s="143"/>
      <c r="DG78" s="143"/>
      <c r="DH78" s="143"/>
      <c r="DI78" s="143"/>
      <c r="DJ78" s="143"/>
      <c r="DK78" s="143"/>
      <c r="DL78" s="143"/>
      <c r="DM78" s="143"/>
      <c r="DN78" s="143"/>
      <c r="DO78" s="143"/>
      <c r="DP78" s="143"/>
      <c r="DQ78" s="143"/>
      <c r="DR78" s="143"/>
      <c r="DS78" s="143"/>
      <c r="DT78" s="143"/>
      <c r="DU78" s="143"/>
      <c r="DV78" s="143"/>
      <c r="DW78" s="143"/>
      <c r="DX78" s="143"/>
      <c r="DY78" s="143"/>
      <c r="DZ78" s="143"/>
      <c r="EA78" s="143"/>
      <c r="EB78" s="143"/>
      <c r="EC78" s="143"/>
      <c r="ED78" s="143"/>
    </row>
    <row r="79" spans="1:134" ht="19.8" customHeight="1">
      <c r="A79" s="171"/>
      <c r="B79" s="174"/>
      <c r="C79" s="174"/>
      <c r="D79" s="174"/>
      <c r="E79" s="174"/>
      <c r="F79" s="172"/>
      <c r="G79" s="172"/>
      <c r="H79" s="172"/>
      <c r="I79" s="172"/>
      <c r="J79" s="172"/>
      <c r="K79" s="172"/>
      <c r="L79" s="172"/>
      <c r="M79" s="172"/>
      <c r="N79" s="172"/>
      <c r="O79" s="173"/>
      <c r="Q79" s="5"/>
      <c r="R79" s="5"/>
      <c r="S79" s="6"/>
      <c r="T79" s="6"/>
      <c r="U79" s="6"/>
      <c r="V79" s="6"/>
      <c r="W79" s="6"/>
      <c r="X79" s="6"/>
      <c r="Y79" s="6"/>
      <c r="Z79" s="199"/>
      <c r="AA79" s="200"/>
      <c r="AB79" s="200"/>
      <c r="AC79" s="200"/>
      <c r="AD79" s="200"/>
      <c r="AE79" s="200"/>
      <c r="AF79" s="200"/>
      <c r="AG79" s="200"/>
      <c r="AH79" s="200"/>
      <c r="AI79" s="200"/>
      <c r="AJ79" s="200"/>
      <c r="AK79" s="200"/>
      <c r="AL79" s="200"/>
      <c r="AM79" s="200"/>
      <c r="AN79" s="200"/>
      <c r="AO79" s="200"/>
      <c r="AP79" s="200"/>
      <c r="AQ79" s="200"/>
      <c r="AR79" s="200"/>
      <c r="AS79" s="200"/>
      <c r="AT79" s="254"/>
      <c r="AU79" s="274"/>
      <c r="AV79" s="273"/>
      <c r="CZ79" s="143"/>
      <c r="DA79" s="143"/>
      <c r="DB79" s="143"/>
      <c r="DC79" s="143"/>
      <c r="DD79" s="143"/>
      <c r="DE79" s="143"/>
      <c r="DF79" s="143"/>
      <c r="DG79" s="143"/>
      <c r="DH79" s="143"/>
      <c r="DI79" s="143"/>
      <c r="DJ79" s="143"/>
      <c r="DK79" s="143"/>
      <c r="DL79" s="143"/>
      <c r="DM79" s="143"/>
      <c r="DN79" s="143"/>
      <c r="DO79" s="143"/>
      <c r="DP79" s="143"/>
      <c r="DQ79" s="143"/>
      <c r="DR79" s="143"/>
      <c r="DS79" s="143"/>
      <c r="DT79" s="143"/>
      <c r="DU79" s="143"/>
      <c r="DV79" s="143"/>
      <c r="DW79" s="143"/>
      <c r="DX79" s="143"/>
      <c r="DY79" s="143"/>
      <c r="DZ79" s="143"/>
      <c r="EA79" s="143"/>
      <c r="EB79" s="143"/>
      <c r="EC79" s="143"/>
      <c r="ED79" s="143"/>
    </row>
    <row r="80" spans="1:134" ht="19.8" customHeight="1" thickBot="1">
      <c r="A80" s="171"/>
      <c r="B80" s="192" t="s">
        <v>127</v>
      </c>
      <c r="C80" s="192"/>
      <c r="D80" s="192"/>
      <c r="E80" s="192"/>
      <c r="F80" s="193"/>
      <c r="G80" s="193"/>
      <c r="H80" s="193"/>
      <c r="I80" s="193"/>
      <c r="J80" s="193"/>
      <c r="K80" s="193"/>
      <c r="L80" s="193"/>
      <c r="M80" s="193"/>
      <c r="N80" s="193"/>
      <c r="O80" s="173"/>
      <c r="Q80" s="5"/>
      <c r="R80" s="5"/>
      <c r="S80" s="6"/>
      <c r="T80" s="6"/>
      <c r="U80" s="6"/>
      <c r="V80" s="6"/>
      <c r="W80" s="6"/>
      <c r="X80" s="6"/>
      <c r="Y80" s="6"/>
      <c r="Z80" s="199"/>
      <c r="AA80" s="200"/>
      <c r="AB80" s="200"/>
      <c r="AC80" s="200"/>
      <c r="AD80" s="200"/>
      <c r="AE80" s="200"/>
      <c r="AF80" s="200"/>
      <c r="AG80" s="200"/>
      <c r="AH80" s="200"/>
      <c r="AI80" s="200"/>
      <c r="AJ80" s="200"/>
      <c r="AK80" s="200"/>
      <c r="AL80" s="200"/>
      <c r="AM80" s="200"/>
      <c r="AN80" s="200"/>
      <c r="AO80" s="200"/>
      <c r="AP80" s="200"/>
      <c r="AQ80" s="200"/>
      <c r="AR80" s="200"/>
      <c r="AS80" s="200"/>
      <c r="AT80" s="254"/>
      <c r="AU80" s="273"/>
      <c r="AV80" s="273"/>
      <c r="CZ80" s="143"/>
      <c r="DA80" s="143"/>
      <c r="DB80" s="143"/>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c r="ED80" s="143"/>
    </row>
    <row r="81" spans="1:134" ht="19.8" customHeight="1" thickTop="1">
      <c r="A81" s="171"/>
      <c r="B81" s="430" t="str">
        <f>IF(LEN(CONCATENATE(M8,M10,J15,L17,M30,B29,M32,M35))=0,"None: Input parameters meet all criterion.",CONCATENATE(M8,M10,J15,L17,M30,B29,M32,M35))</f>
        <v xml:space="preserve">CAUTION: Reductions associated with bathymetric closure are highly uncertain.  CAUTION: Published studies suggest compliance likely &lt;100%.  </v>
      </c>
      <c r="C81" s="431"/>
      <c r="D81" s="431"/>
      <c r="E81" s="431"/>
      <c r="F81" s="431"/>
      <c r="G81" s="431"/>
      <c r="H81" s="431"/>
      <c r="I81" s="431"/>
      <c r="J81" s="431"/>
      <c r="K81" s="431"/>
      <c r="L81" s="431"/>
      <c r="M81" s="431"/>
      <c r="N81" s="431"/>
      <c r="O81" s="173"/>
      <c r="Q81" s="5"/>
      <c r="R81" s="5"/>
      <c r="S81" s="6"/>
      <c r="T81" s="6"/>
      <c r="U81" s="6"/>
      <c r="V81" s="6"/>
      <c r="W81" s="6"/>
      <c r="X81" s="6"/>
      <c r="Y81" s="6"/>
      <c r="Z81" s="199"/>
      <c r="AA81" s="200"/>
      <c r="AB81" s="200"/>
      <c r="AC81" s="200"/>
      <c r="AD81" s="200"/>
      <c r="AE81" s="200"/>
      <c r="AF81" s="200"/>
      <c r="AG81" s="200"/>
      <c r="AH81" s="200"/>
      <c r="AI81" s="200"/>
      <c r="AJ81" s="200"/>
      <c r="AK81" s="200"/>
      <c r="AL81" s="200"/>
      <c r="AM81" s="200"/>
      <c r="AN81" s="200"/>
      <c r="AO81" s="200"/>
      <c r="AP81" s="200"/>
      <c r="AQ81" s="200"/>
      <c r="AR81" s="200"/>
      <c r="AS81" s="200"/>
      <c r="AT81" s="254"/>
      <c r="AU81" s="273"/>
      <c r="AV81" s="273"/>
      <c r="CZ81" s="143"/>
      <c r="DA81" s="143"/>
      <c r="DB81" s="143"/>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c r="ED81" s="143"/>
    </row>
    <row r="82" spans="1:134" ht="19.8" customHeight="1">
      <c r="A82" s="171"/>
      <c r="B82" s="431"/>
      <c r="C82" s="431"/>
      <c r="D82" s="431"/>
      <c r="E82" s="431"/>
      <c r="F82" s="431"/>
      <c r="G82" s="431"/>
      <c r="H82" s="431"/>
      <c r="I82" s="431"/>
      <c r="J82" s="431"/>
      <c r="K82" s="431"/>
      <c r="L82" s="431"/>
      <c r="M82" s="431"/>
      <c r="N82" s="431"/>
      <c r="O82" s="173"/>
      <c r="Q82" s="5"/>
      <c r="R82" s="5"/>
      <c r="S82" s="6"/>
      <c r="T82" s="6"/>
      <c r="U82" s="6"/>
      <c r="V82" s="6"/>
      <c r="W82" s="6"/>
      <c r="X82" s="6"/>
      <c r="Y82" s="6"/>
      <c r="Z82" s="199"/>
      <c r="AA82" s="200"/>
      <c r="AB82" s="200"/>
      <c r="AC82" s="200"/>
      <c r="AD82" s="200"/>
      <c r="AE82" s="200"/>
      <c r="AF82" s="200"/>
      <c r="AG82" s="200"/>
      <c r="AH82" s="200"/>
      <c r="AI82" s="200"/>
      <c r="AJ82" s="200"/>
      <c r="AK82" s="200"/>
      <c r="AL82" s="200"/>
      <c r="AM82" s="200"/>
      <c r="AN82" s="200"/>
      <c r="AO82" s="200"/>
      <c r="AP82" s="200"/>
      <c r="AQ82" s="200"/>
      <c r="AR82" s="200"/>
      <c r="AS82" s="200"/>
      <c r="AT82" s="254"/>
      <c r="AU82" s="273"/>
      <c r="AV82" s="273"/>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row>
    <row r="83" spans="1:134" ht="19.8" customHeight="1">
      <c r="A83" s="171"/>
      <c r="B83" s="431"/>
      <c r="C83" s="431"/>
      <c r="D83" s="431"/>
      <c r="E83" s="431"/>
      <c r="F83" s="431"/>
      <c r="G83" s="431"/>
      <c r="H83" s="431"/>
      <c r="I83" s="431"/>
      <c r="J83" s="431"/>
      <c r="K83" s="431"/>
      <c r="L83" s="431"/>
      <c r="M83" s="431"/>
      <c r="N83" s="431"/>
      <c r="O83" s="173"/>
      <c r="Q83" s="5"/>
      <c r="R83" s="5"/>
      <c r="S83" s="6"/>
      <c r="T83" s="6"/>
      <c r="U83" s="6"/>
      <c r="V83" s="6"/>
      <c r="W83" s="6"/>
      <c r="X83" s="6"/>
      <c r="Y83" s="6"/>
      <c r="Z83" s="199"/>
      <c r="AA83" s="200"/>
      <c r="AB83" s="200"/>
      <c r="AC83" s="200"/>
      <c r="AD83" s="200"/>
      <c r="AE83" s="200"/>
      <c r="AF83" s="200"/>
      <c r="AG83" s="200"/>
      <c r="AH83" s="200"/>
      <c r="AI83" s="200"/>
      <c r="AJ83" s="200"/>
      <c r="AK83" s="200"/>
      <c r="AL83" s="200"/>
      <c r="AM83" s="200"/>
      <c r="AN83" s="200"/>
      <c r="AO83" s="200"/>
      <c r="AP83" s="200"/>
      <c r="AQ83" s="200"/>
      <c r="AR83" s="200"/>
      <c r="AS83" s="200"/>
      <c r="AT83" s="254"/>
      <c r="AU83" s="273"/>
      <c r="AV83" s="273"/>
      <c r="CZ83" s="143"/>
      <c r="DA83" s="143"/>
      <c r="DB83" s="143"/>
      <c r="DC83" s="143"/>
      <c r="DD83" s="143"/>
      <c r="DE83" s="143"/>
      <c r="DF83" s="143"/>
      <c r="DG83" s="143"/>
      <c r="DH83" s="143"/>
      <c r="DI83" s="143"/>
      <c r="DJ83" s="143"/>
      <c r="DK83" s="143"/>
      <c r="DL83" s="143"/>
      <c r="DM83" s="143"/>
      <c r="DN83" s="143"/>
      <c r="DO83" s="143"/>
      <c r="DP83" s="143"/>
      <c r="DQ83" s="143"/>
      <c r="DR83" s="143"/>
      <c r="DS83" s="143"/>
      <c r="DT83" s="143"/>
      <c r="DU83" s="143"/>
      <c r="DV83" s="143"/>
      <c r="DW83" s="143"/>
      <c r="DX83" s="143"/>
      <c r="DY83" s="143"/>
      <c r="DZ83" s="143"/>
      <c r="EA83" s="143"/>
      <c r="EB83" s="143"/>
      <c r="EC83" s="143"/>
      <c r="ED83" s="143"/>
    </row>
    <row r="84" spans="1:134" ht="18.600000000000001" customHeight="1">
      <c r="A84" s="171"/>
      <c r="B84" s="431"/>
      <c r="C84" s="431"/>
      <c r="D84" s="431"/>
      <c r="E84" s="431"/>
      <c r="F84" s="431"/>
      <c r="G84" s="431"/>
      <c r="H84" s="431"/>
      <c r="I84" s="431"/>
      <c r="J84" s="431"/>
      <c r="K84" s="431"/>
      <c r="L84" s="431"/>
      <c r="M84" s="431"/>
      <c r="N84" s="431"/>
      <c r="O84" s="173"/>
      <c r="Q84" s="5"/>
      <c r="R84" s="5"/>
      <c r="S84" s="6"/>
      <c r="T84" s="6"/>
      <c r="U84" s="6"/>
      <c r="V84" s="6"/>
      <c r="W84" s="6"/>
      <c r="X84" s="6"/>
      <c r="Y84" s="6"/>
      <c r="Z84" s="199"/>
      <c r="AA84" s="200"/>
      <c r="AB84" s="200"/>
      <c r="AC84" s="200"/>
      <c r="AD84" s="200"/>
      <c r="AE84" s="200"/>
      <c r="AF84" s="200"/>
      <c r="AG84" s="200"/>
      <c r="AH84" s="200"/>
      <c r="AI84" s="200"/>
      <c r="AJ84" s="200"/>
      <c r="AK84" s="200"/>
      <c r="AL84" s="200"/>
      <c r="AM84" s="200"/>
      <c r="AN84" s="200"/>
      <c r="AO84" s="200"/>
      <c r="AP84" s="200"/>
      <c r="AQ84" s="200"/>
      <c r="AR84" s="200"/>
      <c r="AS84" s="200"/>
      <c r="AT84" s="254"/>
      <c r="AU84" s="273"/>
      <c r="AV84" s="27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row>
    <row r="85" spans="1:134" ht="17.399999999999999" hidden="1" customHeight="1">
      <c r="A85" s="171"/>
      <c r="B85" s="431"/>
      <c r="C85" s="431"/>
      <c r="D85" s="431"/>
      <c r="E85" s="431"/>
      <c r="F85" s="431"/>
      <c r="G85" s="431"/>
      <c r="H85" s="431"/>
      <c r="I85" s="431"/>
      <c r="J85" s="431"/>
      <c r="K85" s="431"/>
      <c r="L85" s="431"/>
      <c r="M85" s="431"/>
      <c r="N85" s="431"/>
      <c r="O85" s="173"/>
      <c r="Q85" s="5"/>
      <c r="R85" s="5"/>
      <c r="S85" s="6"/>
      <c r="T85" s="6"/>
      <c r="U85" s="6"/>
      <c r="V85" s="6"/>
      <c r="W85" s="6"/>
      <c r="X85" s="6"/>
      <c r="Y85" s="6"/>
      <c r="Z85" s="199"/>
      <c r="AA85" s="200"/>
      <c r="AB85" s="200"/>
      <c r="AC85" s="200"/>
      <c r="AD85" s="200"/>
      <c r="AE85" s="200"/>
      <c r="AF85" s="200"/>
      <c r="AG85" s="200"/>
      <c r="AH85" s="200"/>
      <c r="AI85" s="200"/>
      <c r="AJ85" s="200"/>
      <c r="AK85" s="200"/>
      <c r="AL85" s="200"/>
      <c r="AM85" s="200"/>
      <c r="AN85" s="200"/>
      <c r="AO85" s="200"/>
      <c r="AP85" s="200"/>
      <c r="AQ85" s="200"/>
      <c r="AR85" s="200"/>
      <c r="AS85" s="200"/>
      <c r="AT85" s="254"/>
      <c r="AU85" s="273"/>
      <c r="AV85" s="27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row>
    <row r="86" spans="1:134" hidden="1">
      <c r="A86" s="171"/>
      <c r="B86" s="431"/>
      <c r="C86" s="431"/>
      <c r="D86" s="431"/>
      <c r="E86" s="431"/>
      <c r="F86" s="431"/>
      <c r="G86" s="431"/>
      <c r="H86" s="431"/>
      <c r="I86" s="431"/>
      <c r="J86" s="431"/>
      <c r="K86" s="431"/>
      <c r="L86" s="431"/>
      <c r="M86" s="431"/>
      <c r="N86" s="431"/>
      <c r="O86" s="173"/>
      <c r="Q86" s="5"/>
      <c r="R86" s="5"/>
      <c r="S86" s="6"/>
      <c r="T86" s="6"/>
      <c r="U86" s="6"/>
      <c r="V86" s="6"/>
      <c r="W86" s="6"/>
      <c r="X86" s="6"/>
      <c r="Y86" s="6"/>
      <c r="Z86" s="199"/>
      <c r="AA86" s="200"/>
      <c r="AB86" s="200"/>
      <c r="AC86" s="200"/>
      <c r="AD86" s="200"/>
      <c r="AE86" s="200"/>
      <c r="AF86" s="200"/>
      <c r="AG86" s="200"/>
      <c r="AH86" s="200"/>
      <c r="AI86" s="200"/>
      <c r="AJ86" s="200"/>
      <c r="AK86" s="200"/>
      <c r="AL86" s="200"/>
      <c r="AM86" s="200"/>
      <c r="AN86" s="200"/>
      <c r="AO86" s="200"/>
      <c r="AP86" s="200"/>
      <c r="AQ86" s="200"/>
      <c r="AR86" s="200"/>
      <c r="AS86" s="200"/>
      <c r="AT86" s="254"/>
      <c r="AU86" s="273"/>
      <c r="AV86" s="273"/>
      <c r="CZ86" s="143"/>
      <c r="DA86" s="143"/>
      <c r="DB86" s="143"/>
      <c r="DC86" s="143"/>
      <c r="DD86" s="143"/>
      <c r="DE86" s="143"/>
      <c r="DF86" s="143"/>
      <c r="DG86" s="143"/>
      <c r="DH86" s="143"/>
      <c r="DI86" s="143"/>
      <c r="DJ86" s="143"/>
      <c r="DK86" s="143"/>
      <c r="DL86" s="143"/>
      <c r="DM86" s="143"/>
      <c r="DN86" s="143"/>
      <c r="DO86" s="143"/>
      <c r="DP86" s="143"/>
      <c r="DQ86" s="143"/>
      <c r="DR86" s="143"/>
      <c r="DS86" s="143"/>
      <c r="DT86" s="143"/>
      <c r="DU86" s="143"/>
      <c r="DV86" s="143"/>
      <c r="DW86" s="143"/>
      <c r="DX86" s="143"/>
      <c r="DY86" s="143"/>
      <c r="DZ86" s="143"/>
      <c r="EA86" s="143"/>
      <c r="EB86" s="143"/>
      <c r="EC86" s="143"/>
      <c r="ED86" s="143"/>
    </row>
    <row r="87" spans="1:134" hidden="1">
      <c r="A87" s="171"/>
      <c r="B87" s="431"/>
      <c r="C87" s="431"/>
      <c r="D87" s="431"/>
      <c r="E87" s="431"/>
      <c r="F87" s="431"/>
      <c r="G87" s="431"/>
      <c r="H87" s="431"/>
      <c r="I87" s="431"/>
      <c r="J87" s="431"/>
      <c r="K87" s="431"/>
      <c r="L87" s="431"/>
      <c r="M87" s="431"/>
      <c r="N87" s="431"/>
      <c r="O87" s="173"/>
      <c r="Q87" s="5"/>
      <c r="R87" s="5"/>
      <c r="S87" s="6"/>
      <c r="T87" s="6"/>
      <c r="U87" s="6"/>
      <c r="V87" s="6"/>
      <c r="W87" s="6"/>
      <c r="X87" s="6"/>
      <c r="Y87" s="6"/>
      <c r="Z87" s="199"/>
      <c r="AA87" s="200"/>
      <c r="AB87" s="200"/>
      <c r="AC87" s="200"/>
      <c r="AD87" s="200"/>
      <c r="AE87" s="200"/>
      <c r="AF87" s="200"/>
      <c r="AG87" s="200"/>
      <c r="AH87" s="200"/>
      <c r="AI87" s="200"/>
      <c r="AJ87" s="200"/>
      <c r="AK87" s="200"/>
      <c r="AL87" s="200"/>
      <c r="AM87" s="200"/>
      <c r="AN87" s="200"/>
      <c r="AO87" s="200"/>
      <c r="AP87" s="200"/>
      <c r="AQ87" s="200"/>
      <c r="AR87" s="200"/>
      <c r="AS87" s="200"/>
      <c r="AT87" s="254"/>
      <c r="AU87" s="273"/>
      <c r="AV87" s="273"/>
      <c r="CZ87" s="143"/>
      <c r="DA87" s="143"/>
      <c r="DB87" s="143"/>
      <c r="DC87" s="143"/>
      <c r="DD87" s="143"/>
      <c r="DE87" s="143"/>
      <c r="DF87" s="143"/>
      <c r="DG87" s="143"/>
      <c r="DH87" s="143"/>
      <c r="DI87" s="143"/>
      <c r="DJ87" s="143"/>
      <c r="DK87" s="143"/>
      <c r="DL87" s="143"/>
      <c r="DM87" s="143"/>
      <c r="DN87" s="143"/>
      <c r="DO87" s="143"/>
      <c r="DP87" s="143"/>
      <c r="DQ87" s="143"/>
      <c r="DR87" s="143"/>
      <c r="DS87" s="143"/>
      <c r="DT87" s="143"/>
      <c r="DU87" s="143"/>
      <c r="DV87" s="143"/>
      <c r="DW87" s="143"/>
      <c r="DX87" s="143"/>
      <c r="DY87" s="143"/>
      <c r="DZ87" s="143"/>
      <c r="EA87" s="143"/>
      <c r="EB87" s="143"/>
      <c r="EC87" s="143"/>
      <c r="ED87" s="143"/>
    </row>
    <row r="88" spans="1:134" ht="16.2" thickBot="1">
      <c r="A88" s="171"/>
      <c r="B88" s="192" t="s">
        <v>128</v>
      </c>
      <c r="C88" s="192"/>
      <c r="D88" s="192"/>
      <c r="E88" s="192"/>
      <c r="F88" s="193"/>
      <c r="G88" s="193"/>
      <c r="H88" s="193"/>
      <c r="I88" s="193"/>
      <c r="J88" s="193"/>
      <c r="K88" s="193"/>
      <c r="L88" s="193"/>
      <c r="M88" s="193"/>
      <c r="N88" s="193"/>
      <c r="O88" s="173"/>
      <c r="Q88" s="5"/>
      <c r="R88" s="5"/>
      <c r="S88" s="6"/>
      <c r="T88" s="6"/>
      <c r="U88" s="6"/>
      <c r="V88" s="6"/>
      <c r="W88" s="6"/>
      <c r="X88" s="6"/>
      <c r="Y88" s="6"/>
      <c r="Z88" s="199"/>
      <c r="AA88" s="200"/>
      <c r="AB88" s="200"/>
      <c r="AC88" s="200"/>
      <c r="AD88" s="200"/>
      <c r="AE88" s="200"/>
      <c r="AF88" s="200"/>
      <c r="AG88" s="200"/>
      <c r="AH88" s="200"/>
      <c r="AI88" s="200"/>
      <c r="AJ88" s="200"/>
      <c r="AK88" s="200"/>
      <c r="AL88" s="200"/>
      <c r="AM88" s="200"/>
      <c r="AN88" s="200"/>
      <c r="AO88" s="200"/>
      <c r="AP88" s="200"/>
      <c r="AQ88" s="200"/>
      <c r="AR88" s="200"/>
      <c r="AS88" s="200"/>
      <c r="AT88" s="254"/>
      <c r="AU88" s="273"/>
      <c r="AV88" s="273"/>
      <c r="CZ88" s="143"/>
      <c r="DA88" s="143"/>
      <c r="DB88" s="143"/>
      <c r="DC88" s="143"/>
      <c r="DD88" s="143"/>
      <c r="DE88" s="143"/>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3"/>
      <c r="ED88" s="143"/>
    </row>
    <row r="89" spans="1:134" s="146" customFormat="1" ht="16.2" thickTop="1">
      <c r="A89" s="171"/>
      <c r="B89" s="495" t="s">
        <v>176</v>
      </c>
      <c r="C89" s="496"/>
      <c r="D89" s="496"/>
      <c r="E89" s="496"/>
      <c r="F89" s="496"/>
      <c r="G89" s="496"/>
      <c r="H89" s="496"/>
      <c r="I89" s="496"/>
      <c r="J89" s="496"/>
      <c r="K89" s="496"/>
      <c r="L89" s="496"/>
      <c r="M89" s="496"/>
      <c r="N89" s="496"/>
      <c r="O89" s="173"/>
      <c r="P89" s="53"/>
      <c r="Q89" s="345" t="s">
        <v>253</v>
      </c>
      <c r="R89" s="5"/>
      <c r="S89" s="6"/>
      <c r="T89" s="6"/>
      <c r="U89" s="6"/>
      <c r="V89" s="6"/>
      <c r="W89" s="6"/>
      <c r="X89" s="6"/>
      <c r="Y89" s="6"/>
      <c r="Z89" s="199"/>
      <c r="AA89" s="200"/>
      <c r="AB89" s="200"/>
      <c r="AC89" s="200"/>
      <c r="AD89" s="200"/>
      <c r="AE89" s="200"/>
      <c r="AF89" s="200"/>
      <c r="AG89" s="200"/>
      <c r="AH89" s="200"/>
      <c r="AI89" s="200"/>
      <c r="AJ89" s="200"/>
      <c r="AK89" s="200"/>
      <c r="AL89" s="200"/>
      <c r="AM89" s="200"/>
      <c r="AN89" s="200"/>
      <c r="AO89" s="200"/>
      <c r="AP89" s="200"/>
      <c r="AQ89" s="200"/>
      <c r="AR89" s="200"/>
      <c r="AS89" s="200"/>
      <c r="AT89" s="254"/>
      <c r="AU89" s="273"/>
      <c r="AV89" s="273"/>
    </row>
    <row r="90" spans="1:134" s="146" customFormat="1">
      <c r="A90" s="171"/>
      <c r="B90" s="497"/>
      <c r="C90" s="497"/>
      <c r="D90" s="497"/>
      <c r="E90" s="497"/>
      <c r="F90" s="497"/>
      <c r="G90" s="497"/>
      <c r="H90" s="497"/>
      <c r="I90" s="497"/>
      <c r="J90" s="497"/>
      <c r="K90" s="497"/>
      <c r="L90" s="497"/>
      <c r="M90" s="497"/>
      <c r="N90" s="497"/>
      <c r="O90" s="173"/>
      <c r="P90" s="53"/>
      <c r="Q90" s="5"/>
      <c r="R90" s="5"/>
      <c r="S90" s="6"/>
      <c r="T90" s="6"/>
      <c r="U90" s="6"/>
      <c r="V90" s="6"/>
      <c r="W90" s="6"/>
      <c r="X90" s="6"/>
      <c r="Y90" s="6"/>
      <c r="Z90" s="199"/>
      <c r="AA90" s="200"/>
      <c r="AB90" s="200"/>
      <c r="AC90" s="200"/>
      <c r="AD90" s="200"/>
      <c r="AE90" s="200"/>
      <c r="AF90" s="200"/>
      <c r="AG90" s="200"/>
      <c r="AH90" s="200"/>
      <c r="AI90" s="200"/>
      <c r="AJ90" s="200"/>
      <c r="AK90" s="200"/>
      <c r="AL90" s="200"/>
      <c r="AM90" s="200"/>
      <c r="AN90" s="200"/>
      <c r="AO90" s="200"/>
      <c r="AP90" s="200"/>
      <c r="AQ90" s="200"/>
      <c r="AR90" s="200"/>
      <c r="AS90" s="200"/>
      <c r="AT90" s="254"/>
      <c r="AU90" s="273"/>
      <c r="AV90" s="273"/>
    </row>
    <row r="91" spans="1:134" s="146" customFormat="1">
      <c r="A91" s="171"/>
      <c r="B91" s="497"/>
      <c r="C91" s="497"/>
      <c r="D91" s="497"/>
      <c r="E91" s="497"/>
      <c r="F91" s="497"/>
      <c r="G91" s="497"/>
      <c r="H91" s="497"/>
      <c r="I91" s="497"/>
      <c r="J91" s="497"/>
      <c r="K91" s="497"/>
      <c r="L91" s="497"/>
      <c r="M91" s="497"/>
      <c r="N91" s="497"/>
      <c r="O91" s="173"/>
      <c r="P91" s="53"/>
      <c r="Q91" s="5"/>
      <c r="R91" s="5"/>
      <c r="S91" s="6"/>
      <c r="T91" s="6"/>
      <c r="U91" s="6"/>
      <c r="V91" s="6"/>
      <c r="W91" s="6"/>
      <c r="X91" s="6"/>
      <c r="Y91" s="6"/>
      <c r="Z91" s="199"/>
      <c r="AA91" s="200"/>
      <c r="AB91" s="200"/>
      <c r="AC91" s="200"/>
      <c r="AD91" s="200"/>
      <c r="AE91" s="200"/>
      <c r="AF91" s="200"/>
      <c r="AG91" s="200"/>
      <c r="AH91" s="200"/>
      <c r="AI91" s="200"/>
      <c r="AJ91" s="200"/>
      <c r="AK91" s="200"/>
      <c r="AL91" s="200"/>
      <c r="AM91" s="200"/>
      <c r="AN91" s="200"/>
      <c r="AO91" s="200"/>
      <c r="AP91" s="200"/>
      <c r="AQ91" s="200"/>
      <c r="AR91" s="200"/>
      <c r="AS91" s="200"/>
      <c r="AT91" s="254"/>
      <c r="AU91" s="273"/>
      <c r="AV91" s="273"/>
    </row>
    <row r="92" spans="1:134" s="146" customFormat="1">
      <c r="A92" s="171"/>
      <c r="B92" s="497"/>
      <c r="C92" s="497"/>
      <c r="D92" s="497"/>
      <c r="E92" s="497"/>
      <c r="F92" s="497"/>
      <c r="G92" s="497"/>
      <c r="H92" s="497"/>
      <c r="I92" s="497"/>
      <c r="J92" s="497"/>
      <c r="K92" s="497"/>
      <c r="L92" s="497"/>
      <c r="M92" s="497"/>
      <c r="N92" s="497"/>
      <c r="O92" s="173"/>
      <c r="P92" s="53"/>
      <c r="Q92" s="5"/>
      <c r="R92" s="5"/>
      <c r="S92" s="6"/>
      <c r="T92" s="6"/>
      <c r="U92" s="6"/>
      <c r="V92" s="6"/>
      <c r="W92" s="6"/>
      <c r="X92" s="6"/>
      <c r="Y92" s="6"/>
      <c r="Z92" s="199"/>
      <c r="AA92" s="200"/>
      <c r="AB92" s="200"/>
      <c r="AC92" s="200"/>
      <c r="AD92" s="200"/>
      <c r="AE92" s="200"/>
      <c r="AF92" s="200"/>
      <c r="AG92" s="200"/>
      <c r="AH92" s="200"/>
      <c r="AI92" s="200"/>
      <c r="AJ92" s="200"/>
      <c r="AK92" s="200"/>
      <c r="AL92" s="200"/>
      <c r="AM92" s="200"/>
      <c r="AN92" s="200"/>
      <c r="AO92" s="200"/>
      <c r="AP92" s="200"/>
      <c r="AQ92" s="200"/>
      <c r="AR92" s="200"/>
      <c r="AS92" s="200"/>
      <c r="AT92" s="254"/>
      <c r="AU92" s="273"/>
      <c r="AV92" s="273"/>
    </row>
    <row r="93" spans="1:134" s="146" customFormat="1">
      <c r="A93" s="171"/>
      <c r="B93" s="174"/>
      <c r="C93" s="174"/>
      <c r="D93" s="174"/>
      <c r="E93" s="174"/>
      <c r="F93" s="172"/>
      <c r="G93" s="172"/>
      <c r="H93" s="172"/>
      <c r="I93" s="172"/>
      <c r="J93" s="172"/>
      <c r="K93" s="172"/>
      <c r="L93" s="172"/>
      <c r="M93" s="172"/>
      <c r="N93" s="172"/>
      <c r="O93" s="173"/>
      <c r="P93" s="53"/>
      <c r="Q93" s="5"/>
      <c r="R93" s="5"/>
      <c r="S93" s="6"/>
      <c r="T93" s="6"/>
      <c r="U93" s="6"/>
      <c r="V93" s="6"/>
      <c r="W93" s="6"/>
      <c r="X93" s="6"/>
      <c r="Y93" s="6"/>
      <c r="Z93" s="199"/>
      <c r="AA93" s="200"/>
      <c r="AB93" s="200"/>
      <c r="AC93" s="200"/>
      <c r="AD93" s="200"/>
      <c r="AE93" s="200"/>
      <c r="AF93" s="200"/>
      <c r="AG93" s="200"/>
      <c r="AH93" s="200"/>
      <c r="AI93" s="200"/>
      <c r="AJ93" s="200"/>
      <c r="AK93" s="200"/>
      <c r="AL93" s="200"/>
      <c r="AM93" s="200"/>
      <c r="AN93" s="200"/>
      <c r="AO93" s="200"/>
      <c r="AP93" s="200"/>
      <c r="AQ93" s="200"/>
      <c r="AR93" s="200"/>
      <c r="AS93" s="200"/>
      <c r="AT93" s="254"/>
      <c r="AU93" s="273"/>
      <c r="AV93" s="273"/>
    </row>
    <row r="94" spans="1:134" s="146" customFormat="1">
      <c r="A94" s="352"/>
      <c r="B94" s="353"/>
      <c r="C94" s="353"/>
      <c r="D94" s="353"/>
      <c r="E94" s="353"/>
      <c r="F94" s="354"/>
      <c r="G94" s="354"/>
      <c r="H94" s="354"/>
      <c r="I94" s="354"/>
      <c r="J94" s="354"/>
      <c r="K94" s="354"/>
      <c r="L94" s="354"/>
      <c r="M94" s="354"/>
      <c r="N94" s="354"/>
      <c r="O94" s="355"/>
      <c r="P94" s="53"/>
      <c r="Q94" s="5"/>
      <c r="R94" s="5"/>
      <c r="S94" s="6"/>
      <c r="T94" s="6"/>
      <c r="U94" s="6"/>
      <c r="V94" s="6"/>
      <c r="W94" s="6"/>
      <c r="X94" s="6"/>
      <c r="Y94" s="6"/>
      <c r="Z94" s="199"/>
      <c r="AA94" s="200"/>
      <c r="AB94" s="200"/>
      <c r="AC94" s="200"/>
      <c r="AD94" s="200"/>
      <c r="AE94" s="200"/>
      <c r="AF94" s="200"/>
      <c r="AG94" s="200"/>
      <c r="AH94" s="200"/>
      <c r="AI94" s="200"/>
      <c r="AJ94" s="200"/>
      <c r="AK94" s="200"/>
      <c r="AL94" s="200"/>
      <c r="AM94" s="200"/>
      <c r="AN94" s="200"/>
      <c r="AO94" s="200"/>
      <c r="AP94" s="200"/>
      <c r="AQ94" s="200"/>
      <c r="AR94" s="200"/>
      <c r="AS94" s="200"/>
      <c r="AT94" s="254"/>
      <c r="AU94" s="273"/>
      <c r="AV94" s="273"/>
    </row>
    <row r="95" spans="1:134" s="146" customFormat="1">
      <c r="A95" s="352"/>
      <c r="B95" s="353"/>
      <c r="C95" s="353"/>
      <c r="D95" s="353"/>
      <c r="E95" s="353"/>
      <c r="F95" s="354"/>
      <c r="G95" s="354"/>
      <c r="H95" s="354"/>
      <c r="I95" s="354"/>
      <c r="J95" s="354"/>
      <c r="K95" s="354"/>
      <c r="L95" s="354"/>
      <c r="M95" s="354"/>
      <c r="N95" s="354"/>
      <c r="O95" s="355"/>
      <c r="P95" s="53"/>
      <c r="Q95" s="5"/>
      <c r="R95" s="5"/>
      <c r="S95" s="6"/>
      <c r="T95" s="6"/>
      <c r="U95" s="6"/>
      <c r="V95" s="6"/>
      <c r="W95" s="6"/>
      <c r="X95" s="6"/>
      <c r="Y95" s="6"/>
      <c r="Z95" s="199"/>
      <c r="AA95" s="200"/>
      <c r="AB95" s="200"/>
      <c r="AC95" s="200"/>
      <c r="AD95" s="200"/>
      <c r="AE95" s="200"/>
      <c r="AF95" s="200"/>
      <c r="AG95" s="200"/>
      <c r="AH95" s="200"/>
      <c r="AI95" s="200"/>
      <c r="AJ95" s="200"/>
      <c r="AK95" s="200"/>
      <c r="AL95" s="200"/>
      <c r="AM95" s="200"/>
      <c r="AN95" s="200"/>
      <c r="AO95" s="200"/>
      <c r="AP95" s="200"/>
      <c r="AQ95" s="200"/>
      <c r="AR95" s="200"/>
      <c r="AS95" s="200"/>
      <c r="AT95" s="254"/>
      <c r="AU95" s="273"/>
      <c r="AV95" s="273"/>
    </row>
    <row r="96" spans="1:134" s="146" customFormat="1">
      <c r="A96" s="352"/>
      <c r="B96" s="353"/>
      <c r="C96" s="353"/>
      <c r="D96" s="353"/>
      <c r="E96" s="353"/>
      <c r="F96" s="354"/>
      <c r="G96" s="354"/>
      <c r="H96" s="354"/>
      <c r="I96" s="354"/>
      <c r="J96" s="354"/>
      <c r="K96" s="354"/>
      <c r="L96" s="354"/>
      <c r="M96" s="354"/>
      <c r="N96" s="354"/>
      <c r="O96" s="355"/>
      <c r="P96" s="53"/>
      <c r="Q96" s="5"/>
      <c r="R96" s="5"/>
      <c r="S96" s="6"/>
      <c r="T96" s="6"/>
      <c r="U96" s="6"/>
      <c r="V96" s="6"/>
      <c r="W96" s="6"/>
      <c r="X96" s="6"/>
      <c r="Y96" s="6"/>
      <c r="Z96" s="199"/>
      <c r="AA96" s="200"/>
      <c r="AB96" s="200"/>
      <c r="AC96" s="200"/>
      <c r="AD96" s="200"/>
      <c r="AE96" s="200"/>
      <c r="AF96" s="200"/>
      <c r="AG96" s="200"/>
      <c r="AH96" s="200"/>
      <c r="AI96" s="200"/>
      <c r="AJ96" s="200"/>
      <c r="AK96" s="200"/>
      <c r="AL96" s="200"/>
      <c r="AM96" s="200"/>
      <c r="AN96" s="200"/>
      <c r="AO96" s="200"/>
      <c r="AP96" s="200"/>
      <c r="AQ96" s="200"/>
      <c r="AR96" s="200"/>
      <c r="AS96" s="200"/>
      <c r="AT96" s="254"/>
      <c r="AU96" s="273"/>
      <c r="AV96" s="273"/>
    </row>
    <row r="97" spans="1:48">
      <c r="A97" s="352"/>
      <c r="B97" s="353"/>
      <c r="C97" s="353"/>
      <c r="D97" s="353"/>
      <c r="E97" s="353"/>
      <c r="F97" s="354"/>
      <c r="G97" s="354"/>
      <c r="H97" s="354"/>
      <c r="I97" s="354"/>
      <c r="J97" s="354"/>
      <c r="K97" s="354"/>
      <c r="L97" s="354"/>
      <c r="M97" s="354"/>
      <c r="N97" s="354"/>
      <c r="O97" s="355"/>
      <c r="Q97" s="5"/>
      <c r="R97" s="5"/>
      <c r="S97" s="6"/>
      <c r="T97" s="6"/>
      <c r="U97" s="6"/>
      <c r="V97" s="6"/>
      <c r="W97" s="6"/>
      <c r="X97" s="6"/>
      <c r="Y97" s="6"/>
      <c r="Z97" s="199"/>
      <c r="AA97" s="200"/>
      <c r="AB97" s="200"/>
      <c r="AC97" s="200"/>
      <c r="AD97" s="200"/>
      <c r="AE97" s="200"/>
      <c r="AF97" s="200"/>
      <c r="AG97" s="200"/>
      <c r="AH97" s="200"/>
      <c r="AI97" s="200"/>
      <c r="AJ97" s="200"/>
      <c r="AK97" s="200"/>
      <c r="AL97" s="200"/>
      <c r="AM97" s="200"/>
      <c r="AN97" s="200"/>
      <c r="AO97" s="200"/>
      <c r="AP97" s="200"/>
      <c r="AQ97" s="200"/>
      <c r="AR97" s="200"/>
      <c r="AS97" s="200"/>
      <c r="AT97" s="254"/>
      <c r="AU97" s="273"/>
      <c r="AV97" s="273"/>
    </row>
    <row r="98" spans="1:48">
      <c r="A98" s="146"/>
      <c r="B98" s="205"/>
      <c r="C98" s="205"/>
      <c r="D98" s="205"/>
      <c r="E98" s="205"/>
      <c r="F98" s="296"/>
      <c r="G98" s="296"/>
      <c r="H98" s="296"/>
      <c r="I98" s="296"/>
      <c r="J98" s="296"/>
      <c r="K98" s="296"/>
      <c r="L98" s="296"/>
      <c r="M98" s="296"/>
      <c r="N98" s="296"/>
      <c r="O98" s="273"/>
      <c r="P98" s="27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Q98" s="254"/>
      <c r="AR98" s="254"/>
      <c r="AS98" s="254"/>
      <c r="AT98" s="254"/>
      <c r="AU98" s="273"/>
      <c r="AV98" s="273"/>
    </row>
    <row r="99" spans="1:48">
      <c r="A99" s="146"/>
      <c r="B99" s="205"/>
      <c r="C99" s="205"/>
      <c r="D99" s="205"/>
      <c r="E99" s="205"/>
      <c r="F99" s="296"/>
      <c r="G99" s="296"/>
      <c r="H99" s="296"/>
      <c r="I99" s="296"/>
      <c r="J99" s="296"/>
      <c r="K99" s="296"/>
      <c r="L99" s="296"/>
      <c r="M99" s="296"/>
      <c r="N99" s="296"/>
      <c r="O99" s="273"/>
      <c r="P99" s="27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Q99" s="254"/>
      <c r="AR99" s="254"/>
      <c r="AS99" s="254"/>
      <c r="AT99" s="254"/>
      <c r="AU99" s="273"/>
      <c r="AV99" s="273"/>
    </row>
    <row r="100" spans="1:48">
      <c r="A100" s="146"/>
      <c r="B100" s="205"/>
      <c r="C100" s="205"/>
      <c r="D100" s="205"/>
      <c r="E100" s="205"/>
      <c r="F100" s="296"/>
      <c r="G100" s="296"/>
      <c r="H100" s="296"/>
      <c r="I100" s="296"/>
      <c r="J100" s="296"/>
      <c r="K100" s="296"/>
      <c r="L100" s="296"/>
      <c r="M100" s="296"/>
      <c r="N100" s="296"/>
      <c r="O100" s="273"/>
      <c r="P100" s="27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Q100" s="254"/>
      <c r="AR100" s="254"/>
      <c r="AS100" s="254"/>
      <c r="AT100" s="254"/>
      <c r="AU100" s="273"/>
      <c r="AV100" s="273"/>
    </row>
    <row r="101" spans="1:48">
      <c r="A101" s="146"/>
      <c r="B101" s="205"/>
      <c r="C101" s="205"/>
      <c r="D101" s="205"/>
      <c r="E101" s="205"/>
      <c r="F101" s="296"/>
      <c r="G101" s="296"/>
      <c r="H101" s="296"/>
      <c r="I101" s="296"/>
      <c r="J101" s="296"/>
      <c r="K101" s="296"/>
      <c r="L101" s="296"/>
      <c r="M101" s="296"/>
      <c r="N101" s="296"/>
      <c r="O101" s="273"/>
      <c r="P101" s="27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Q101" s="254"/>
      <c r="AR101" s="254"/>
      <c r="AS101" s="254"/>
      <c r="AT101" s="254"/>
      <c r="AU101" s="273"/>
      <c r="AV101" s="273"/>
    </row>
    <row r="102" spans="1:48">
      <c r="A102" s="146"/>
      <c r="B102" s="205"/>
      <c r="C102" s="205"/>
      <c r="D102" s="205"/>
      <c r="E102" s="205"/>
      <c r="F102" s="296"/>
      <c r="G102" s="296"/>
      <c r="H102" s="296"/>
      <c r="I102" s="296"/>
      <c r="J102" s="296"/>
      <c r="K102" s="296"/>
      <c r="L102" s="296"/>
      <c r="M102" s="296"/>
      <c r="N102" s="296"/>
      <c r="O102" s="273"/>
      <c r="P102" s="27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Q102" s="254"/>
      <c r="AR102" s="254"/>
      <c r="AS102" s="254"/>
      <c r="AT102" s="254"/>
      <c r="AU102" s="273"/>
      <c r="AV102" s="273"/>
    </row>
    <row r="103" spans="1:48">
      <c r="A103" s="146"/>
      <c r="B103" s="205"/>
      <c r="C103" s="205"/>
      <c r="D103" s="205"/>
      <c r="E103" s="205"/>
      <c r="F103" s="296"/>
      <c r="G103" s="296"/>
      <c r="H103" s="296"/>
      <c r="I103" s="296"/>
      <c r="J103" s="296"/>
      <c r="K103" s="296"/>
      <c r="L103" s="296"/>
      <c r="M103" s="296"/>
      <c r="N103" s="296"/>
      <c r="O103" s="273"/>
      <c r="P103" s="27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c r="AU103" s="273"/>
      <c r="AV103" s="273"/>
    </row>
    <row r="104" spans="1:48">
      <c r="A104" s="146"/>
      <c r="B104" s="205"/>
      <c r="C104" s="205"/>
      <c r="D104" s="205"/>
      <c r="E104" s="205"/>
      <c r="F104" s="296"/>
      <c r="G104" s="296"/>
      <c r="H104" s="296"/>
      <c r="I104" s="296"/>
      <c r="J104" s="296"/>
      <c r="K104" s="296"/>
      <c r="L104" s="296"/>
      <c r="M104" s="296"/>
      <c r="N104" s="296"/>
      <c r="O104" s="273"/>
      <c r="P104" s="27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73"/>
      <c r="AV104" s="273"/>
    </row>
    <row r="105" spans="1:48">
      <c r="A105" s="146"/>
      <c r="B105" s="205"/>
      <c r="C105" s="205"/>
      <c r="D105" s="205"/>
      <c r="E105" s="205"/>
      <c r="F105" s="296"/>
      <c r="G105" s="296"/>
      <c r="H105" s="296"/>
      <c r="I105" s="296"/>
      <c r="J105" s="296"/>
      <c r="K105" s="296"/>
      <c r="L105" s="296"/>
      <c r="M105" s="296"/>
      <c r="N105" s="296"/>
      <c r="O105" s="273"/>
      <c r="P105" s="27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73"/>
      <c r="AV105" s="273"/>
    </row>
    <row r="106" spans="1:48">
      <c r="A106" s="146"/>
      <c r="B106" s="205"/>
      <c r="C106" s="205"/>
      <c r="D106" s="205"/>
      <c r="E106" s="205"/>
      <c r="F106" s="296"/>
      <c r="G106" s="296"/>
      <c r="H106" s="296"/>
      <c r="I106" s="296"/>
      <c r="J106" s="296"/>
      <c r="K106" s="296"/>
      <c r="L106" s="296"/>
      <c r="M106" s="296"/>
      <c r="N106" s="296"/>
      <c r="O106" s="273"/>
      <c r="P106" s="27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73"/>
      <c r="AV106" s="273"/>
    </row>
    <row r="107" spans="1:48">
      <c r="A107" s="146"/>
      <c r="B107" s="205"/>
      <c r="C107" s="205"/>
      <c r="D107" s="205"/>
      <c r="E107" s="205"/>
      <c r="F107" s="296"/>
      <c r="G107" s="296"/>
      <c r="H107" s="296"/>
      <c r="I107" s="296"/>
      <c r="J107" s="296"/>
      <c r="K107" s="296"/>
      <c r="L107" s="296"/>
      <c r="M107" s="296"/>
      <c r="N107" s="296"/>
      <c r="O107" s="273"/>
      <c r="P107" s="27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73"/>
      <c r="AV107" s="273"/>
    </row>
    <row r="108" spans="1:48">
      <c r="A108" s="146"/>
      <c r="B108" s="205"/>
      <c r="C108" s="205"/>
      <c r="D108" s="205"/>
      <c r="E108" s="205"/>
      <c r="F108" s="296"/>
      <c r="G108" s="296"/>
      <c r="H108" s="296"/>
      <c r="I108" s="296"/>
      <c r="J108" s="296"/>
      <c r="K108" s="296"/>
      <c r="L108" s="296"/>
      <c r="M108" s="296"/>
      <c r="N108" s="296"/>
      <c r="O108" s="273"/>
      <c r="P108" s="27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73"/>
      <c r="AV108" s="273"/>
    </row>
    <row r="109" spans="1:48">
      <c r="A109" s="146"/>
      <c r="B109" s="205"/>
      <c r="C109" s="205"/>
      <c r="D109" s="205"/>
      <c r="E109" s="205"/>
      <c r="F109" s="296"/>
      <c r="G109" s="296"/>
      <c r="H109" s="296"/>
      <c r="I109" s="296"/>
      <c r="J109" s="296"/>
      <c r="K109" s="296"/>
      <c r="L109" s="296"/>
      <c r="M109" s="296"/>
      <c r="N109" s="296"/>
      <c r="O109" s="273"/>
      <c r="P109" s="27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73"/>
      <c r="AV109" s="273"/>
    </row>
    <row r="110" spans="1:48">
      <c r="A110" s="146"/>
      <c r="B110" s="205"/>
      <c r="C110" s="205"/>
      <c r="D110" s="205"/>
      <c r="E110" s="205"/>
      <c r="F110" s="296"/>
      <c r="G110" s="296"/>
      <c r="H110" s="296"/>
      <c r="I110" s="296"/>
      <c r="J110" s="296"/>
      <c r="K110" s="296"/>
      <c r="L110" s="296"/>
      <c r="M110" s="296"/>
      <c r="N110" s="296"/>
      <c r="O110" s="273"/>
      <c r="P110" s="27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73"/>
      <c r="AV110" s="273"/>
    </row>
    <row r="111" spans="1:48">
      <c r="A111" s="146"/>
      <c r="B111" s="205"/>
      <c r="C111" s="205"/>
      <c r="D111" s="205"/>
      <c r="E111" s="205"/>
      <c r="F111" s="296"/>
      <c r="G111" s="296"/>
      <c r="H111" s="296"/>
      <c r="I111" s="296"/>
      <c r="J111" s="296"/>
      <c r="K111" s="296"/>
      <c r="L111" s="296"/>
      <c r="M111" s="296"/>
      <c r="N111" s="296"/>
      <c r="O111" s="273"/>
      <c r="P111" s="27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73"/>
      <c r="AV111" s="273"/>
    </row>
    <row r="112" spans="1:48">
      <c r="A112" s="146"/>
      <c r="B112" s="205"/>
      <c r="C112" s="205"/>
      <c r="D112" s="205"/>
      <c r="E112" s="205"/>
      <c r="F112" s="296"/>
      <c r="G112" s="296"/>
      <c r="H112" s="296"/>
      <c r="I112" s="296"/>
      <c r="J112" s="296"/>
      <c r="K112" s="296"/>
      <c r="L112" s="296"/>
      <c r="M112" s="296"/>
      <c r="N112" s="296"/>
      <c r="O112" s="273"/>
      <c r="P112" s="27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73"/>
      <c r="AV112" s="273"/>
    </row>
    <row r="113" spans="1:48">
      <c r="A113" s="146"/>
      <c r="B113" s="205"/>
      <c r="C113" s="205"/>
      <c r="D113" s="205"/>
      <c r="E113" s="205"/>
      <c r="F113" s="296"/>
      <c r="G113" s="296"/>
      <c r="H113" s="296"/>
      <c r="I113" s="296"/>
      <c r="J113" s="296"/>
      <c r="K113" s="296"/>
      <c r="L113" s="296"/>
      <c r="M113" s="296"/>
      <c r="N113" s="296"/>
      <c r="O113" s="273"/>
      <c r="P113" s="27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73"/>
      <c r="AV113" s="273"/>
    </row>
    <row r="114" spans="1:48">
      <c r="A114" s="146"/>
      <c r="B114" s="205"/>
      <c r="C114" s="205"/>
      <c r="D114" s="205"/>
      <c r="E114" s="205"/>
      <c r="F114" s="296"/>
      <c r="G114" s="296"/>
      <c r="H114" s="296"/>
      <c r="I114" s="296"/>
      <c r="J114" s="296"/>
      <c r="K114" s="296"/>
      <c r="L114" s="296"/>
      <c r="M114" s="296"/>
      <c r="N114" s="296"/>
      <c r="O114" s="273"/>
      <c r="P114" s="27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73"/>
      <c r="AV114" s="273"/>
    </row>
    <row r="115" spans="1:48">
      <c r="A115" s="146"/>
      <c r="B115" s="205"/>
      <c r="C115" s="205"/>
      <c r="D115" s="205"/>
      <c r="E115" s="205"/>
      <c r="F115" s="296"/>
      <c r="G115" s="296"/>
      <c r="H115" s="296"/>
      <c r="I115" s="296"/>
      <c r="J115" s="296"/>
      <c r="K115" s="296"/>
      <c r="L115" s="296"/>
      <c r="M115" s="296"/>
      <c r="N115" s="296"/>
      <c r="O115" s="273"/>
      <c r="P115" s="27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73"/>
      <c r="AV115" s="273"/>
    </row>
    <row r="116" spans="1:48">
      <c r="A116" s="146"/>
      <c r="B116" s="205"/>
      <c r="C116" s="205"/>
      <c r="D116" s="205"/>
      <c r="E116" s="205"/>
      <c r="F116" s="296"/>
      <c r="G116" s="296"/>
      <c r="H116" s="296"/>
      <c r="I116" s="296"/>
      <c r="J116" s="296"/>
      <c r="K116" s="296"/>
      <c r="L116" s="296"/>
      <c r="M116" s="296"/>
      <c r="N116" s="296"/>
      <c r="O116" s="273"/>
      <c r="P116" s="27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73"/>
      <c r="AV116" s="273"/>
    </row>
    <row r="117" spans="1:48">
      <c r="A117" s="146"/>
      <c r="B117" s="205"/>
      <c r="C117" s="205"/>
      <c r="D117" s="205"/>
      <c r="E117" s="205"/>
      <c r="F117" s="296"/>
      <c r="G117" s="296"/>
      <c r="H117" s="296"/>
      <c r="I117" s="296"/>
      <c r="J117" s="296"/>
      <c r="K117" s="296"/>
      <c r="L117" s="296"/>
      <c r="M117" s="296"/>
      <c r="N117" s="296"/>
      <c r="O117" s="273"/>
      <c r="P117" s="27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73"/>
      <c r="AV117" s="273"/>
    </row>
    <row r="118" spans="1:48">
      <c r="A118" s="146"/>
      <c r="B118" s="205"/>
      <c r="C118" s="205"/>
      <c r="D118" s="205"/>
      <c r="E118" s="205"/>
      <c r="F118" s="296"/>
      <c r="G118" s="296"/>
      <c r="H118" s="296"/>
      <c r="I118" s="296"/>
      <c r="J118" s="296"/>
      <c r="K118" s="296"/>
      <c r="L118" s="296"/>
      <c r="M118" s="296"/>
      <c r="N118" s="296"/>
      <c r="O118" s="273"/>
      <c r="P118" s="27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73"/>
      <c r="AV118" s="273"/>
    </row>
    <row r="119" spans="1:48">
      <c r="A119" s="146"/>
      <c r="B119" s="205"/>
      <c r="C119" s="205"/>
      <c r="D119" s="205"/>
      <c r="E119" s="205"/>
      <c r="F119" s="296"/>
      <c r="G119" s="296"/>
      <c r="H119" s="296"/>
      <c r="I119" s="296"/>
      <c r="J119" s="296"/>
      <c r="K119" s="296"/>
      <c r="L119" s="296"/>
      <c r="M119" s="296"/>
      <c r="N119" s="296"/>
      <c r="O119" s="273"/>
      <c r="P119" s="27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4"/>
      <c r="AQ119" s="254"/>
      <c r="AR119" s="254"/>
      <c r="AS119" s="254"/>
      <c r="AT119" s="254"/>
      <c r="AU119" s="273"/>
      <c r="AV119" s="273"/>
    </row>
    <row r="120" spans="1:48">
      <c r="A120" s="146"/>
      <c r="B120" s="205"/>
      <c r="C120" s="205"/>
      <c r="D120" s="205"/>
      <c r="E120" s="205"/>
      <c r="F120" s="296"/>
      <c r="G120" s="296"/>
      <c r="H120" s="296"/>
      <c r="I120" s="296"/>
      <c r="J120" s="296"/>
      <c r="K120" s="296"/>
      <c r="L120" s="296"/>
      <c r="M120" s="296"/>
      <c r="N120" s="296"/>
      <c r="O120" s="273"/>
      <c r="P120" s="27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73"/>
      <c r="AV120" s="273"/>
    </row>
    <row r="121" spans="1:48">
      <c r="A121" s="146"/>
      <c r="B121" s="205"/>
      <c r="C121" s="205"/>
      <c r="D121" s="205"/>
      <c r="E121" s="205"/>
      <c r="F121" s="296"/>
      <c r="G121" s="296"/>
      <c r="H121" s="296"/>
      <c r="I121" s="296"/>
      <c r="J121" s="296"/>
      <c r="K121" s="296"/>
      <c r="L121" s="296"/>
      <c r="M121" s="296"/>
      <c r="N121" s="296"/>
      <c r="O121" s="273"/>
      <c r="P121" s="27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73"/>
      <c r="AV121" s="273"/>
    </row>
    <row r="122" spans="1:48">
      <c r="A122" s="146"/>
      <c r="B122" s="205"/>
      <c r="C122" s="205"/>
      <c r="D122" s="205"/>
      <c r="E122" s="205"/>
      <c r="F122" s="296"/>
      <c r="G122" s="296"/>
      <c r="H122" s="296"/>
      <c r="I122" s="296"/>
      <c r="J122" s="296"/>
      <c r="K122" s="296"/>
      <c r="L122" s="296"/>
      <c r="M122" s="296"/>
      <c r="N122" s="296"/>
      <c r="O122" s="273"/>
      <c r="P122" s="27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c r="AP122" s="254"/>
      <c r="AQ122" s="254"/>
      <c r="AR122" s="254"/>
      <c r="AS122" s="254"/>
      <c r="AT122" s="254"/>
      <c r="AU122" s="273"/>
      <c r="AV122" s="273"/>
    </row>
    <row r="123" spans="1:48">
      <c r="A123" s="146"/>
      <c r="B123" s="205"/>
      <c r="C123" s="205"/>
      <c r="D123" s="205"/>
      <c r="E123" s="205"/>
      <c r="F123" s="296"/>
      <c r="G123" s="296"/>
      <c r="H123" s="296"/>
      <c r="I123" s="296"/>
      <c r="J123" s="296"/>
      <c r="K123" s="296"/>
      <c r="L123" s="296"/>
      <c r="M123" s="296"/>
      <c r="N123" s="296"/>
      <c r="O123" s="273"/>
      <c r="P123" s="27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73"/>
      <c r="AV123" s="273"/>
    </row>
    <row r="124" spans="1:48">
      <c r="A124" s="146"/>
      <c r="B124" s="205"/>
      <c r="C124" s="205"/>
      <c r="D124" s="205"/>
      <c r="E124" s="205"/>
      <c r="F124" s="296"/>
      <c r="G124" s="296"/>
      <c r="H124" s="296"/>
      <c r="I124" s="296"/>
      <c r="J124" s="296"/>
      <c r="K124" s="296"/>
      <c r="L124" s="296"/>
      <c r="M124" s="296"/>
      <c r="N124" s="296"/>
      <c r="O124" s="273"/>
      <c r="P124" s="27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c r="AP124" s="254"/>
      <c r="AQ124" s="254"/>
      <c r="AR124" s="254"/>
      <c r="AS124" s="254"/>
      <c r="AT124" s="254"/>
      <c r="AU124" s="273"/>
      <c r="AV124" s="273"/>
    </row>
    <row r="125" spans="1:48">
      <c r="A125" s="146"/>
      <c r="B125" s="205"/>
      <c r="C125" s="205"/>
      <c r="D125" s="205"/>
      <c r="E125" s="205"/>
      <c r="F125" s="296"/>
      <c r="G125" s="296"/>
      <c r="H125" s="296"/>
      <c r="I125" s="296"/>
      <c r="J125" s="296"/>
      <c r="K125" s="296"/>
      <c r="L125" s="296"/>
      <c r="M125" s="296"/>
      <c r="N125" s="296"/>
      <c r="O125" s="273"/>
      <c r="P125" s="27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73"/>
      <c r="AV125" s="273"/>
    </row>
    <row r="126" spans="1:48">
      <c r="A126" s="146"/>
      <c r="B126" s="205"/>
      <c r="C126" s="205"/>
      <c r="D126" s="205"/>
      <c r="E126" s="205"/>
      <c r="F126" s="296"/>
      <c r="G126" s="296"/>
      <c r="H126" s="296"/>
      <c r="I126" s="296"/>
      <c r="J126" s="296"/>
      <c r="K126" s="296"/>
      <c r="L126" s="296"/>
      <c r="M126" s="296"/>
      <c r="N126" s="296"/>
      <c r="O126" s="273"/>
      <c r="P126" s="27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c r="AP126" s="254"/>
      <c r="AQ126" s="254"/>
      <c r="AR126" s="254"/>
      <c r="AS126" s="254"/>
      <c r="AT126" s="254"/>
      <c r="AU126" s="273"/>
      <c r="AV126" s="273"/>
    </row>
    <row r="127" spans="1:48">
      <c r="A127" s="146"/>
      <c r="B127" s="205"/>
      <c r="C127" s="205"/>
      <c r="D127" s="205"/>
      <c r="E127" s="205"/>
      <c r="F127" s="296"/>
      <c r="G127" s="296"/>
      <c r="H127" s="296"/>
      <c r="I127" s="296"/>
      <c r="J127" s="296"/>
      <c r="K127" s="296"/>
      <c r="L127" s="296"/>
      <c r="M127" s="296"/>
      <c r="N127" s="296"/>
      <c r="O127" s="273"/>
      <c r="P127" s="27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c r="AP127" s="254"/>
      <c r="AQ127" s="254"/>
      <c r="AR127" s="254"/>
      <c r="AS127" s="254"/>
      <c r="AT127" s="254"/>
      <c r="AU127" s="273"/>
      <c r="AV127" s="273"/>
    </row>
    <row r="128" spans="1:48">
      <c r="A128" s="146"/>
      <c r="B128" s="205"/>
      <c r="C128" s="205"/>
      <c r="D128" s="205"/>
      <c r="E128" s="205"/>
      <c r="F128" s="296"/>
      <c r="G128" s="296"/>
      <c r="H128" s="296"/>
      <c r="I128" s="296"/>
      <c r="J128" s="296"/>
      <c r="K128" s="296"/>
      <c r="L128" s="296"/>
      <c r="M128" s="296"/>
      <c r="N128" s="296"/>
      <c r="O128" s="273"/>
      <c r="P128" s="27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c r="AP128" s="254"/>
      <c r="AQ128" s="254"/>
      <c r="AR128" s="254"/>
      <c r="AS128" s="254"/>
      <c r="AT128" s="254"/>
      <c r="AU128" s="273"/>
      <c r="AV128" s="273"/>
    </row>
    <row r="129" spans="1:48">
      <c r="A129" s="146"/>
      <c r="B129" s="205"/>
      <c r="C129" s="205"/>
      <c r="D129" s="205"/>
      <c r="E129" s="205"/>
      <c r="F129" s="296"/>
      <c r="G129" s="296"/>
      <c r="H129" s="296"/>
      <c r="I129" s="296"/>
      <c r="J129" s="296"/>
      <c r="K129" s="296"/>
      <c r="L129" s="296"/>
      <c r="M129" s="296"/>
      <c r="N129" s="296"/>
      <c r="O129" s="273"/>
      <c r="P129" s="27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c r="AP129" s="254"/>
      <c r="AQ129" s="254"/>
      <c r="AR129" s="254"/>
      <c r="AS129" s="254"/>
      <c r="AT129" s="254"/>
      <c r="AU129" s="273"/>
      <c r="AV129" s="273"/>
    </row>
    <row r="130" spans="1:48">
      <c r="A130" s="146"/>
      <c r="B130" s="205"/>
      <c r="C130" s="205"/>
      <c r="D130" s="205"/>
      <c r="E130" s="205"/>
      <c r="F130" s="296"/>
      <c r="G130" s="296"/>
      <c r="H130" s="296"/>
      <c r="I130" s="296"/>
      <c r="J130" s="296"/>
      <c r="K130" s="296"/>
      <c r="L130" s="296"/>
      <c r="M130" s="296"/>
      <c r="N130" s="296"/>
      <c r="O130" s="273"/>
      <c r="P130" s="27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c r="AP130" s="254"/>
      <c r="AQ130" s="254"/>
      <c r="AR130" s="254"/>
      <c r="AS130" s="254"/>
      <c r="AT130" s="254"/>
      <c r="AU130" s="273"/>
      <c r="AV130" s="273"/>
    </row>
    <row r="131" spans="1:48">
      <c r="A131" s="146"/>
      <c r="B131" s="205"/>
      <c r="C131" s="205"/>
      <c r="D131" s="205"/>
      <c r="E131" s="205"/>
      <c r="F131" s="296"/>
      <c r="G131" s="296"/>
      <c r="H131" s="296"/>
      <c r="I131" s="296"/>
      <c r="J131" s="296"/>
      <c r="K131" s="296"/>
      <c r="L131" s="296"/>
      <c r="M131" s="296"/>
      <c r="N131" s="296"/>
      <c r="O131" s="273"/>
      <c r="P131" s="27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c r="AP131" s="254"/>
      <c r="AQ131" s="254"/>
      <c r="AR131" s="254"/>
      <c r="AS131" s="254"/>
      <c r="AT131" s="254"/>
      <c r="AU131" s="273"/>
      <c r="AV131" s="273"/>
    </row>
    <row r="132" spans="1:48">
      <c r="A132" s="146"/>
      <c r="B132" s="205"/>
      <c r="C132" s="205"/>
      <c r="D132" s="205"/>
      <c r="E132" s="205"/>
      <c r="F132" s="296"/>
      <c r="G132" s="296"/>
      <c r="H132" s="296"/>
      <c r="I132" s="296"/>
      <c r="J132" s="296"/>
      <c r="K132" s="296"/>
      <c r="L132" s="296"/>
      <c r="M132" s="296"/>
      <c r="N132" s="296"/>
      <c r="O132" s="273"/>
      <c r="P132" s="27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c r="AP132" s="254"/>
      <c r="AQ132" s="254"/>
      <c r="AR132" s="254"/>
      <c r="AS132" s="254"/>
      <c r="AT132" s="254"/>
      <c r="AU132" s="273"/>
      <c r="AV132" s="273"/>
    </row>
    <row r="133" spans="1:48">
      <c r="A133" s="146"/>
      <c r="B133" s="205"/>
      <c r="C133" s="205"/>
      <c r="D133" s="205"/>
      <c r="E133" s="205"/>
      <c r="F133" s="296"/>
      <c r="G133" s="296"/>
      <c r="H133" s="296"/>
      <c r="I133" s="296"/>
      <c r="J133" s="296"/>
      <c r="K133" s="296"/>
      <c r="L133" s="296"/>
      <c r="M133" s="296"/>
      <c r="N133" s="296"/>
      <c r="O133" s="273"/>
      <c r="P133" s="27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c r="AP133" s="254"/>
      <c r="AQ133" s="254"/>
      <c r="AR133" s="254"/>
      <c r="AS133" s="254"/>
      <c r="AT133" s="254"/>
      <c r="AU133" s="273"/>
      <c r="AV133" s="273"/>
    </row>
    <row r="134" spans="1:48">
      <c r="A134" s="146"/>
      <c r="B134" s="205"/>
      <c r="C134" s="205"/>
      <c r="D134" s="205"/>
      <c r="E134" s="205"/>
      <c r="F134" s="296"/>
      <c r="G134" s="296"/>
      <c r="H134" s="296"/>
      <c r="I134" s="296"/>
      <c r="J134" s="296"/>
      <c r="K134" s="296"/>
      <c r="L134" s="296"/>
      <c r="M134" s="296"/>
      <c r="N134" s="296"/>
      <c r="O134" s="273"/>
      <c r="P134" s="27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4"/>
      <c r="AT134" s="254"/>
      <c r="AU134" s="273"/>
      <c r="AV134" s="273"/>
    </row>
    <row r="135" spans="1:48">
      <c r="A135" s="146"/>
      <c r="B135" s="205"/>
      <c r="C135" s="205"/>
      <c r="D135" s="205"/>
      <c r="E135" s="205"/>
      <c r="F135" s="296"/>
      <c r="G135" s="296"/>
      <c r="H135" s="296"/>
      <c r="I135" s="296"/>
      <c r="J135" s="296"/>
      <c r="K135" s="296"/>
      <c r="L135" s="296"/>
      <c r="M135" s="296"/>
      <c r="N135" s="296"/>
      <c r="O135" s="273"/>
      <c r="P135" s="27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c r="AP135" s="254"/>
      <c r="AQ135" s="254"/>
      <c r="AR135" s="254"/>
      <c r="AS135" s="254"/>
      <c r="AT135" s="254"/>
      <c r="AU135" s="273"/>
      <c r="AV135" s="273"/>
    </row>
    <row r="136" spans="1:48">
      <c r="A136" s="146"/>
      <c r="B136" s="205"/>
      <c r="C136" s="205"/>
      <c r="D136" s="205"/>
      <c r="E136" s="205"/>
      <c r="F136" s="296"/>
      <c r="G136" s="296"/>
      <c r="H136" s="296"/>
      <c r="I136" s="296"/>
      <c r="J136" s="296"/>
      <c r="K136" s="296"/>
      <c r="L136" s="296"/>
      <c r="M136" s="296"/>
      <c r="N136" s="296"/>
      <c r="O136" s="273"/>
      <c r="P136" s="27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c r="AP136" s="254"/>
      <c r="AQ136" s="254"/>
      <c r="AR136" s="254"/>
      <c r="AS136" s="254"/>
      <c r="AT136" s="254"/>
      <c r="AU136" s="273"/>
      <c r="AV136" s="273"/>
    </row>
    <row r="137" spans="1:48">
      <c r="A137" s="146"/>
      <c r="B137" s="205"/>
      <c r="C137" s="205"/>
      <c r="D137" s="205"/>
      <c r="E137" s="205"/>
      <c r="F137" s="296"/>
      <c r="G137" s="296"/>
      <c r="H137" s="296"/>
      <c r="I137" s="296"/>
      <c r="J137" s="296"/>
      <c r="K137" s="296"/>
      <c r="L137" s="296"/>
      <c r="M137" s="296"/>
      <c r="N137" s="296"/>
      <c r="O137" s="273"/>
      <c r="P137" s="27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c r="AP137" s="254"/>
      <c r="AQ137" s="254"/>
      <c r="AR137" s="254"/>
      <c r="AS137" s="254"/>
      <c r="AT137" s="254"/>
      <c r="AU137" s="273"/>
      <c r="AV137" s="273"/>
    </row>
    <row r="138" spans="1:48">
      <c r="A138" s="146"/>
      <c r="B138" s="205"/>
      <c r="C138" s="205"/>
      <c r="D138" s="205"/>
      <c r="E138" s="205"/>
      <c r="F138" s="296"/>
      <c r="G138" s="296"/>
      <c r="H138" s="296"/>
      <c r="I138" s="296"/>
      <c r="J138" s="296"/>
      <c r="K138" s="296"/>
      <c r="L138" s="296"/>
      <c r="M138" s="296"/>
      <c r="N138" s="296"/>
      <c r="O138" s="273"/>
      <c r="P138" s="27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c r="AP138" s="254"/>
      <c r="AQ138" s="254"/>
      <c r="AR138" s="254"/>
      <c r="AS138" s="254"/>
      <c r="AT138" s="254"/>
      <c r="AU138" s="273"/>
      <c r="AV138" s="273"/>
    </row>
    <row r="139" spans="1:48">
      <c r="A139" s="146"/>
      <c r="B139" s="205"/>
      <c r="C139" s="205"/>
      <c r="D139" s="205"/>
      <c r="E139" s="205"/>
      <c r="F139" s="296"/>
      <c r="G139" s="296"/>
      <c r="H139" s="296"/>
      <c r="I139" s="296"/>
      <c r="J139" s="296"/>
      <c r="K139" s="296"/>
      <c r="L139" s="296"/>
      <c r="M139" s="296"/>
      <c r="N139" s="296"/>
      <c r="O139" s="273"/>
      <c r="P139" s="27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c r="AP139" s="254"/>
      <c r="AQ139" s="254"/>
      <c r="AR139" s="254"/>
      <c r="AS139" s="254"/>
      <c r="AT139" s="254"/>
      <c r="AU139" s="273"/>
      <c r="AV139" s="273"/>
    </row>
    <row r="140" spans="1:48">
      <c r="A140" s="146"/>
      <c r="B140" s="205"/>
      <c r="C140" s="205"/>
      <c r="D140" s="205"/>
      <c r="E140" s="205"/>
      <c r="F140" s="296"/>
      <c r="G140" s="296"/>
      <c r="H140" s="296"/>
      <c r="I140" s="296"/>
      <c r="J140" s="296"/>
      <c r="K140" s="296"/>
      <c r="L140" s="296"/>
      <c r="M140" s="296"/>
      <c r="N140" s="296"/>
      <c r="O140" s="273"/>
      <c r="P140" s="27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c r="AP140" s="254"/>
      <c r="AQ140" s="254"/>
      <c r="AR140" s="254"/>
      <c r="AS140" s="254"/>
      <c r="AT140" s="254"/>
      <c r="AU140" s="273"/>
      <c r="AV140" s="273"/>
    </row>
    <row r="141" spans="1:48">
      <c r="A141" s="146"/>
      <c r="B141" s="205"/>
      <c r="C141" s="205"/>
      <c r="D141" s="205"/>
      <c r="E141" s="205"/>
      <c r="F141" s="296"/>
      <c r="G141" s="296"/>
      <c r="H141" s="296"/>
      <c r="I141" s="296"/>
      <c r="J141" s="296"/>
      <c r="K141" s="296"/>
      <c r="L141" s="296"/>
      <c r="M141" s="296"/>
      <c r="N141" s="296"/>
      <c r="O141" s="273"/>
      <c r="P141" s="27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c r="AP141" s="254"/>
      <c r="AQ141" s="254"/>
      <c r="AR141" s="254"/>
      <c r="AS141" s="254"/>
      <c r="AT141" s="254"/>
      <c r="AU141" s="273"/>
      <c r="AV141" s="273"/>
    </row>
    <row r="142" spans="1:48">
      <c r="A142" s="146"/>
      <c r="B142" s="205"/>
      <c r="C142" s="205"/>
      <c r="D142" s="205"/>
      <c r="E142" s="205"/>
      <c r="F142" s="296"/>
      <c r="G142" s="296"/>
      <c r="H142" s="296"/>
      <c r="I142" s="296"/>
      <c r="J142" s="296"/>
      <c r="K142" s="296"/>
      <c r="L142" s="296"/>
      <c r="M142" s="296"/>
      <c r="N142" s="296"/>
      <c r="O142" s="273"/>
      <c r="P142" s="27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c r="AP142" s="254"/>
      <c r="AQ142" s="254"/>
      <c r="AR142" s="254"/>
      <c r="AS142" s="254"/>
      <c r="AT142" s="254"/>
      <c r="AU142" s="273"/>
      <c r="AV142" s="273"/>
    </row>
    <row r="143" spans="1:48">
      <c r="A143" s="146"/>
      <c r="B143" s="205"/>
      <c r="C143" s="205"/>
      <c r="D143" s="205"/>
      <c r="E143" s="205"/>
      <c r="F143" s="296"/>
      <c r="G143" s="296"/>
      <c r="H143" s="296"/>
      <c r="I143" s="296"/>
      <c r="J143" s="296"/>
      <c r="K143" s="296"/>
      <c r="L143" s="296"/>
      <c r="M143" s="296"/>
      <c r="N143" s="296"/>
      <c r="O143" s="273"/>
      <c r="P143" s="27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c r="AP143" s="254"/>
      <c r="AQ143" s="254"/>
      <c r="AR143" s="254"/>
      <c r="AS143" s="254"/>
      <c r="AT143" s="254"/>
      <c r="AU143" s="273"/>
      <c r="AV143" s="273"/>
    </row>
    <row r="144" spans="1:48">
      <c r="A144" s="146"/>
      <c r="B144" s="205"/>
      <c r="C144" s="205"/>
      <c r="D144" s="205"/>
      <c r="E144" s="205"/>
      <c r="F144" s="296"/>
      <c r="G144" s="296"/>
      <c r="H144" s="296"/>
      <c r="I144" s="296"/>
      <c r="J144" s="296"/>
      <c r="K144" s="296"/>
      <c r="L144" s="296"/>
      <c r="M144" s="296"/>
      <c r="N144" s="296"/>
      <c r="O144" s="273"/>
      <c r="P144" s="27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c r="AP144" s="254"/>
      <c r="AQ144" s="254"/>
      <c r="AR144" s="254"/>
      <c r="AS144" s="254"/>
      <c r="AT144" s="254"/>
      <c r="AU144" s="273"/>
      <c r="AV144" s="273"/>
    </row>
    <row r="145" spans="1:48">
      <c r="A145" s="146"/>
      <c r="B145" s="205"/>
      <c r="C145" s="205"/>
      <c r="D145" s="205"/>
      <c r="E145" s="205"/>
      <c r="F145" s="296"/>
      <c r="G145" s="296"/>
      <c r="H145" s="296"/>
      <c r="I145" s="296"/>
      <c r="J145" s="296"/>
      <c r="K145" s="296"/>
      <c r="L145" s="296"/>
      <c r="M145" s="296"/>
      <c r="N145" s="296"/>
      <c r="O145" s="273"/>
      <c r="P145" s="27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c r="AP145" s="254"/>
      <c r="AQ145" s="254"/>
      <c r="AR145" s="254"/>
      <c r="AS145" s="254"/>
      <c r="AT145" s="254"/>
      <c r="AU145" s="273"/>
      <c r="AV145" s="273"/>
    </row>
    <row r="146" spans="1:48">
      <c r="A146" s="146"/>
      <c r="B146" s="205"/>
      <c r="C146" s="205"/>
      <c r="D146" s="205"/>
      <c r="E146" s="205"/>
      <c r="F146" s="296"/>
      <c r="G146" s="296"/>
      <c r="H146" s="296"/>
      <c r="I146" s="296"/>
      <c r="J146" s="296"/>
      <c r="K146" s="296"/>
      <c r="L146" s="296"/>
      <c r="M146" s="296"/>
      <c r="N146" s="296"/>
      <c r="O146" s="273"/>
      <c r="P146" s="27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c r="AP146" s="254"/>
      <c r="AQ146" s="254"/>
      <c r="AR146" s="254"/>
      <c r="AS146" s="254"/>
      <c r="AT146" s="254"/>
      <c r="AU146" s="273"/>
      <c r="AV146" s="273"/>
    </row>
    <row r="147" spans="1:48">
      <c r="A147" s="146"/>
      <c r="B147" s="205"/>
      <c r="C147" s="205"/>
      <c r="D147" s="205"/>
      <c r="E147" s="205"/>
      <c r="F147" s="296"/>
      <c r="G147" s="296"/>
      <c r="H147" s="296"/>
      <c r="I147" s="296"/>
      <c r="J147" s="296"/>
      <c r="K147" s="296"/>
      <c r="L147" s="296"/>
      <c r="M147" s="296"/>
      <c r="N147" s="296"/>
      <c r="O147" s="273"/>
      <c r="P147" s="27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c r="AP147" s="254"/>
      <c r="AQ147" s="254"/>
      <c r="AR147" s="254"/>
      <c r="AS147" s="254"/>
      <c r="AT147" s="254"/>
      <c r="AU147" s="273"/>
      <c r="AV147" s="273"/>
    </row>
    <row r="148" spans="1:48">
      <c r="A148" s="146"/>
      <c r="B148" s="205"/>
      <c r="C148" s="205"/>
      <c r="D148" s="205"/>
      <c r="E148" s="205"/>
      <c r="F148" s="296"/>
      <c r="G148" s="296"/>
      <c r="H148" s="296"/>
      <c r="I148" s="296"/>
      <c r="J148" s="296"/>
      <c r="K148" s="296"/>
      <c r="L148" s="296"/>
      <c r="M148" s="296"/>
      <c r="N148" s="296"/>
      <c r="O148" s="273"/>
      <c r="P148" s="27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c r="AP148" s="254"/>
      <c r="AQ148" s="254"/>
      <c r="AR148" s="254"/>
      <c r="AS148" s="254"/>
      <c r="AT148" s="254"/>
      <c r="AU148" s="273"/>
      <c r="AV148" s="273"/>
    </row>
    <row r="149" spans="1:48">
      <c r="A149" s="146"/>
      <c r="B149" s="205"/>
      <c r="C149" s="205"/>
      <c r="D149" s="205"/>
      <c r="E149" s="205"/>
      <c r="F149" s="296"/>
      <c r="G149" s="296"/>
      <c r="H149" s="296"/>
      <c r="I149" s="296"/>
      <c r="J149" s="296"/>
      <c r="K149" s="296"/>
      <c r="L149" s="296"/>
      <c r="M149" s="296"/>
      <c r="N149" s="296"/>
      <c r="O149" s="273"/>
      <c r="P149" s="27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c r="AP149" s="254"/>
      <c r="AQ149" s="254"/>
      <c r="AR149" s="254"/>
      <c r="AS149" s="254"/>
      <c r="AT149" s="254"/>
      <c r="AU149" s="273"/>
      <c r="AV149" s="273"/>
    </row>
    <row r="150" spans="1:48">
      <c r="A150" s="146"/>
      <c r="B150" s="205"/>
      <c r="C150" s="205"/>
      <c r="D150" s="205"/>
      <c r="E150" s="205"/>
      <c r="F150" s="296"/>
      <c r="G150" s="296"/>
      <c r="H150" s="296"/>
      <c r="I150" s="296"/>
      <c r="J150" s="296"/>
      <c r="K150" s="296"/>
      <c r="L150" s="296"/>
      <c r="M150" s="296"/>
      <c r="N150" s="296"/>
      <c r="O150" s="273"/>
      <c r="P150" s="27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c r="AP150" s="254"/>
      <c r="AQ150" s="254"/>
      <c r="AR150" s="254"/>
      <c r="AS150" s="254"/>
      <c r="AT150" s="254"/>
      <c r="AU150" s="273"/>
      <c r="AV150" s="273"/>
    </row>
    <row r="151" spans="1:48">
      <c r="A151" s="146"/>
      <c r="B151" s="205"/>
      <c r="C151" s="205"/>
      <c r="D151" s="205"/>
      <c r="E151" s="205"/>
      <c r="F151" s="296"/>
      <c r="G151" s="296"/>
      <c r="H151" s="296"/>
      <c r="I151" s="296"/>
      <c r="J151" s="296"/>
      <c r="K151" s="296"/>
      <c r="L151" s="296"/>
      <c r="M151" s="296"/>
      <c r="N151" s="296"/>
      <c r="O151" s="273"/>
      <c r="P151" s="27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c r="AP151" s="254"/>
      <c r="AQ151" s="254"/>
      <c r="AR151" s="254"/>
      <c r="AS151" s="254"/>
      <c r="AT151" s="254"/>
      <c r="AU151" s="273"/>
      <c r="AV151" s="273"/>
    </row>
    <row r="152" spans="1:48">
      <c r="A152" s="146"/>
      <c r="B152" s="205"/>
      <c r="C152" s="205"/>
      <c r="D152" s="205"/>
      <c r="E152" s="205"/>
      <c r="F152" s="296"/>
      <c r="G152" s="296"/>
      <c r="H152" s="296"/>
      <c r="I152" s="296"/>
      <c r="J152" s="296"/>
      <c r="K152" s="296"/>
      <c r="L152" s="296"/>
      <c r="M152" s="296"/>
      <c r="N152" s="296"/>
      <c r="O152" s="273"/>
      <c r="P152" s="27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c r="AP152" s="254"/>
      <c r="AQ152" s="254"/>
      <c r="AR152" s="254"/>
      <c r="AS152" s="254"/>
      <c r="AT152" s="254"/>
      <c r="AU152" s="273"/>
      <c r="AV152" s="273"/>
    </row>
    <row r="153" spans="1:48">
      <c r="A153" s="146"/>
      <c r="B153" s="205"/>
      <c r="C153" s="205"/>
      <c r="D153" s="205"/>
      <c r="E153" s="205"/>
      <c r="F153" s="296"/>
      <c r="G153" s="296"/>
      <c r="H153" s="296"/>
      <c r="I153" s="296"/>
      <c r="J153" s="296"/>
      <c r="K153" s="296"/>
      <c r="L153" s="296"/>
      <c r="M153" s="296"/>
      <c r="N153" s="296"/>
      <c r="O153" s="273"/>
      <c r="P153" s="27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c r="AP153" s="254"/>
      <c r="AQ153" s="254"/>
      <c r="AR153" s="254"/>
      <c r="AS153" s="254"/>
      <c r="AT153" s="254"/>
      <c r="AU153" s="273"/>
      <c r="AV153" s="273"/>
    </row>
    <row r="154" spans="1:48">
      <c r="A154" s="146"/>
      <c r="B154" s="205"/>
      <c r="C154" s="205"/>
      <c r="D154" s="205"/>
      <c r="E154" s="205"/>
      <c r="F154" s="296"/>
      <c r="G154" s="296"/>
      <c r="H154" s="296"/>
      <c r="I154" s="296"/>
      <c r="J154" s="296"/>
      <c r="K154" s="296"/>
      <c r="L154" s="296"/>
      <c r="M154" s="296"/>
      <c r="N154" s="296"/>
      <c r="O154" s="273"/>
      <c r="P154" s="27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c r="AP154" s="254"/>
      <c r="AQ154" s="254"/>
      <c r="AR154" s="254"/>
      <c r="AS154" s="254"/>
      <c r="AT154" s="254"/>
      <c r="AU154" s="273"/>
      <c r="AV154" s="273"/>
    </row>
    <row r="155" spans="1:48">
      <c r="A155" s="146"/>
      <c r="B155" s="205"/>
      <c r="C155" s="205"/>
      <c r="D155" s="205"/>
      <c r="E155" s="205"/>
      <c r="F155" s="296"/>
      <c r="G155" s="296"/>
      <c r="H155" s="296"/>
      <c r="I155" s="296"/>
      <c r="J155" s="296"/>
      <c r="K155" s="296"/>
      <c r="L155" s="296"/>
      <c r="M155" s="296"/>
      <c r="N155" s="296"/>
      <c r="O155" s="273"/>
      <c r="P155" s="27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c r="AP155" s="254"/>
      <c r="AQ155" s="254"/>
      <c r="AR155" s="254"/>
      <c r="AS155" s="254"/>
      <c r="AT155" s="254"/>
      <c r="AU155" s="273"/>
      <c r="AV155" s="273"/>
    </row>
    <row r="156" spans="1:48">
      <c r="A156" s="146"/>
      <c r="B156" s="205"/>
      <c r="C156" s="205"/>
      <c r="D156" s="205"/>
      <c r="E156" s="205"/>
      <c r="F156" s="296"/>
      <c r="G156" s="296"/>
      <c r="H156" s="296"/>
      <c r="I156" s="296"/>
      <c r="J156" s="296"/>
      <c r="K156" s="296"/>
      <c r="L156" s="296"/>
      <c r="M156" s="296"/>
      <c r="N156" s="296"/>
      <c r="O156" s="273"/>
      <c r="P156" s="27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c r="AP156" s="254"/>
      <c r="AQ156" s="254"/>
      <c r="AR156" s="254"/>
      <c r="AS156" s="254"/>
      <c r="AT156" s="254"/>
      <c r="AU156" s="273"/>
      <c r="AV156" s="273"/>
    </row>
    <row r="157" spans="1:48">
      <c r="A157" s="146"/>
      <c r="B157" s="205"/>
      <c r="C157" s="205"/>
      <c r="D157" s="205"/>
      <c r="E157" s="205"/>
      <c r="F157" s="296"/>
      <c r="G157" s="296"/>
      <c r="H157" s="296"/>
      <c r="I157" s="296"/>
      <c r="J157" s="296"/>
      <c r="K157" s="296"/>
      <c r="L157" s="296"/>
      <c r="M157" s="296"/>
      <c r="N157" s="296"/>
      <c r="O157" s="273"/>
      <c r="P157" s="27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c r="AP157" s="254"/>
      <c r="AQ157" s="254"/>
      <c r="AR157" s="254"/>
      <c r="AS157" s="254"/>
      <c r="AT157" s="254"/>
      <c r="AU157" s="273"/>
      <c r="AV157" s="273"/>
    </row>
    <row r="158" spans="1:48">
      <c r="A158" s="146"/>
      <c r="B158" s="205"/>
      <c r="C158" s="205"/>
      <c r="D158" s="205"/>
      <c r="E158" s="205"/>
      <c r="F158" s="296"/>
      <c r="G158" s="296"/>
      <c r="H158" s="296"/>
      <c r="I158" s="296"/>
      <c r="J158" s="296"/>
      <c r="K158" s="296"/>
      <c r="L158" s="296"/>
      <c r="M158" s="296"/>
      <c r="N158" s="296"/>
      <c r="O158" s="273"/>
      <c r="P158" s="27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c r="AP158" s="254"/>
      <c r="AQ158" s="254"/>
      <c r="AR158" s="254"/>
      <c r="AS158" s="254"/>
      <c r="AT158" s="254"/>
      <c r="AU158" s="273"/>
      <c r="AV158" s="273"/>
    </row>
    <row r="159" spans="1:48">
      <c r="A159" s="146"/>
      <c r="B159" s="205"/>
      <c r="C159" s="205"/>
      <c r="D159" s="205"/>
      <c r="E159" s="205"/>
      <c r="F159" s="296"/>
      <c r="G159" s="296"/>
      <c r="H159" s="296"/>
      <c r="I159" s="296"/>
      <c r="J159" s="296"/>
      <c r="K159" s="296"/>
      <c r="L159" s="296"/>
      <c r="M159" s="296"/>
      <c r="N159" s="296"/>
      <c r="O159" s="273"/>
      <c r="P159" s="27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c r="AP159" s="254"/>
      <c r="AQ159" s="254"/>
      <c r="AR159" s="254"/>
      <c r="AS159" s="254"/>
      <c r="AT159" s="254"/>
      <c r="AU159" s="273"/>
      <c r="AV159" s="273"/>
    </row>
    <row r="160" spans="1:48">
      <c r="A160" s="146"/>
      <c r="B160" s="205"/>
      <c r="C160" s="205"/>
      <c r="D160" s="205"/>
      <c r="E160" s="205"/>
      <c r="F160" s="296"/>
      <c r="G160" s="296"/>
      <c r="H160" s="296"/>
      <c r="I160" s="296"/>
      <c r="J160" s="296"/>
      <c r="K160" s="296"/>
      <c r="L160" s="296"/>
      <c r="M160" s="296"/>
      <c r="N160" s="296"/>
      <c r="O160" s="273"/>
      <c r="P160" s="27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c r="AP160" s="254"/>
      <c r="AQ160" s="254"/>
      <c r="AR160" s="254"/>
      <c r="AS160" s="254"/>
      <c r="AT160" s="254"/>
      <c r="AU160" s="273"/>
      <c r="AV160" s="273"/>
    </row>
    <row r="161" spans="1:48">
      <c r="A161" s="146"/>
      <c r="B161" s="205"/>
      <c r="C161" s="205"/>
      <c r="D161" s="205"/>
      <c r="E161" s="205"/>
      <c r="F161" s="296"/>
      <c r="G161" s="296"/>
      <c r="H161" s="296"/>
      <c r="I161" s="296"/>
      <c r="J161" s="296"/>
      <c r="K161" s="296"/>
      <c r="L161" s="296"/>
      <c r="M161" s="296"/>
      <c r="N161" s="296"/>
      <c r="O161" s="273"/>
      <c r="P161" s="27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c r="AP161" s="254"/>
      <c r="AQ161" s="254"/>
      <c r="AR161" s="254"/>
      <c r="AS161" s="254"/>
      <c r="AT161" s="254"/>
      <c r="AU161" s="273"/>
      <c r="AV161" s="273"/>
    </row>
    <row r="162" spans="1:48">
      <c r="A162" s="146"/>
      <c r="B162" s="205"/>
      <c r="C162" s="205"/>
      <c r="D162" s="205"/>
      <c r="E162" s="205"/>
      <c r="F162" s="296"/>
      <c r="G162" s="296"/>
      <c r="H162" s="296"/>
      <c r="I162" s="296"/>
      <c r="J162" s="296"/>
      <c r="K162" s="296"/>
      <c r="L162" s="296"/>
      <c r="M162" s="296"/>
      <c r="N162" s="296"/>
      <c r="O162" s="273"/>
      <c r="P162" s="27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c r="AP162" s="254"/>
      <c r="AQ162" s="254"/>
      <c r="AR162" s="254"/>
      <c r="AS162" s="254"/>
      <c r="AT162" s="254"/>
      <c r="AU162" s="273"/>
      <c r="AV162" s="273"/>
    </row>
    <row r="163" spans="1:48">
      <c r="A163" s="146"/>
      <c r="B163" s="205"/>
      <c r="C163" s="205"/>
      <c r="D163" s="205"/>
      <c r="E163" s="205"/>
      <c r="F163" s="296"/>
      <c r="G163" s="296"/>
      <c r="H163" s="296"/>
      <c r="I163" s="296"/>
      <c r="J163" s="296"/>
      <c r="K163" s="296"/>
      <c r="L163" s="296"/>
      <c r="M163" s="296"/>
      <c r="N163" s="296"/>
      <c r="O163" s="273"/>
      <c r="P163" s="27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c r="AP163" s="254"/>
      <c r="AQ163" s="254"/>
      <c r="AR163" s="254"/>
      <c r="AS163" s="254"/>
      <c r="AT163" s="254"/>
      <c r="AU163" s="273"/>
      <c r="AV163" s="273"/>
    </row>
    <row r="164" spans="1:48">
      <c r="A164" s="146"/>
      <c r="B164" s="205"/>
      <c r="C164" s="205"/>
      <c r="D164" s="205"/>
      <c r="E164" s="205"/>
      <c r="F164" s="296"/>
      <c r="G164" s="296"/>
      <c r="H164" s="296"/>
      <c r="I164" s="296"/>
      <c r="J164" s="296"/>
      <c r="K164" s="296"/>
      <c r="L164" s="296"/>
      <c r="M164" s="296"/>
      <c r="N164" s="296"/>
      <c r="O164" s="273"/>
      <c r="P164" s="27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c r="AP164" s="254"/>
      <c r="AQ164" s="254"/>
      <c r="AR164" s="254"/>
      <c r="AS164" s="254"/>
      <c r="AT164" s="254"/>
      <c r="AU164" s="273"/>
      <c r="AV164" s="273"/>
    </row>
    <row r="165" spans="1:48">
      <c r="A165" s="146"/>
      <c r="B165" s="205"/>
      <c r="C165" s="205"/>
      <c r="D165" s="205"/>
      <c r="E165" s="205"/>
      <c r="F165" s="296"/>
      <c r="G165" s="296"/>
      <c r="H165" s="296"/>
      <c r="I165" s="296"/>
      <c r="J165" s="296"/>
      <c r="K165" s="296"/>
      <c r="L165" s="296"/>
      <c r="M165" s="296"/>
      <c r="N165" s="296"/>
      <c r="O165" s="273"/>
      <c r="P165" s="27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c r="AP165" s="254"/>
      <c r="AQ165" s="254"/>
      <c r="AR165" s="254"/>
      <c r="AS165" s="254"/>
      <c r="AT165" s="254"/>
      <c r="AU165" s="273"/>
      <c r="AV165" s="273"/>
    </row>
    <row r="166" spans="1:48">
      <c r="A166" s="146"/>
      <c r="B166" s="205"/>
      <c r="C166" s="205"/>
      <c r="D166" s="205"/>
      <c r="E166" s="205"/>
      <c r="F166" s="296"/>
      <c r="G166" s="296"/>
      <c r="H166" s="296"/>
      <c r="I166" s="296"/>
      <c r="J166" s="296"/>
      <c r="K166" s="296"/>
      <c r="L166" s="296"/>
      <c r="M166" s="296"/>
      <c r="N166" s="296"/>
      <c r="O166" s="273"/>
      <c r="P166" s="27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c r="AP166" s="254"/>
      <c r="AQ166" s="254"/>
      <c r="AR166" s="254"/>
      <c r="AS166" s="254"/>
      <c r="AT166" s="254"/>
      <c r="AU166" s="273"/>
      <c r="AV166" s="273"/>
    </row>
    <row r="167" spans="1:48">
      <c r="A167" s="146"/>
      <c r="B167" s="205"/>
      <c r="C167" s="205"/>
      <c r="D167" s="205"/>
      <c r="E167" s="205"/>
      <c r="F167" s="296"/>
      <c r="G167" s="296"/>
      <c r="H167" s="296"/>
      <c r="I167" s="296"/>
      <c r="J167" s="296"/>
      <c r="K167" s="296"/>
      <c r="L167" s="296"/>
      <c r="M167" s="296"/>
      <c r="N167" s="296"/>
      <c r="O167" s="273"/>
      <c r="P167" s="27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c r="AT167" s="254"/>
      <c r="AU167" s="273"/>
      <c r="AV167" s="273"/>
    </row>
    <row r="168" spans="1:48">
      <c r="A168" s="146"/>
      <c r="B168" s="205"/>
      <c r="C168" s="205"/>
      <c r="D168" s="205"/>
      <c r="E168" s="205"/>
      <c r="F168" s="296"/>
      <c r="G168" s="296"/>
      <c r="H168" s="296"/>
      <c r="I168" s="296"/>
      <c r="J168" s="296"/>
      <c r="K168" s="296"/>
      <c r="L168" s="296"/>
      <c r="M168" s="296"/>
      <c r="N168" s="296"/>
      <c r="O168" s="273"/>
      <c r="P168" s="27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c r="AP168" s="254"/>
      <c r="AQ168" s="254"/>
      <c r="AR168" s="254"/>
      <c r="AS168" s="254"/>
      <c r="AT168" s="254"/>
      <c r="AU168" s="273"/>
      <c r="AV168" s="273"/>
    </row>
    <row r="169" spans="1:48">
      <c r="A169" s="146"/>
      <c r="B169" s="205"/>
      <c r="C169" s="205"/>
      <c r="D169" s="205"/>
      <c r="E169" s="205"/>
      <c r="F169" s="296"/>
      <c r="G169" s="296"/>
      <c r="H169" s="296"/>
      <c r="I169" s="296"/>
      <c r="J169" s="296"/>
      <c r="K169" s="296"/>
      <c r="L169" s="296"/>
      <c r="M169" s="296"/>
      <c r="N169" s="296"/>
      <c r="O169" s="273"/>
      <c r="P169" s="27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c r="AP169" s="254"/>
      <c r="AQ169" s="254"/>
      <c r="AR169" s="254"/>
      <c r="AS169" s="254"/>
      <c r="AT169" s="254"/>
      <c r="AU169" s="273"/>
      <c r="AV169" s="273"/>
    </row>
    <row r="170" spans="1:48">
      <c r="A170" s="146"/>
      <c r="B170" s="205"/>
      <c r="C170" s="205"/>
      <c r="D170" s="205"/>
      <c r="E170" s="205"/>
      <c r="F170" s="296"/>
      <c r="G170" s="296"/>
      <c r="H170" s="296"/>
      <c r="I170" s="296"/>
      <c r="J170" s="296"/>
      <c r="K170" s="296"/>
      <c r="L170" s="296"/>
      <c r="M170" s="296"/>
      <c r="N170" s="296"/>
      <c r="O170" s="273"/>
      <c r="P170" s="27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c r="AP170" s="254"/>
      <c r="AQ170" s="254"/>
      <c r="AR170" s="254"/>
      <c r="AS170" s="254"/>
      <c r="AT170" s="254"/>
      <c r="AU170" s="273"/>
      <c r="AV170" s="273"/>
    </row>
    <row r="171" spans="1:48">
      <c r="A171" s="146"/>
      <c r="B171" s="205"/>
      <c r="C171" s="205"/>
      <c r="D171" s="205"/>
      <c r="E171" s="205"/>
      <c r="F171" s="296"/>
      <c r="G171" s="296"/>
      <c r="H171" s="296"/>
      <c r="I171" s="296"/>
      <c r="J171" s="296"/>
      <c r="K171" s="296"/>
      <c r="L171" s="296"/>
      <c r="M171" s="296"/>
      <c r="N171" s="296"/>
      <c r="O171" s="273"/>
      <c r="P171" s="27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c r="AP171" s="254"/>
      <c r="AQ171" s="254"/>
      <c r="AR171" s="254"/>
      <c r="AS171" s="254"/>
      <c r="AT171" s="254"/>
      <c r="AU171" s="273"/>
      <c r="AV171" s="273"/>
    </row>
    <row r="172" spans="1:48">
      <c r="A172" s="146"/>
      <c r="B172" s="205"/>
      <c r="C172" s="205"/>
      <c r="D172" s="205"/>
      <c r="E172" s="205"/>
      <c r="F172" s="296"/>
      <c r="G172" s="296"/>
      <c r="H172" s="296"/>
      <c r="I172" s="296"/>
      <c r="J172" s="296"/>
      <c r="K172" s="296"/>
      <c r="L172" s="296"/>
      <c r="M172" s="296"/>
      <c r="N172" s="296"/>
      <c r="O172" s="273"/>
      <c r="P172" s="27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254"/>
      <c r="AU172" s="273"/>
      <c r="AV172" s="273"/>
    </row>
    <row r="173" spans="1:48">
      <c r="A173" s="146"/>
      <c r="B173" s="205"/>
      <c r="C173" s="205"/>
      <c r="D173" s="205"/>
      <c r="E173" s="205"/>
      <c r="F173" s="296"/>
      <c r="G173" s="296"/>
      <c r="H173" s="296"/>
      <c r="I173" s="296"/>
      <c r="J173" s="296"/>
      <c r="K173" s="296"/>
      <c r="L173" s="296"/>
      <c r="M173" s="296"/>
      <c r="N173" s="296"/>
      <c r="O173" s="273"/>
      <c r="P173" s="27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c r="AP173" s="254"/>
      <c r="AQ173" s="254"/>
      <c r="AR173" s="254"/>
      <c r="AS173" s="254"/>
      <c r="AT173" s="254"/>
      <c r="AU173" s="273"/>
      <c r="AV173" s="273"/>
    </row>
    <row r="174" spans="1:48">
      <c r="A174" s="146"/>
      <c r="B174" s="205"/>
      <c r="C174" s="205"/>
      <c r="D174" s="205"/>
      <c r="E174" s="205"/>
      <c r="F174" s="296"/>
      <c r="G174" s="296"/>
      <c r="H174" s="296"/>
      <c r="I174" s="296"/>
      <c r="J174" s="296"/>
      <c r="K174" s="296"/>
      <c r="L174" s="296"/>
      <c r="M174" s="296"/>
      <c r="N174" s="296"/>
      <c r="O174" s="273"/>
      <c r="P174" s="27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c r="AT174" s="254"/>
      <c r="AU174" s="273"/>
      <c r="AV174" s="273"/>
    </row>
    <row r="175" spans="1:48">
      <c r="A175" s="146"/>
      <c r="B175" s="205"/>
      <c r="C175" s="205"/>
      <c r="D175" s="205"/>
      <c r="E175" s="205"/>
      <c r="F175" s="296"/>
      <c r="G175" s="296"/>
      <c r="H175" s="296"/>
      <c r="I175" s="296"/>
      <c r="J175" s="296"/>
      <c r="K175" s="296"/>
      <c r="L175" s="296"/>
      <c r="M175" s="296"/>
      <c r="N175" s="296"/>
      <c r="O175" s="273"/>
      <c r="P175" s="27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73"/>
      <c r="AV175" s="273"/>
    </row>
    <row r="176" spans="1:48">
      <c r="A176" s="146"/>
      <c r="B176" s="205"/>
      <c r="C176" s="205"/>
      <c r="D176" s="205"/>
      <c r="E176" s="205"/>
      <c r="F176" s="296"/>
      <c r="G176" s="296"/>
      <c r="H176" s="296"/>
      <c r="I176" s="296"/>
      <c r="J176" s="296"/>
      <c r="K176" s="296"/>
      <c r="L176" s="296"/>
      <c r="M176" s="296"/>
      <c r="N176" s="296"/>
      <c r="O176" s="273"/>
      <c r="P176" s="27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c r="AP176" s="254"/>
      <c r="AQ176" s="254"/>
      <c r="AR176" s="254"/>
      <c r="AS176" s="254"/>
      <c r="AT176" s="254"/>
      <c r="AU176" s="273"/>
      <c r="AV176" s="273"/>
    </row>
    <row r="177" spans="1:48">
      <c r="A177" s="146"/>
      <c r="B177" s="205"/>
      <c r="C177" s="205"/>
      <c r="D177" s="205"/>
      <c r="E177" s="205"/>
      <c r="F177" s="296"/>
      <c r="G177" s="296"/>
      <c r="H177" s="296"/>
      <c r="I177" s="296"/>
      <c r="J177" s="296"/>
      <c r="K177" s="296"/>
      <c r="L177" s="296"/>
      <c r="M177" s="296"/>
      <c r="N177" s="296"/>
      <c r="O177" s="273"/>
      <c r="P177" s="27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c r="AP177" s="254"/>
      <c r="AQ177" s="254"/>
      <c r="AR177" s="254"/>
      <c r="AS177" s="254"/>
      <c r="AT177" s="254"/>
      <c r="AU177" s="273"/>
      <c r="AV177" s="273"/>
    </row>
    <row r="178" spans="1:48">
      <c r="A178" s="146"/>
      <c r="B178" s="205"/>
      <c r="C178" s="205"/>
      <c r="D178" s="205"/>
      <c r="E178" s="205"/>
      <c r="F178" s="296"/>
      <c r="G178" s="296"/>
      <c r="H178" s="296"/>
      <c r="I178" s="296"/>
      <c r="J178" s="296"/>
      <c r="K178" s="296"/>
      <c r="L178" s="296"/>
      <c r="M178" s="296"/>
      <c r="N178" s="296"/>
      <c r="O178" s="273"/>
      <c r="P178" s="27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c r="AP178" s="254"/>
      <c r="AQ178" s="254"/>
      <c r="AR178" s="254"/>
      <c r="AS178" s="254"/>
      <c r="AT178" s="254"/>
      <c r="AU178" s="273"/>
      <c r="AV178" s="273"/>
    </row>
    <row r="179" spans="1:48">
      <c r="A179" s="146"/>
      <c r="B179" s="205"/>
      <c r="C179" s="205"/>
      <c r="D179" s="205"/>
      <c r="E179" s="205"/>
      <c r="F179" s="296"/>
      <c r="G179" s="296"/>
      <c r="H179" s="296"/>
      <c r="I179" s="296"/>
      <c r="J179" s="296"/>
      <c r="K179" s="296"/>
      <c r="L179" s="296"/>
      <c r="M179" s="296"/>
      <c r="N179" s="296"/>
      <c r="O179" s="273"/>
      <c r="P179" s="27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c r="AP179" s="254"/>
      <c r="AQ179" s="254"/>
      <c r="AR179" s="254"/>
      <c r="AS179" s="254"/>
      <c r="AT179" s="254"/>
      <c r="AU179" s="273"/>
      <c r="AV179" s="273"/>
    </row>
    <row r="180" spans="1:48">
      <c r="A180" s="146"/>
      <c r="B180" s="205"/>
      <c r="C180" s="205"/>
      <c r="D180" s="205"/>
      <c r="E180" s="205"/>
      <c r="F180" s="296"/>
      <c r="G180" s="296"/>
      <c r="H180" s="296"/>
      <c r="I180" s="296"/>
      <c r="J180" s="296"/>
      <c r="K180" s="296"/>
      <c r="L180" s="296"/>
      <c r="M180" s="296"/>
      <c r="N180" s="296"/>
      <c r="O180" s="273"/>
      <c r="P180" s="27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c r="AP180" s="254"/>
      <c r="AQ180" s="254"/>
      <c r="AR180" s="254"/>
      <c r="AS180" s="254"/>
      <c r="AT180" s="254"/>
      <c r="AU180" s="273"/>
      <c r="AV180" s="273"/>
    </row>
    <row r="181" spans="1:48">
      <c r="A181" s="146"/>
      <c r="B181" s="205"/>
      <c r="C181" s="205"/>
      <c r="D181" s="205"/>
      <c r="E181" s="205"/>
      <c r="F181" s="296"/>
      <c r="G181" s="296"/>
      <c r="H181" s="296"/>
      <c r="I181" s="296"/>
      <c r="J181" s="296"/>
      <c r="K181" s="296"/>
      <c r="L181" s="296"/>
      <c r="M181" s="296"/>
      <c r="N181" s="296"/>
      <c r="O181" s="273"/>
      <c r="P181" s="27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c r="AP181" s="254"/>
      <c r="AQ181" s="254"/>
      <c r="AR181" s="254"/>
      <c r="AS181" s="254"/>
      <c r="AT181" s="254"/>
      <c r="AU181" s="273"/>
      <c r="AV181" s="273"/>
    </row>
    <row r="182" spans="1:48">
      <c r="A182" s="146"/>
      <c r="B182" s="205"/>
      <c r="C182" s="205"/>
      <c r="D182" s="205"/>
      <c r="E182" s="205"/>
      <c r="F182" s="296"/>
      <c r="G182" s="296"/>
      <c r="H182" s="296"/>
      <c r="I182" s="296"/>
      <c r="J182" s="296"/>
      <c r="K182" s="296"/>
      <c r="L182" s="296"/>
      <c r="M182" s="296"/>
      <c r="N182" s="296"/>
      <c r="O182" s="273"/>
      <c r="P182" s="27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c r="AP182" s="254"/>
      <c r="AQ182" s="254"/>
      <c r="AR182" s="254"/>
      <c r="AS182" s="254"/>
      <c r="AT182" s="254"/>
      <c r="AU182" s="273"/>
      <c r="AV182" s="273"/>
    </row>
    <row r="183" spans="1:48">
      <c r="A183" s="146"/>
      <c r="B183" s="205"/>
      <c r="C183" s="205"/>
      <c r="D183" s="205"/>
      <c r="E183" s="205"/>
      <c r="F183" s="296"/>
      <c r="G183" s="296"/>
      <c r="H183" s="296"/>
      <c r="I183" s="296"/>
      <c r="J183" s="296"/>
      <c r="K183" s="296"/>
      <c r="L183" s="296"/>
      <c r="M183" s="296"/>
      <c r="N183" s="296"/>
      <c r="O183" s="273"/>
      <c r="P183" s="27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c r="AP183" s="254"/>
      <c r="AQ183" s="254"/>
      <c r="AR183" s="254"/>
      <c r="AS183" s="254"/>
      <c r="AT183" s="254"/>
      <c r="AU183" s="273"/>
      <c r="AV183" s="273"/>
    </row>
    <row r="184" spans="1:48">
      <c r="A184" s="146"/>
      <c r="B184" s="205"/>
      <c r="C184" s="205"/>
      <c r="D184" s="205"/>
      <c r="E184" s="205"/>
      <c r="F184" s="296"/>
      <c r="G184" s="296"/>
      <c r="H184" s="296"/>
      <c r="I184" s="296"/>
      <c r="J184" s="296"/>
      <c r="K184" s="296"/>
      <c r="L184" s="296"/>
      <c r="M184" s="296"/>
      <c r="N184" s="296"/>
      <c r="O184" s="273"/>
      <c r="P184" s="27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c r="AP184" s="254"/>
      <c r="AQ184" s="254"/>
      <c r="AR184" s="254"/>
      <c r="AS184" s="254"/>
      <c r="AT184" s="254"/>
      <c r="AU184" s="273"/>
      <c r="AV184" s="273"/>
    </row>
    <row r="185" spans="1:48">
      <c r="A185" s="146"/>
      <c r="B185" s="205"/>
      <c r="C185" s="205"/>
      <c r="D185" s="205"/>
      <c r="E185" s="205"/>
      <c r="F185" s="296"/>
      <c r="G185" s="296"/>
      <c r="H185" s="296"/>
      <c r="I185" s="296"/>
      <c r="J185" s="296"/>
      <c r="K185" s="296"/>
      <c r="L185" s="296"/>
      <c r="M185" s="296"/>
      <c r="N185" s="296"/>
      <c r="O185" s="273"/>
      <c r="P185" s="27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c r="AP185" s="254"/>
      <c r="AQ185" s="254"/>
      <c r="AR185" s="254"/>
      <c r="AS185" s="254"/>
      <c r="AT185" s="254"/>
      <c r="AU185" s="273"/>
      <c r="AV185" s="273"/>
    </row>
    <row r="186" spans="1:48">
      <c r="A186" s="146"/>
      <c r="B186" s="205"/>
      <c r="C186" s="205"/>
      <c r="D186" s="205"/>
      <c r="E186" s="205"/>
      <c r="F186" s="296"/>
      <c r="G186" s="296"/>
      <c r="H186" s="296"/>
      <c r="I186" s="296"/>
      <c r="J186" s="296"/>
      <c r="K186" s="296"/>
      <c r="L186" s="296"/>
      <c r="M186" s="296"/>
      <c r="N186" s="296"/>
      <c r="O186" s="273"/>
      <c r="P186" s="27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254"/>
      <c r="AU186" s="273"/>
      <c r="AV186" s="273"/>
    </row>
    <row r="187" spans="1:48">
      <c r="A187" s="146"/>
      <c r="B187" s="205"/>
      <c r="C187" s="205"/>
      <c r="D187" s="205"/>
      <c r="E187" s="205"/>
      <c r="F187" s="296"/>
      <c r="G187" s="296"/>
      <c r="H187" s="296"/>
      <c r="I187" s="296"/>
      <c r="J187" s="296"/>
      <c r="K187" s="296"/>
      <c r="L187" s="296"/>
      <c r="M187" s="296"/>
      <c r="N187" s="296"/>
      <c r="O187" s="273"/>
      <c r="P187" s="27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c r="AP187" s="254"/>
      <c r="AQ187" s="254"/>
      <c r="AR187" s="254"/>
      <c r="AS187" s="254"/>
      <c r="AT187" s="254"/>
      <c r="AU187" s="273"/>
      <c r="AV187" s="273"/>
    </row>
    <row r="188" spans="1:48">
      <c r="A188" s="146"/>
      <c r="B188" s="205"/>
      <c r="C188" s="205"/>
      <c r="D188" s="205"/>
      <c r="E188" s="205"/>
      <c r="F188" s="296"/>
      <c r="G188" s="296"/>
      <c r="H188" s="296"/>
      <c r="I188" s="296"/>
      <c r="J188" s="296"/>
      <c r="K188" s="296"/>
      <c r="L188" s="296"/>
      <c r="M188" s="296"/>
      <c r="N188" s="296"/>
      <c r="O188" s="273"/>
      <c r="P188" s="27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54"/>
      <c r="AT188" s="254"/>
      <c r="AU188" s="273"/>
      <c r="AV188" s="273"/>
    </row>
    <row r="189" spans="1:48">
      <c r="A189" s="146"/>
      <c r="B189" s="205"/>
      <c r="C189" s="205"/>
      <c r="D189" s="205"/>
      <c r="E189" s="205"/>
      <c r="F189" s="296"/>
      <c r="G189" s="296"/>
      <c r="H189" s="296"/>
      <c r="I189" s="296"/>
      <c r="J189" s="296"/>
      <c r="K189" s="296"/>
      <c r="L189" s="296"/>
      <c r="M189" s="296"/>
      <c r="N189" s="296"/>
      <c r="O189" s="273"/>
      <c r="P189" s="27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254"/>
      <c r="AU189" s="273"/>
      <c r="AV189" s="273"/>
    </row>
    <row r="190" spans="1:48">
      <c r="A190" s="146"/>
      <c r="B190" s="205"/>
      <c r="C190" s="205"/>
      <c r="D190" s="205"/>
      <c r="E190" s="205"/>
      <c r="F190" s="296"/>
      <c r="G190" s="296"/>
      <c r="H190" s="296"/>
      <c r="I190" s="296"/>
      <c r="J190" s="296"/>
      <c r="K190" s="296"/>
      <c r="L190" s="296"/>
      <c r="M190" s="296"/>
      <c r="N190" s="296"/>
      <c r="O190" s="273"/>
      <c r="P190" s="27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254"/>
      <c r="AU190" s="273"/>
      <c r="AV190" s="273"/>
    </row>
    <row r="191" spans="1:48">
      <c r="A191" s="146"/>
      <c r="B191" s="205"/>
      <c r="C191" s="205"/>
      <c r="D191" s="205"/>
      <c r="E191" s="205"/>
      <c r="F191" s="296"/>
      <c r="G191" s="296"/>
      <c r="H191" s="296"/>
      <c r="I191" s="296"/>
      <c r="J191" s="296"/>
      <c r="K191" s="296"/>
      <c r="L191" s="296"/>
      <c r="M191" s="296"/>
      <c r="N191" s="296"/>
      <c r="O191" s="273"/>
      <c r="P191" s="27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c r="AP191" s="254"/>
      <c r="AQ191" s="254"/>
      <c r="AR191" s="254"/>
      <c r="AS191" s="254"/>
      <c r="AT191" s="254"/>
      <c r="AU191" s="273"/>
      <c r="AV191" s="273"/>
    </row>
    <row r="192" spans="1:48">
      <c r="A192" s="146"/>
      <c r="B192" s="205"/>
      <c r="C192" s="205"/>
      <c r="D192" s="205"/>
      <c r="E192" s="205"/>
      <c r="F192" s="296"/>
      <c r="G192" s="296"/>
      <c r="H192" s="296"/>
      <c r="I192" s="296"/>
      <c r="J192" s="296"/>
      <c r="K192" s="296"/>
      <c r="L192" s="296"/>
      <c r="M192" s="296"/>
      <c r="N192" s="296"/>
      <c r="O192" s="273"/>
      <c r="P192" s="27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c r="AP192" s="254"/>
      <c r="AQ192" s="254"/>
      <c r="AR192" s="254"/>
      <c r="AS192" s="254"/>
      <c r="AT192" s="254"/>
      <c r="AU192" s="273"/>
      <c r="AV192" s="273"/>
    </row>
    <row r="193" spans="1:48">
      <c r="A193" s="146"/>
      <c r="B193" s="205"/>
      <c r="C193" s="205"/>
      <c r="D193" s="205"/>
      <c r="E193" s="205"/>
      <c r="F193" s="296"/>
      <c r="G193" s="296"/>
      <c r="H193" s="296"/>
      <c r="I193" s="296"/>
      <c r="J193" s="296"/>
      <c r="K193" s="296"/>
      <c r="L193" s="296"/>
      <c r="M193" s="296"/>
      <c r="N193" s="296"/>
      <c r="O193" s="273"/>
      <c r="P193" s="27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254"/>
      <c r="AU193" s="273"/>
      <c r="AV193" s="273"/>
    </row>
    <row r="194" spans="1:48">
      <c r="A194" s="146"/>
      <c r="B194" s="205"/>
      <c r="C194" s="205"/>
      <c r="D194" s="205"/>
      <c r="E194" s="205"/>
      <c r="F194" s="296"/>
      <c r="G194" s="296"/>
      <c r="H194" s="296"/>
      <c r="I194" s="296"/>
      <c r="J194" s="296"/>
      <c r="K194" s="296"/>
      <c r="L194" s="296"/>
      <c r="M194" s="296"/>
      <c r="N194" s="296"/>
      <c r="O194" s="273"/>
      <c r="P194" s="27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254"/>
      <c r="AU194" s="273"/>
      <c r="AV194" s="273"/>
    </row>
    <row r="195" spans="1:48">
      <c r="A195" s="146"/>
      <c r="B195" s="205"/>
      <c r="C195" s="205"/>
      <c r="D195" s="205"/>
      <c r="E195" s="205"/>
      <c r="F195" s="296"/>
      <c r="G195" s="296"/>
      <c r="H195" s="296"/>
      <c r="I195" s="296"/>
      <c r="J195" s="296"/>
      <c r="K195" s="296"/>
      <c r="L195" s="296"/>
      <c r="M195" s="296"/>
      <c r="N195" s="296"/>
      <c r="O195" s="273"/>
      <c r="P195" s="27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c r="AP195" s="254"/>
      <c r="AQ195" s="254"/>
      <c r="AR195" s="254"/>
      <c r="AS195" s="254"/>
      <c r="AT195" s="254"/>
      <c r="AU195" s="273"/>
      <c r="AV195" s="273"/>
    </row>
    <row r="196" spans="1:48">
      <c r="A196" s="146"/>
      <c r="B196" s="205"/>
      <c r="C196" s="205"/>
      <c r="D196" s="205"/>
      <c r="E196" s="205"/>
      <c r="F196" s="296"/>
      <c r="G196" s="296"/>
      <c r="H196" s="296"/>
      <c r="I196" s="296"/>
      <c r="J196" s="296"/>
      <c r="K196" s="296"/>
      <c r="L196" s="296"/>
      <c r="M196" s="296"/>
      <c r="N196" s="296"/>
      <c r="O196" s="273"/>
      <c r="P196" s="27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254"/>
      <c r="AU196" s="273"/>
      <c r="AV196" s="273"/>
    </row>
    <row r="197" spans="1:48">
      <c r="A197" s="146"/>
      <c r="B197" s="205"/>
      <c r="C197" s="205"/>
      <c r="D197" s="205"/>
      <c r="E197" s="205"/>
      <c r="F197" s="296"/>
      <c r="G197" s="296"/>
      <c r="H197" s="296"/>
      <c r="I197" s="296"/>
      <c r="J197" s="296"/>
      <c r="K197" s="296"/>
      <c r="L197" s="296"/>
      <c r="M197" s="296"/>
      <c r="N197" s="296"/>
      <c r="O197" s="273"/>
      <c r="P197" s="27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c r="AP197" s="254"/>
      <c r="AQ197" s="254"/>
      <c r="AR197" s="254"/>
      <c r="AS197" s="254"/>
      <c r="AT197" s="254"/>
      <c r="AU197" s="273"/>
      <c r="AV197" s="273"/>
    </row>
    <row r="198" spans="1:48">
      <c r="A198" s="146"/>
      <c r="B198" s="205"/>
      <c r="C198" s="205"/>
      <c r="D198" s="205"/>
      <c r="E198" s="205"/>
      <c r="F198" s="296"/>
      <c r="G198" s="296"/>
      <c r="H198" s="296"/>
      <c r="I198" s="296"/>
      <c r="J198" s="296"/>
      <c r="K198" s="296"/>
      <c r="L198" s="296"/>
      <c r="M198" s="296"/>
      <c r="N198" s="296"/>
      <c r="O198" s="273"/>
      <c r="P198" s="27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c r="AP198" s="254"/>
      <c r="AQ198" s="254"/>
      <c r="AR198" s="254"/>
      <c r="AS198" s="254"/>
      <c r="AT198" s="254"/>
      <c r="AU198" s="273"/>
      <c r="AV198" s="273"/>
    </row>
    <row r="199" spans="1:48">
      <c r="A199" s="146"/>
      <c r="B199" s="205"/>
      <c r="C199" s="205"/>
      <c r="D199" s="205"/>
      <c r="E199" s="205"/>
      <c r="F199" s="296"/>
      <c r="G199" s="296"/>
      <c r="H199" s="296"/>
      <c r="I199" s="296"/>
      <c r="J199" s="296"/>
      <c r="K199" s="296"/>
      <c r="L199" s="296"/>
      <c r="M199" s="296"/>
      <c r="N199" s="296"/>
      <c r="O199" s="273"/>
      <c r="P199" s="27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c r="AP199" s="254"/>
      <c r="AQ199" s="254"/>
      <c r="AR199" s="254"/>
      <c r="AS199" s="254"/>
      <c r="AT199" s="254"/>
      <c r="AU199" s="273"/>
      <c r="AV199" s="273"/>
    </row>
    <row r="200" spans="1:48">
      <c r="A200" s="146"/>
      <c r="B200" s="205"/>
      <c r="C200" s="205"/>
      <c r="D200" s="205"/>
      <c r="E200" s="205"/>
      <c r="F200" s="296"/>
      <c r="G200" s="296"/>
      <c r="H200" s="296"/>
      <c r="I200" s="296"/>
      <c r="J200" s="296"/>
      <c r="K200" s="296"/>
      <c r="L200" s="296"/>
      <c r="M200" s="296"/>
      <c r="N200" s="296"/>
      <c r="O200" s="273"/>
      <c r="P200" s="27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254"/>
      <c r="AT200" s="254"/>
      <c r="AU200" s="273"/>
      <c r="AV200" s="273"/>
    </row>
    <row r="201" spans="1:48">
      <c r="A201" s="146"/>
      <c r="B201" s="205"/>
      <c r="C201" s="205"/>
      <c r="D201" s="205"/>
      <c r="E201" s="205"/>
      <c r="F201" s="296"/>
      <c r="G201" s="296"/>
      <c r="H201" s="296"/>
      <c r="I201" s="296"/>
      <c r="J201" s="296"/>
      <c r="K201" s="296"/>
      <c r="L201" s="296"/>
      <c r="M201" s="296"/>
      <c r="N201" s="296"/>
      <c r="O201" s="273"/>
      <c r="P201" s="27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c r="AP201" s="254"/>
      <c r="AQ201" s="254"/>
      <c r="AR201" s="254"/>
      <c r="AS201" s="254"/>
      <c r="AT201" s="254"/>
      <c r="AU201" s="273"/>
      <c r="AV201" s="273"/>
    </row>
    <row r="202" spans="1:48">
      <c r="A202" s="146"/>
      <c r="B202" s="205"/>
      <c r="C202" s="205"/>
      <c r="D202" s="205"/>
      <c r="E202" s="205"/>
      <c r="F202" s="296"/>
      <c r="G202" s="296"/>
      <c r="H202" s="296"/>
      <c r="I202" s="296"/>
      <c r="J202" s="296"/>
      <c r="K202" s="296"/>
      <c r="L202" s="296"/>
      <c r="M202" s="296"/>
      <c r="N202" s="296"/>
      <c r="O202" s="273"/>
      <c r="P202" s="27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254"/>
      <c r="AU202" s="273"/>
      <c r="AV202" s="273"/>
    </row>
    <row r="203" spans="1:48">
      <c r="A203" s="146"/>
      <c r="B203" s="205"/>
      <c r="C203" s="205"/>
      <c r="D203" s="205"/>
      <c r="E203" s="205"/>
      <c r="F203" s="296"/>
      <c r="G203" s="296"/>
      <c r="H203" s="296"/>
      <c r="I203" s="296"/>
      <c r="J203" s="296"/>
      <c r="K203" s="296"/>
      <c r="L203" s="296"/>
      <c r="M203" s="296"/>
      <c r="N203" s="296"/>
      <c r="O203" s="273"/>
      <c r="P203" s="27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254"/>
      <c r="AU203" s="273"/>
      <c r="AV203" s="273"/>
    </row>
    <row r="204" spans="1:48">
      <c r="A204" s="146"/>
      <c r="B204" s="205"/>
      <c r="C204" s="205"/>
      <c r="D204" s="205"/>
      <c r="E204" s="205"/>
      <c r="F204" s="296"/>
      <c r="G204" s="296"/>
      <c r="H204" s="296"/>
      <c r="I204" s="296"/>
      <c r="J204" s="296"/>
      <c r="K204" s="296"/>
      <c r="L204" s="296"/>
      <c r="M204" s="296"/>
      <c r="N204" s="296"/>
      <c r="O204" s="273"/>
      <c r="P204" s="27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254"/>
      <c r="AU204" s="273"/>
      <c r="AV204" s="273"/>
    </row>
    <row r="205" spans="1:48">
      <c r="A205" s="146"/>
      <c r="B205" s="205"/>
      <c r="C205" s="205"/>
      <c r="D205" s="205"/>
      <c r="E205" s="205"/>
      <c r="F205" s="296"/>
      <c r="G205" s="296"/>
      <c r="H205" s="296"/>
      <c r="I205" s="296"/>
      <c r="J205" s="296"/>
      <c r="K205" s="296"/>
      <c r="L205" s="296"/>
      <c r="M205" s="296"/>
      <c r="N205" s="296"/>
      <c r="O205" s="273"/>
      <c r="P205" s="27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254"/>
      <c r="AU205" s="273"/>
      <c r="AV205" s="273"/>
    </row>
    <row r="206" spans="1:48">
      <c r="A206" s="146"/>
      <c r="B206" s="205"/>
      <c r="C206" s="205"/>
      <c r="D206" s="205"/>
      <c r="E206" s="205"/>
      <c r="F206" s="296"/>
      <c r="G206" s="296"/>
      <c r="H206" s="296"/>
      <c r="I206" s="296"/>
      <c r="J206" s="296"/>
      <c r="K206" s="296"/>
      <c r="L206" s="296"/>
      <c r="M206" s="296"/>
      <c r="N206" s="296"/>
      <c r="O206" s="273"/>
      <c r="P206" s="27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73"/>
      <c r="AV206" s="273"/>
    </row>
    <row r="207" spans="1:48">
      <c r="A207" s="146"/>
      <c r="B207" s="205"/>
      <c r="C207" s="205"/>
      <c r="D207" s="205"/>
      <c r="E207" s="205"/>
      <c r="F207" s="296"/>
      <c r="G207" s="296"/>
      <c r="H207" s="296"/>
      <c r="I207" s="296"/>
      <c r="J207" s="296"/>
      <c r="K207" s="296"/>
      <c r="L207" s="296"/>
      <c r="M207" s="296"/>
      <c r="N207" s="296"/>
      <c r="O207" s="273"/>
      <c r="P207" s="27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c r="AP207" s="254"/>
      <c r="AQ207" s="254"/>
      <c r="AR207" s="254"/>
      <c r="AS207" s="254"/>
      <c r="AT207" s="254"/>
      <c r="AU207" s="273"/>
      <c r="AV207" s="273"/>
    </row>
    <row r="208" spans="1:48">
      <c r="A208" s="146"/>
      <c r="B208" s="205"/>
      <c r="C208" s="205"/>
      <c r="D208" s="205"/>
      <c r="E208" s="205"/>
      <c r="F208" s="296"/>
      <c r="G208" s="296"/>
      <c r="H208" s="296"/>
      <c r="I208" s="296"/>
      <c r="J208" s="296"/>
      <c r="K208" s="296"/>
      <c r="L208" s="296"/>
      <c r="M208" s="296"/>
      <c r="N208" s="296"/>
      <c r="O208" s="273"/>
      <c r="P208" s="27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54"/>
      <c r="AU208" s="273"/>
      <c r="AV208" s="273"/>
    </row>
    <row r="209" spans="1:48">
      <c r="A209" s="146"/>
      <c r="B209" s="205"/>
      <c r="C209" s="205"/>
      <c r="D209" s="205"/>
      <c r="E209" s="205"/>
      <c r="F209" s="296"/>
      <c r="G209" s="296"/>
      <c r="H209" s="296"/>
      <c r="I209" s="296"/>
      <c r="J209" s="296"/>
      <c r="K209" s="296"/>
      <c r="L209" s="296"/>
      <c r="M209" s="296"/>
      <c r="N209" s="296"/>
      <c r="O209" s="273"/>
      <c r="P209" s="27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c r="AP209" s="254"/>
      <c r="AQ209" s="254"/>
      <c r="AR209" s="254"/>
      <c r="AS209" s="254"/>
      <c r="AT209" s="254"/>
      <c r="AU209" s="273"/>
      <c r="AV209" s="273"/>
    </row>
    <row r="210" spans="1:48">
      <c r="A210" s="146"/>
      <c r="B210" s="205"/>
      <c r="C210" s="205"/>
      <c r="D210" s="205"/>
      <c r="E210" s="205"/>
      <c r="F210" s="296"/>
      <c r="G210" s="296"/>
      <c r="H210" s="296"/>
      <c r="I210" s="296"/>
      <c r="J210" s="296"/>
      <c r="K210" s="296"/>
      <c r="L210" s="296"/>
      <c r="M210" s="296"/>
      <c r="N210" s="296"/>
      <c r="O210" s="273"/>
      <c r="P210" s="27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54"/>
      <c r="AU210" s="273"/>
      <c r="AV210" s="273"/>
    </row>
    <row r="211" spans="1:48">
      <c r="A211" s="146"/>
      <c r="B211" s="205"/>
      <c r="C211" s="205"/>
      <c r="D211" s="205"/>
      <c r="E211" s="205"/>
      <c r="F211" s="296"/>
      <c r="G211" s="296"/>
      <c r="H211" s="296"/>
      <c r="I211" s="296"/>
      <c r="J211" s="296"/>
      <c r="K211" s="296"/>
      <c r="L211" s="296"/>
      <c r="M211" s="296"/>
      <c r="N211" s="296"/>
      <c r="O211" s="273"/>
      <c r="P211" s="27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54"/>
      <c r="AU211" s="273"/>
      <c r="AV211" s="273"/>
    </row>
    <row r="212" spans="1:48">
      <c r="A212" s="146"/>
      <c r="B212" s="205"/>
      <c r="C212" s="205"/>
      <c r="D212" s="205"/>
      <c r="E212" s="205"/>
      <c r="F212" s="296"/>
      <c r="G212" s="296"/>
      <c r="H212" s="296"/>
      <c r="I212" s="296"/>
      <c r="J212" s="296"/>
      <c r="K212" s="296"/>
      <c r="L212" s="296"/>
      <c r="M212" s="296"/>
      <c r="N212" s="296"/>
      <c r="O212" s="273"/>
      <c r="P212" s="27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54"/>
      <c r="AU212" s="273"/>
      <c r="AV212" s="273"/>
    </row>
    <row r="213" spans="1:48">
      <c r="A213" s="146"/>
      <c r="B213" s="205"/>
      <c r="C213" s="205"/>
      <c r="D213" s="205"/>
      <c r="E213" s="205"/>
      <c r="F213" s="296"/>
      <c r="G213" s="296"/>
      <c r="H213" s="296"/>
      <c r="I213" s="296"/>
      <c r="J213" s="296"/>
      <c r="K213" s="296"/>
      <c r="L213" s="296"/>
      <c r="M213" s="296"/>
      <c r="N213" s="296"/>
      <c r="O213" s="273"/>
      <c r="P213" s="27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54"/>
      <c r="AU213" s="273"/>
      <c r="AV213" s="273"/>
    </row>
    <row r="214" spans="1:48">
      <c r="A214" s="146"/>
      <c r="B214" s="205"/>
      <c r="C214" s="205"/>
      <c r="D214" s="205"/>
      <c r="E214" s="205"/>
      <c r="F214" s="296"/>
      <c r="G214" s="296"/>
      <c r="H214" s="296"/>
      <c r="I214" s="296"/>
      <c r="J214" s="296"/>
      <c r="K214" s="296"/>
      <c r="L214" s="296"/>
      <c r="M214" s="296"/>
      <c r="N214" s="296"/>
      <c r="O214" s="273"/>
      <c r="P214" s="27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254"/>
      <c r="AU214" s="273"/>
      <c r="AV214" s="273"/>
    </row>
    <row r="215" spans="1:48">
      <c r="A215" s="146"/>
      <c r="B215" s="205"/>
      <c r="C215" s="205"/>
      <c r="D215" s="205"/>
      <c r="E215" s="205"/>
      <c r="F215" s="296"/>
      <c r="G215" s="296"/>
      <c r="H215" s="296"/>
      <c r="I215" s="296"/>
      <c r="J215" s="296"/>
      <c r="K215" s="296"/>
      <c r="L215" s="296"/>
      <c r="M215" s="296"/>
      <c r="N215" s="296"/>
      <c r="O215" s="273"/>
      <c r="P215" s="27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254"/>
      <c r="AU215" s="273"/>
      <c r="AV215" s="273"/>
    </row>
    <row r="216" spans="1:48">
      <c r="A216" s="146"/>
      <c r="B216" s="205"/>
      <c r="C216" s="205"/>
      <c r="D216" s="205"/>
      <c r="E216" s="205"/>
      <c r="F216" s="296"/>
      <c r="G216" s="296"/>
      <c r="H216" s="296"/>
      <c r="I216" s="296"/>
      <c r="J216" s="296"/>
      <c r="K216" s="296"/>
      <c r="L216" s="296"/>
      <c r="M216" s="296"/>
      <c r="N216" s="296"/>
      <c r="O216" s="273"/>
      <c r="P216" s="27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54"/>
      <c r="AU216" s="273"/>
      <c r="AV216" s="273"/>
    </row>
    <row r="217" spans="1:48">
      <c r="A217" s="146"/>
      <c r="B217" s="205"/>
      <c r="C217" s="205"/>
      <c r="D217" s="205"/>
      <c r="E217" s="205"/>
      <c r="F217" s="296"/>
      <c r="G217" s="296"/>
      <c r="H217" s="296"/>
      <c r="I217" s="296"/>
      <c r="J217" s="296"/>
      <c r="K217" s="296"/>
      <c r="L217" s="296"/>
      <c r="M217" s="296"/>
      <c r="N217" s="296"/>
      <c r="O217" s="273"/>
      <c r="P217" s="27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254"/>
      <c r="AU217" s="273"/>
      <c r="AV217" s="273"/>
    </row>
    <row r="218" spans="1:48">
      <c r="A218" s="146"/>
      <c r="B218" s="205"/>
      <c r="C218" s="205"/>
      <c r="D218" s="205"/>
      <c r="E218" s="205"/>
      <c r="F218" s="296"/>
      <c r="G218" s="296"/>
      <c r="H218" s="296"/>
      <c r="I218" s="296"/>
      <c r="J218" s="296"/>
      <c r="K218" s="296"/>
      <c r="L218" s="296"/>
      <c r="M218" s="296"/>
      <c r="N218" s="296"/>
      <c r="O218" s="273"/>
      <c r="P218" s="27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c r="AP218" s="254"/>
      <c r="AQ218" s="254"/>
      <c r="AR218" s="254"/>
      <c r="AS218" s="254"/>
      <c r="AT218" s="254"/>
      <c r="AU218" s="273"/>
      <c r="AV218" s="273"/>
    </row>
    <row r="219" spans="1:48">
      <c r="A219" s="146"/>
      <c r="B219" s="205"/>
      <c r="C219" s="205"/>
      <c r="D219" s="205"/>
      <c r="E219" s="205"/>
      <c r="F219" s="296"/>
      <c r="G219" s="296"/>
      <c r="H219" s="296"/>
      <c r="I219" s="296"/>
      <c r="J219" s="296"/>
      <c r="K219" s="296"/>
      <c r="L219" s="296"/>
      <c r="M219" s="296"/>
      <c r="N219" s="296"/>
      <c r="O219" s="273"/>
      <c r="P219" s="27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54"/>
      <c r="AU219" s="273"/>
      <c r="AV219" s="273"/>
    </row>
    <row r="220" spans="1:48">
      <c r="A220" s="146"/>
      <c r="B220" s="205"/>
      <c r="C220" s="205"/>
      <c r="D220" s="205"/>
      <c r="E220" s="205"/>
      <c r="F220" s="296"/>
      <c r="G220" s="296"/>
      <c r="H220" s="296"/>
      <c r="I220" s="296"/>
      <c r="J220" s="296"/>
      <c r="K220" s="296"/>
      <c r="L220" s="296"/>
      <c r="M220" s="296"/>
      <c r="N220" s="296"/>
      <c r="O220" s="273"/>
      <c r="P220" s="27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c r="AP220" s="254"/>
      <c r="AQ220" s="254"/>
      <c r="AR220" s="254"/>
      <c r="AS220" s="254"/>
      <c r="AT220" s="254"/>
      <c r="AU220" s="273"/>
      <c r="AV220" s="273"/>
    </row>
    <row r="221" spans="1:48">
      <c r="A221" s="146"/>
      <c r="B221" s="205"/>
      <c r="C221" s="205"/>
      <c r="D221" s="205"/>
      <c r="E221" s="205"/>
      <c r="F221" s="296"/>
      <c r="G221" s="296"/>
      <c r="H221" s="296"/>
      <c r="I221" s="296"/>
      <c r="J221" s="296"/>
      <c r="K221" s="296"/>
      <c r="L221" s="296"/>
      <c r="M221" s="296"/>
      <c r="N221" s="296"/>
      <c r="O221" s="273"/>
      <c r="P221" s="27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c r="AP221" s="254"/>
      <c r="AQ221" s="254"/>
      <c r="AR221" s="254"/>
      <c r="AS221" s="254"/>
      <c r="AT221" s="254"/>
      <c r="AU221" s="273"/>
      <c r="AV221" s="273"/>
    </row>
    <row r="222" spans="1:48">
      <c r="A222" s="146"/>
      <c r="B222" s="205"/>
      <c r="C222" s="205"/>
      <c r="D222" s="205"/>
      <c r="E222" s="205"/>
      <c r="F222" s="296"/>
      <c r="G222" s="296"/>
      <c r="H222" s="296"/>
      <c r="I222" s="296"/>
      <c r="J222" s="296"/>
      <c r="K222" s="296"/>
      <c r="L222" s="296"/>
      <c r="M222" s="296"/>
      <c r="N222" s="296"/>
      <c r="O222" s="273"/>
      <c r="P222" s="27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c r="AP222" s="254"/>
      <c r="AQ222" s="254"/>
      <c r="AR222" s="254"/>
      <c r="AS222" s="254"/>
      <c r="AT222" s="254"/>
      <c r="AU222" s="273"/>
      <c r="AV222" s="273"/>
    </row>
    <row r="223" spans="1:48">
      <c r="A223" s="146"/>
      <c r="B223" s="205"/>
      <c r="C223" s="205"/>
      <c r="D223" s="205"/>
      <c r="E223" s="205"/>
      <c r="F223" s="296"/>
      <c r="G223" s="296"/>
      <c r="H223" s="296"/>
      <c r="I223" s="296"/>
      <c r="J223" s="296"/>
      <c r="K223" s="296"/>
      <c r="L223" s="296"/>
      <c r="M223" s="296"/>
      <c r="N223" s="296"/>
      <c r="O223" s="273"/>
      <c r="P223" s="27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c r="AP223" s="254"/>
      <c r="AQ223" s="254"/>
      <c r="AR223" s="254"/>
      <c r="AS223" s="254"/>
      <c r="AT223" s="254"/>
      <c r="AU223" s="273"/>
      <c r="AV223" s="273"/>
    </row>
    <row r="224" spans="1:48">
      <c r="A224" s="146"/>
      <c r="B224" s="205"/>
      <c r="C224" s="205"/>
      <c r="D224" s="205"/>
      <c r="E224" s="205"/>
      <c r="F224" s="296"/>
      <c r="G224" s="296"/>
      <c r="H224" s="296"/>
      <c r="I224" s="296"/>
      <c r="J224" s="296"/>
      <c r="K224" s="296"/>
      <c r="L224" s="296"/>
      <c r="M224" s="296"/>
      <c r="N224" s="296"/>
      <c r="O224" s="273"/>
      <c r="P224" s="27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c r="AP224" s="254"/>
      <c r="AQ224" s="254"/>
      <c r="AR224" s="254"/>
      <c r="AS224" s="254"/>
      <c r="AT224" s="254"/>
      <c r="AU224" s="273"/>
      <c r="AV224" s="273"/>
    </row>
    <row r="225" spans="1:48">
      <c r="A225" s="146"/>
      <c r="B225" s="205"/>
      <c r="C225" s="205"/>
      <c r="D225" s="205"/>
      <c r="E225" s="205"/>
      <c r="F225" s="296"/>
      <c r="G225" s="296"/>
      <c r="H225" s="296"/>
      <c r="I225" s="296"/>
      <c r="J225" s="296"/>
      <c r="K225" s="296"/>
      <c r="L225" s="296"/>
      <c r="M225" s="296"/>
      <c r="N225" s="296"/>
      <c r="O225" s="273"/>
      <c r="P225" s="27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c r="AP225" s="254"/>
      <c r="AQ225" s="254"/>
      <c r="AR225" s="254"/>
      <c r="AS225" s="254"/>
      <c r="AT225" s="254"/>
      <c r="AU225" s="273"/>
      <c r="AV225" s="273"/>
    </row>
    <row r="226" spans="1:48">
      <c r="A226" s="146"/>
      <c r="B226" s="205"/>
      <c r="C226" s="205"/>
      <c r="D226" s="205"/>
      <c r="E226" s="205"/>
      <c r="F226" s="296"/>
      <c r="G226" s="296"/>
      <c r="H226" s="296"/>
      <c r="I226" s="296"/>
      <c r="J226" s="296"/>
      <c r="K226" s="296"/>
      <c r="L226" s="296"/>
      <c r="M226" s="296"/>
      <c r="N226" s="296"/>
      <c r="O226" s="273"/>
      <c r="P226" s="27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c r="AP226" s="254"/>
      <c r="AQ226" s="254"/>
      <c r="AR226" s="254"/>
      <c r="AS226" s="254"/>
      <c r="AT226" s="254"/>
      <c r="AU226" s="273"/>
      <c r="AV226" s="273"/>
    </row>
    <row r="227" spans="1:48">
      <c r="A227" s="146"/>
      <c r="B227" s="205"/>
      <c r="C227" s="205"/>
      <c r="D227" s="205"/>
      <c r="E227" s="205"/>
      <c r="F227" s="296"/>
      <c r="G227" s="296"/>
      <c r="H227" s="296"/>
      <c r="I227" s="296"/>
      <c r="J227" s="296"/>
      <c r="K227" s="296"/>
      <c r="L227" s="296"/>
      <c r="M227" s="296"/>
      <c r="N227" s="296"/>
      <c r="O227" s="273"/>
      <c r="P227" s="27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c r="AP227" s="254"/>
      <c r="AQ227" s="254"/>
      <c r="AR227" s="254"/>
      <c r="AS227" s="254"/>
      <c r="AT227" s="254"/>
      <c r="AU227" s="273"/>
      <c r="AV227" s="273"/>
    </row>
    <row r="228" spans="1:48">
      <c r="A228" s="146"/>
      <c r="B228" s="205"/>
      <c r="C228" s="205"/>
      <c r="D228" s="205"/>
      <c r="E228" s="205"/>
      <c r="F228" s="296"/>
      <c r="G228" s="296"/>
      <c r="H228" s="296"/>
      <c r="I228" s="296"/>
      <c r="J228" s="296"/>
      <c r="K228" s="296"/>
      <c r="L228" s="296"/>
      <c r="M228" s="296"/>
      <c r="N228" s="296"/>
      <c r="O228" s="273"/>
      <c r="P228" s="27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c r="AP228" s="254"/>
      <c r="AQ228" s="254"/>
      <c r="AR228" s="254"/>
      <c r="AS228" s="254"/>
      <c r="AT228" s="254"/>
      <c r="AU228" s="273"/>
      <c r="AV228" s="273"/>
    </row>
    <row r="229" spans="1:48">
      <c r="A229" s="146"/>
      <c r="B229" s="205"/>
      <c r="C229" s="205"/>
      <c r="D229" s="205"/>
      <c r="E229" s="205"/>
      <c r="F229" s="296"/>
      <c r="G229" s="296"/>
      <c r="H229" s="296"/>
      <c r="I229" s="296"/>
      <c r="J229" s="296"/>
      <c r="K229" s="296"/>
      <c r="L229" s="296"/>
      <c r="M229" s="296"/>
      <c r="N229" s="296"/>
      <c r="O229" s="273"/>
      <c r="P229" s="27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c r="AP229" s="254"/>
      <c r="AQ229" s="254"/>
      <c r="AR229" s="254"/>
      <c r="AS229" s="254"/>
      <c r="AT229" s="254"/>
      <c r="AU229" s="273"/>
      <c r="AV229" s="273"/>
    </row>
    <row r="230" spans="1:48">
      <c r="A230" s="146"/>
      <c r="B230" s="205"/>
      <c r="C230" s="205"/>
      <c r="D230" s="205"/>
      <c r="E230" s="205"/>
      <c r="F230" s="296"/>
      <c r="G230" s="296"/>
      <c r="H230" s="296"/>
      <c r="I230" s="296"/>
      <c r="J230" s="296"/>
      <c r="K230" s="296"/>
      <c r="L230" s="296"/>
      <c r="M230" s="296"/>
      <c r="N230" s="296"/>
      <c r="O230" s="273"/>
      <c r="P230" s="27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c r="AP230" s="254"/>
      <c r="AQ230" s="254"/>
      <c r="AR230" s="254"/>
      <c r="AS230" s="254"/>
      <c r="AT230" s="254"/>
      <c r="AU230" s="273"/>
      <c r="AV230" s="273"/>
    </row>
    <row r="231" spans="1:48">
      <c r="A231" s="146"/>
      <c r="B231" s="205"/>
      <c r="C231" s="205"/>
      <c r="D231" s="205"/>
      <c r="E231" s="205"/>
      <c r="F231" s="296"/>
      <c r="G231" s="296"/>
      <c r="H231" s="296"/>
      <c r="I231" s="296"/>
      <c r="J231" s="296"/>
      <c r="K231" s="296"/>
      <c r="L231" s="296"/>
      <c r="M231" s="296"/>
      <c r="N231" s="296"/>
      <c r="O231" s="273"/>
      <c r="P231" s="27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c r="AP231" s="254"/>
      <c r="AQ231" s="254"/>
      <c r="AR231" s="254"/>
      <c r="AS231" s="254"/>
      <c r="AT231" s="254"/>
      <c r="AU231" s="273"/>
      <c r="AV231" s="273"/>
    </row>
    <row r="232" spans="1:48">
      <c r="A232" s="146"/>
      <c r="B232" s="205"/>
      <c r="C232" s="205"/>
      <c r="D232" s="205"/>
      <c r="E232" s="205"/>
      <c r="F232" s="296"/>
      <c r="G232" s="296"/>
      <c r="H232" s="296"/>
      <c r="I232" s="296"/>
      <c r="J232" s="296"/>
      <c r="K232" s="296"/>
      <c r="L232" s="296"/>
      <c r="M232" s="296"/>
      <c r="N232" s="296"/>
      <c r="O232" s="273"/>
      <c r="P232" s="27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c r="AP232" s="254"/>
      <c r="AQ232" s="254"/>
      <c r="AR232" s="254"/>
      <c r="AS232" s="254"/>
      <c r="AT232" s="254"/>
      <c r="AU232" s="273"/>
      <c r="AV232" s="273"/>
    </row>
    <row r="233" spans="1:48">
      <c r="A233" s="146"/>
      <c r="B233" s="205"/>
      <c r="C233" s="205"/>
      <c r="D233" s="205"/>
      <c r="E233" s="205"/>
      <c r="F233" s="296"/>
      <c r="G233" s="296"/>
      <c r="H233" s="296"/>
      <c r="I233" s="296"/>
      <c r="J233" s="296"/>
      <c r="K233" s="296"/>
      <c r="L233" s="296"/>
      <c r="M233" s="296"/>
      <c r="N233" s="296"/>
      <c r="O233" s="273"/>
      <c r="P233" s="27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c r="AP233" s="254"/>
      <c r="AQ233" s="254"/>
      <c r="AR233" s="254"/>
      <c r="AS233" s="254"/>
      <c r="AT233" s="254"/>
      <c r="AU233" s="273"/>
      <c r="AV233" s="273"/>
    </row>
    <row r="234" spans="1:48">
      <c r="A234" s="146"/>
      <c r="B234" s="205"/>
      <c r="C234" s="205"/>
      <c r="D234" s="205"/>
      <c r="E234" s="205"/>
      <c r="F234" s="296"/>
      <c r="G234" s="296"/>
      <c r="H234" s="296"/>
      <c r="I234" s="296"/>
      <c r="J234" s="296"/>
      <c r="K234" s="296"/>
      <c r="L234" s="296"/>
      <c r="M234" s="296"/>
      <c r="N234" s="296"/>
      <c r="O234" s="273"/>
      <c r="P234" s="27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c r="AP234" s="254"/>
      <c r="AQ234" s="254"/>
      <c r="AR234" s="254"/>
      <c r="AS234" s="254"/>
      <c r="AT234" s="254"/>
      <c r="AU234" s="273"/>
      <c r="AV234" s="273"/>
    </row>
    <row r="235" spans="1:48">
      <c r="A235" s="146"/>
      <c r="B235" s="205"/>
      <c r="C235" s="205"/>
      <c r="D235" s="205"/>
      <c r="E235" s="205"/>
      <c r="F235" s="296"/>
      <c r="G235" s="296"/>
      <c r="H235" s="296"/>
      <c r="I235" s="296"/>
      <c r="J235" s="296"/>
      <c r="K235" s="296"/>
      <c r="L235" s="296"/>
      <c r="M235" s="296"/>
      <c r="N235" s="296"/>
      <c r="O235" s="273"/>
      <c r="P235" s="27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c r="AP235" s="254"/>
      <c r="AQ235" s="254"/>
      <c r="AR235" s="254"/>
      <c r="AS235" s="254"/>
      <c r="AT235" s="254"/>
      <c r="AU235" s="273"/>
      <c r="AV235" s="273"/>
    </row>
    <row r="236" spans="1:48">
      <c r="A236" s="146"/>
      <c r="B236" s="205"/>
      <c r="C236" s="205"/>
      <c r="D236" s="205"/>
      <c r="E236" s="205"/>
      <c r="F236" s="296"/>
      <c r="G236" s="296"/>
      <c r="H236" s="296"/>
      <c r="I236" s="296"/>
      <c r="J236" s="296"/>
      <c r="K236" s="296"/>
      <c r="L236" s="296"/>
      <c r="M236" s="296"/>
      <c r="N236" s="296"/>
      <c r="O236" s="273"/>
      <c r="P236" s="27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c r="AP236" s="254"/>
      <c r="AQ236" s="254"/>
      <c r="AR236" s="254"/>
      <c r="AS236" s="254"/>
      <c r="AT236" s="254"/>
      <c r="AU236" s="273"/>
      <c r="AV236" s="273"/>
    </row>
    <row r="237" spans="1:48">
      <c r="A237" s="146"/>
      <c r="B237" s="205"/>
      <c r="C237" s="205"/>
      <c r="D237" s="205"/>
      <c r="E237" s="205"/>
      <c r="F237" s="296"/>
      <c r="G237" s="296"/>
      <c r="H237" s="296"/>
      <c r="I237" s="296"/>
      <c r="J237" s="296"/>
      <c r="K237" s="296"/>
      <c r="L237" s="296"/>
      <c r="M237" s="296"/>
      <c r="N237" s="296"/>
      <c r="O237" s="273"/>
      <c r="P237" s="27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c r="AP237" s="254"/>
      <c r="AQ237" s="254"/>
      <c r="AR237" s="254"/>
      <c r="AS237" s="254"/>
      <c r="AT237" s="254"/>
      <c r="AU237" s="273"/>
      <c r="AV237" s="273"/>
    </row>
    <row r="238" spans="1:48">
      <c r="A238" s="146"/>
      <c r="B238" s="205"/>
      <c r="C238" s="205"/>
      <c r="D238" s="205"/>
      <c r="E238" s="205"/>
      <c r="F238" s="296"/>
      <c r="G238" s="296"/>
      <c r="H238" s="296"/>
      <c r="I238" s="296"/>
      <c r="J238" s="296"/>
      <c r="K238" s="296"/>
      <c r="L238" s="296"/>
      <c r="M238" s="296"/>
      <c r="N238" s="296"/>
      <c r="O238" s="273"/>
      <c r="P238" s="27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c r="AP238" s="254"/>
      <c r="AQ238" s="254"/>
      <c r="AR238" s="254"/>
      <c r="AS238" s="254"/>
      <c r="AT238" s="254"/>
      <c r="AU238" s="273"/>
      <c r="AV238" s="273"/>
    </row>
    <row r="239" spans="1:48">
      <c r="A239" s="146"/>
      <c r="B239" s="205"/>
      <c r="C239" s="205"/>
      <c r="D239" s="205"/>
      <c r="E239" s="205"/>
      <c r="F239" s="296"/>
      <c r="G239" s="296"/>
      <c r="H239" s="296"/>
      <c r="I239" s="296"/>
      <c r="J239" s="296"/>
      <c r="K239" s="296"/>
      <c r="L239" s="296"/>
      <c r="M239" s="296"/>
      <c r="N239" s="296"/>
      <c r="O239" s="273"/>
      <c r="P239" s="27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c r="AP239" s="254"/>
      <c r="AQ239" s="254"/>
      <c r="AR239" s="254"/>
      <c r="AS239" s="254"/>
      <c r="AT239" s="254"/>
      <c r="AU239" s="273"/>
      <c r="AV239" s="273"/>
    </row>
    <row r="240" spans="1:48">
      <c r="A240" s="146"/>
      <c r="B240" s="205"/>
      <c r="C240" s="205"/>
      <c r="D240" s="205"/>
      <c r="E240" s="205"/>
      <c r="F240" s="296"/>
      <c r="G240" s="296"/>
      <c r="H240" s="296"/>
      <c r="I240" s="296"/>
      <c r="J240" s="296"/>
      <c r="K240" s="296"/>
      <c r="L240" s="296"/>
      <c r="M240" s="296"/>
      <c r="N240" s="296"/>
      <c r="O240" s="273"/>
      <c r="P240" s="27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c r="AP240" s="254"/>
      <c r="AQ240" s="254"/>
      <c r="AR240" s="254"/>
      <c r="AS240" s="254"/>
      <c r="AT240" s="254"/>
      <c r="AU240" s="273"/>
      <c r="AV240" s="273"/>
    </row>
    <row r="241" spans="1:48">
      <c r="A241" s="146"/>
      <c r="B241" s="205"/>
      <c r="C241" s="205"/>
      <c r="D241" s="205"/>
      <c r="E241" s="205"/>
      <c r="F241" s="296"/>
      <c r="G241" s="296"/>
      <c r="H241" s="296"/>
      <c r="I241" s="296"/>
      <c r="J241" s="296"/>
      <c r="K241" s="296"/>
      <c r="L241" s="296"/>
      <c r="M241" s="296"/>
      <c r="N241" s="296"/>
      <c r="O241" s="273"/>
      <c r="P241" s="27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c r="AP241" s="254"/>
      <c r="AQ241" s="254"/>
      <c r="AR241" s="254"/>
      <c r="AS241" s="254"/>
      <c r="AT241" s="254"/>
      <c r="AU241" s="273"/>
      <c r="AV241" s="273"/>
    </row>
    <row r="242" spans="1:48">
      <c r="A242" s="146"/>
      <c r="B242" s="205"/>
      <c r="C242" s="205"/>
      <c r="D242" s="205"/>
      <c r="E242" s="205"/>
      <c r="F242" s="296"/>
      <c r="G242" s="296"/>
      <c r="H242" s="296"/>
      <c r="I242" s="296"/>
      <c r="J242" s="296"/>
      <c r="K242" s="296"/>
      <c r="L242" s="296"/>
      <c r="M242" s="296"/>
      <c r="N242" s="296"/>
      <c r="O242" s="273"/>
      <c r="P242" s="27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c r="AP242" s="254"/>
      <c r="AQ242" s="254"/>
      <c r="AR242" s="254"/>
      <c r="AS242" s="254"/>
      <c r="AT242" s="254"/>
      <c r="AU242" s="273"/>
      <c r="AV242" s="273"/>
    </row>
    <row r="243" spans="1:48">
      <c r="A243" s="146"/>
      <c r="B243" s="205"/>
      <c r="C243" s="205"/>
      <c r="D243" s="205"/>
      <c r="E243" s="205"/>
      <c r="F243" s="296"/>
      <c r="G243" s="296"/>
      <c r="H243" s="296"/>
      <c r="I243" s="296"/>
      <c r="J243" s="296"/>
      <c r="K243" s="296"/>
      <c r="L243" s="296"/>
      <c r="M243" s="296"/>
      <c r="N243" s="296"/>
      <c r="O243" s="273"/>
      <c r="P243" s="27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c r="AP243" s="254"/>
      <c r="AQ243" s="254"/>
      <c r="AR243" s="254"/>
      <c r="AS243" s="254"/>
      <c r="AT243" s="254"/>
      <c r="AU243" s="273"/>
      <c r="AV243" s="273"/>
    </row>
    <row r="244" spans="1:48">
      <c r="A244" s="146"/>
      <c r="B244" s="205"/>
      <c r="C244" s="205"/>
      <c r="D244" s="205"/>
      <c r="E244" s="205"/>
      <c r="F244" s="296"/>
      <c r="G244" s="296"/>
      <c r="H244" s="296"/>
      <c r="I244" s="296"/>
      <c r="J244" s="296"/>
      <c r="K244" s="296"/>
      <c r="L244" s="296"/>
      <c r="M244" s="296"/>
      <c r="N244" s="296"/>
      <c r="O244" s="273"/>
      <c r="P244" s="274"/>
      <c r="Q244" s="254"/>
      <c r="R244" s="254"/>
      <c r="S244" s="254"/>
      <c r="T244" s="254"/>
      <c r="U244" s="254"/>
      <c r="V244" s="254"/>
      <c r="W244" s="254"/>
      <c r="X244" s="254"/>
      <c r="Y244" s="254"/>
      <c r="Z244" s="254"/>
      <c r="AA244" s="254"/>
      <c r="AB244" s="254"/>
      <c r="AC244" s="254"/>
      <c r="AD244" s="254"/>
      <c r="AE244" s="254"/>
      <c r="AF244" s="254"/>
      <c r="AG244" s="254"/>
      <c r="AH244" s="254"/>
      <c r="AI244" s="254"/>
      <c r="AJ244" s="254"/>
      <c r="AK244" s="254"/>
      <c r="AL244" s="254"/>
      <c r="AM244" s="254"/>
      <c r="AN244" s="254"/>
      <c r="AO244" s="254"/>
      <c r="AP244" s="254"/>
      <c r="AQ244" s="254"/>
      <c r="AR244" s="254"/>
      <c r="AS244" s="254"/>
      <c r="AT244" s="254"/>
      <c r="AU244" s="273"/>
      <c r="AV244" s="273"/>
    </row>
    <row r="245" spans="1:48">
      <c r="A245" s="146"/>
      <c r="B245" s="205"/>
      <c r="C245" s="205"/>
      <c r="D245" s="205"/>
      <c r="E245" s="205"/>
      <c r="F245" s="296"/>
      <c r="G245" s="296"/>
      <c r="H245" s="296"/>
      <c r="I245" s="296"/>
      <c r="J245" s="296"/>
      <c r="K245" s="296"/>
      <c r="L245" s="296"/>
      <c r="M245" s="296"/>
      <c r="N245" s="296"/>
      <c r="O245" s="273"/>
      <c r="P245" s="274"/>
      <c r="Q245" s="254"/>
      <c r="R245" s="254"/>
      <c r="S245" s="254"/>
      <c r="T245" s="254"/>
      <c r="U245" s="254"/>
      <c r="V245" s="254"/>
      <c r="W245" s="254"/>
      <c r="X245" s="254"/>
      <c r="Y245" s="254"/>
      <c r="Z245" s="254"/>
      <c r="AA245" s="254"/>
      <c r="AB245" s="254"/>
      <c r="AC245" s="254"/>
      <c r="AD245" s="254"/>
      <c r="AE245" s="254"/>
      <c r="AF245" s="254"/>
      <c r="AG245" s="254"/>
      <c r="AH245" s="254"/>
      <c r="AI245" s="254"/>
      <c r="AJ245" s="254"/>
      <c r="AK245" s="254"/>
      <c r="AL245" s="254"/>
      <c r="AM245" s="254"/>
      <c r="AN245" s="254"/>
      <c r="AO245" s="254"/>
      <c r="AP245" s="254"/>
      <c r="AQ245" s="254"/>
      <c r="AR245" s="254"/>
      <c r="AS245" s="254"/>
      <c r="AT245" s="254"/>
      <c r="AU245" s="273"/>
      <c r="AV245" s="273"/>
    </row>
    <row r="246" spans="1:48">
      <c r="A246" s="146"/>
      <c r="B246" s="205"/>
      <c r="C246" s="205"/>
      <c r="D246" s="205"/>
      <c r="E246" s="205"/>
      <c r="F246" s="296"/>
      <c r="G246" s="296"/>
      <c r="H246" s="296"/>
      <c r="I246" s="296"/>
      <c r="J246" s="296"/>
      <c r="K246" s="296"/>
      <c r="L246" s="296"/>
      <c r="M246" s="296"/>
      <c r="N246" s="296"/>
      <c r="O246" s="273"/>
      <c r="P246" s="274"/>
      <c r="Q246" s="254"/>
      <c r="R246" s="254"/>
      <c r="S246" s="254"/>
      <c r="T246" s="254"/>
      <c r="U246" s="254"/>
      <c r="V246" s="254"/>
      <c r="W246" s="254"/>
      <c r="X246" s="254"/>
      <c r="Y246" s="254"/>
      <c r="Z246" s="254"/>
      <c r="AA246" s="254"/>
      <c r="AB246" s="254"/>
      <c r="AC246" s="254"/>
      <c r="AD246" s="254"/>
      <c r="AE246" s="254"/>
      <c r="AF246" s="254"/>
      <c r="AG246" s="254"/>
      <c r="AH246" s="254"/>
      <c r="AI246" s="254"/>
      <c r="AJ246" s="254"/>
      <c r="AK246" s="254"/>
      <c r="AL246" s="254"/>
      <c r="AM246" s="254"/>
      <c r="AN246" s="254"/>
      <c r="AO246" s="254"/>
      <c r="AP246" s="254"/>
      <c r="AQ246" s="254"/>
      <c r="AR246" s="254"/>
      <c r="AS246" s="254"/>
      <c r="AT246" s="254"/>
      <c r="AU246" s="273"/>
      <c r="AV246" s="273"/>
    </row>
    <row r="247" spans="1:48">
      <c r="A247" s="146"/>
      <c r="B247" s="205"/>
      <c r="C247" s="205"/>
      <c r="D247" s="205"/>
      <c r="E247" s="205"/>
      <c r="F247" s="296"/>
      <c r="G247" s="296"/>
      <c r="H247" s="296"/>
      <c r="I247" s="296"/>
      <c r="J247" s="296"/>
      <c r="K247" s="296"/>
      <c r="L247" s="296"/>
      <c r="M247" s="296"/>
      <c r="N247" s="296"/>
      <c r="O247" s="273"/>
      <c r="P247" s="274"/>
      <c r="Q247" s="254"/>
      <c r="R247" s="254"/>
      <c r="S247" s="254"/>
      <c r="T247" s="254"/>
      <c r="U247" s="254"/>
      <c r="V247" s="254"/>
      <c r="W247" s="254"/>
      <c r="X247" s="254"/>
      <c r="Y247" s="254"/>
      <c r="Z247" s="254"/>
      <c r="AA247" s="254"/>
      <c r="AB247" s="254"/>
      <c r="AC247" s="254"/>
      <c r="AD247" s="254"/>
      <c r="AE247" s="254"/>
      <c r="AF247" s="254"/>
      <c r="AG247" s="254"/>
      <c r="AH247" s="254"/>
      <c r="AI247" s="254"/>
      <c r="AJ247" s="254"/>
      <c r="AK247" s="254"/>
      <c r="AL247" s="254"/>
      <c r="AM247" s="254"/>
      <c r="AN247" s="254"/>
      <c r="AO247" s="254"/>
      <c r="AP247" s="254"/>
      <c r="AQ247" s="254"/>
      <c r="AR247" s="254"/>
      <c r="AS247" s="254"/>
      <c r="AT247" s="254"/>
      <c r="AU247" s="273"/>
      <c r="AV247" s="273"/>
    </row>
    <row r="248" spans="1:48">
      <c r="A248" s="146"/>
      <c r="B248" s="205"/>
      <c r="C248" s="205"/>
      <c r="D248" s="205"/>
      <c r="E248" s="205"/>
      <c r="F248" s="296"/>
      <c r="G248" s="296"/>
      <c r="H248" s="296"/>
      <c r="I248" s="296"/>
      <c r="J248" s="296"/>
      <c r="K248" s="296"/>
      <c r="L248" s="296"/>
      <c r="M248" s="296"/>
      <c r="N248" s="296"/>
      <c r="O248" s="273"/>
      <c r="P248" s="274"/>
      <c r="Q248" s="254"/>
      <c r="R248" s="254"/>
      <c r="S248" s="254"/>
      <c r="T248" s="254"/>
      <c r="U248" s="254"/>
      <c r="V248" s="254"/>
      <c r="W248" s="254"/>
      <c r="X248" s="254"/>
      <c r="Y248" s="254"/>
      <c r="Z248" s="254"/>
      <c r="AA248" s="254"/>
      <c r="AB248" s="254"/>
      <c r="AC248" s="254"/>
      <c r="AD248" s="254"/>
      <c r="AE248" s="254"/>
      <c r="AF248" s="254"/>
      <c r="AG248" s="254"/>
      <c r="AH248" s="254"/>
      <c r="AI248" s="254"/>
      <c r="AJ248" s="254"/>
      <c r="AK248" s="254"/>
      <c r="AL248" s="254"/>
      <c r="AM248" s="254"/>
      <c r="AN248" s="254"/>
      <c r="AO248" s="254"/>
      <c r="AP248" s="254"/>
      <c r="AQ248" s="254"/>
      <c r="AR248" s="254"/>
      <c r="AS248" s="254"/>
      <c r="AT248" s="254"/>
    </row>
    <row r="249" spans="1:48">
      <c r="A249" s="146"/>
      <c r="B249" s="205"/>
      <c r="C249" s="205"/>
      <c r="D249" s="205"/>
      <c r="E249" s="205"/>
      <c r="F249" s="296"/>
      <c r="G249" s="296"/>
      <c r="H249" s="296"/>
      <c r="I249" s="296"/>
      <c r="J249" s="296"/>
      <c r="K249" s="296"/>
      <c r="L249" s="296"/>
      <c r="M249" s="296"/>
      <c r="N249" s="296"/>
      <c r="O249" s="273"/>
      <c r="P249" s="274"/>
      <c r="Q249" s="254"/>
      <c r="R249" s="254"/>
      <c r="S249" s="254"/>
      <c r="T249" s="254"/>
      <c r="U249" s="254"/>
      <c r="V249" s="254"/>
      <c r="W249" s="254"/>
      <c r="X249" s="254"/>
      <c r="Y249" s="254"/>
      <c r="Z249" s="254"/>
      <c r="AA249" s="254"/>
      <c r="AB249" s="254"/>
      <c r="AC249" s="254"/>
      <c r="AD249" s="254"/>
      <c r="AE249" s="254"/>
      <c r="AF249" s="254"/>
      <c r="AG249" s="254"/>
      <c r="AH249" s="254"/>
      <c r="AI249" s="254"/>
      <c r="AJ249" s="254"/>
      <c r="AK249" s="254"/>
      <c r="AL249" s="254"/>
      <c r="AM249" s="254"/>
      <c r="AN249" s="254"/>
      <c r="AO249" s="254"/>
      <c r="AP249" s="254"/>
      <c r="AQ249" s="254"/>
      <c r="AR249" s="254"/>
      <c r="AS249" s="146"/>
      <c r="AT249" s="146"/>
    </row>
    <row r="250" spans="1:48">
      <c r="A250" s="146"/>
      <c r="B250" s="205"/>
      <c r="C250" s="205"/>
      <c r="D250" s="205"/>
      <c r="E250" s="205"/>
      <c r="F250" s="296"/>
      <c r="G250" s="296"/>
      <c r="H250" s="296"/>
      <c r="I250" s="296"/>
      <c r="J250" s="296"/>
      <c r="K250" s="296"/>
      <c r="L250" s="296"/>
      <c r="M250" s="296"/>
      <c r="N250" s="296"/>
      <c r="O250" s="273"/>
      <c r="P250" s="274"/>
      <c r="Q250" s="254"/>
      <c r="R250" s="254"/>
      <c r="S250" s="254"/>
      <c r="T250" s="254"/>
      <c r="U250" s="254"/>
      <c r="V250" s="254"/>
      <c r="W250" s="254"/>
      <c r="X250" s="254"/>
      <c r="Y250" s="254"/>
      <c r="Z250" s="254"/>
      <c r="AA250" s="254"/>
      <c r="AB250" s="254"/>
      <c r="AC250" s="254"/>
      <c r="AD250" s="254"/>
      <c r="AE250" s="254"/>
      <c r="AF250" s="254"/>
      <c r="AG250" s="254"/>
      <c r="AH250" s="254"/>
      <c r="AI250" s="254"/>
      <c r="AJ250" s="254"/>
      <c r="AK250" s="254"/>
      <c r="AL250" s="254"/>
      <c r="AM250" s="254"/>
      <c r="AN250" s="254"/>
      <c r="AO250" s="254"/>
      <c r="AP250" s="254"/>
      <c r="AQ250" s="254"/>
      <c r="AR250" s="254"/>
      <c r="AS250" s="146"/>
      <c r="AT250" s="146"/>
    </row>
    <row r="251" spans="1:48">
      <c r="A251" s="146"/>
      <c r="B251" s="205"/>
      <c r="C251" s="205"/>
      <c r="D251" s="205"/>
      <c r="E251" s="205"/>
      <c r="F251" s="296"/>
      <c r="G251" s="296"/>
      <c r="H251" s="296"/>
      <c r="I251" s="296"/>
      <c r="J251" s="296"/>
      <c r="K251" s="296"/>
      <c r="L251" s="296"/>
      <c r="M251" s="296"/>
      <c r="N251" s="296"/>
      <c r="O251" s="273"/>
      <c r="P251" s="274"/>
      <c r="Q251" s="254"/>
      <c r="R251" s="254"/>
      <c r="S251" s="254"/>
      <c r="T251" s="254"/>
      <c r="U251" s="254"/>
      <c r="V251" s="254"/>
      <c r="W251" s="254"/>
      <c r="X251" s="254"/>
      <c r="Y251" s="254"/>
      <c r="Z251" s="254"/>
      <c r="AA251" s="254"/>
      <c r="AB251" s="254"/>
      <c r="AC251" s="254"/>
      <c r="AD251" s="254"/>
      <c r="AE251" s="254"/>
      <c r="AF251" s="254"/>
      <c r="AG251" s="254"/>
      <c r="AH251" s="254"/>
      <c r="AI251" s="254"/>
      <c r="AJ251" s="254"/>
      <c r="AK251" s="254"/>
      <c r="AL251" s="254"/>
      <c r="AM251" s="254"/>
      <c r="AN251" s="254"/>
      <c r="AO251" s="254"/>
      <c r="AP251" s="254"/>
      <c r="AQ251" s="254"/>
      <c r="AR251" s="254"/>
      <c r="AS251" s="146"/>
      <c r="AT251" s="146"/>
    </row>
    <row r="252" spans="1:48">
      <c r="A252" s="146"/>
      <c r="B252" s="205"/>
      <c r="C252" s="205"/>
      <c r="D252" s="205"/>
      <c r="E252" s="205"/>
      <c r="F252" s="296"/>
      <c r="G252" s="296"/>
      <c r="H252" s="296"/>
      <c r="I252" s="296"/>
      <c r="J252" s="296"/>
      <c r="K252" s="296"/>
      <c r="L252" s="296"/>
      <c r="M252" s="296"/>
      <c r="N252" s="296"/>
      <c r="O252" s="273"/>
      <c r="P252" s="274"/>
      <c r="Q252" s="254"/>
      <c r="R252" s="254"/>
      <c r="S252" s="254"/>
      <c r="T252" s="254"/>
      <c r="U252" s="254"/>
      <c r="V252" s="254"/>
      <c r="W252" s="254"/>
      <c r="X252" s="254"/>
      <c r="Y252" s="254"/>
      <c r="Z252" s="254"/>
      <c r="AA252" s="254"/>
      <c r="AB252" s="254"/>
      <c r="AC252" s="254"/>
      <c r="AD252" s="254"/>
      <c r="AE252" s="254"/>
      <c r="AF252" s="254"/>
      <c r="AG252" s="254"/>
      <c r="AH252" s="254"/>
      <c r="AI252" s="254"/>
      <c r="AJ252" s="254"/>
      <c r="AK252" s="254"/>
      <c r="AL252" s="254"/>
      <c r="AM252" s="254"/>
      <c r="AN252" s="254"/>
      <c r="AO252" s="254"/>
      <c r="AP252" s="254"/>
      <c r="AQ252" s="254"/>
      <c r="AR252" s="254"/>
      <c r="AS252" s="146"/>
      <c r="AT252" s="146"/>
    </row>
    <row r="253" spans="1:48">
      <c r="A253" s="146"/>
      <c r="B253" s="205"/>
      <c r="C253" s="205"/>
      <c r="D253" s="205"/>
      <c r="E253" s="205"/>
      <c r="F253" s="296"/>
      <c r="G253" s="296"/>
      <c r="H253" s="296"/>
      <c r="I253" s="296"/>
      <c r="J253" s="296"/>
      <c r="K253" s="296"/>
      <c r="L253" s="296"/>
      <c r="M253" s="296"/>
      <c r="N253" s="296"/>
      <c r="O253" s="273"/>
      <c r="P253" s="274"/>
      <c r="Q253" s="273"/>
      <c r="R253" s="273"/>
      <c r="S253" s="146"/>
      <c r="T253" s="146"/>
      <c r="U253" s="146"/>
      <c r="V253" s="146"/>
      <c r="W253" s="146"/>
      <c r="X253" s="146"/>
      <c r="Y253" s="146"/>
      <c r="Z253" s="146"/>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row>
    <row r="254" spans="1:48">
      <c r="A254" s="146"/>
      <c r="B254" s="205"/>
      <c r="C254" s="205"/>
      <c r="D254" s="205"/>
      <c r="E254" s="205"/>
      <c r="F254" s="296"/>
      <c r="G254" s="296"/>
      <c r="H254" s="296"/>
      <c r="I254" s="296"/>
      <c r="J254" s="296"/>
      <c r="K254" s="296"/>
      <c r="L254" s="296"/>
      <c r="M254" s="296"/>
      <c r="N254" s="296"/>
      <c r="O254" s="273"/>
      <c r="P254" s="274"/>
      <c r="Q254" s="273"/>
      <c r="R254" s="273"/>
      <c r="S254" s="146"/>
      <c r="T254" s="146"/>
      <c r="U254" s="146"/>
      <c r="V254" s="146"/>
      <c r="W254" s="146"/>
      <c r="X254" s="146"/>
      <c r="Y254" s="146"/>
      <c r="Z254" s="146"/>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row>
    <row r="255" spans="1:48">
      <c r="A255" s="146"/>
      <c r="B255" s="205"/>
      <c r="C255" s="205"/>
      <c r="D255" s="205"/>
      <c r="E255" s="205"/>
      <c r="F255" s="296"/>
      <c r="G255" s="296"/>
      <c r="H255" s="296"/>
      <c r="I255" s="296"/>
      <c r="J255" s="296"/>
      <c r="K255" s="296"/>
      <c r="L255" s="296"/>
      <c r="M255" s="296"/>
      <c r="N255" s="296"/>
      <c r="O255" s="273"/>
      <c r="P255" s="274"/>
      <c r="Q255" s="273"/>
      <c r="R255" s="273"/>
      <c r="S255" s="146"/>
      <c r="T255" s="146"/>
      <c r="U255" s="146"/>
      <c r="V255" s="146"/>
      <c r="W255" s="146"/>
      <c r="X255" s="146"/>
      <c r="Y255" s="146"/>
      <c r="Z255" s="146"/>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row>
    <row r="256" spans="1:48">
      <c r="A256" s="146"/>
      <c r="B256" s="205"/>
      <c r="C256" s="205"/>
      <c r="D256" s="205"/>
      <c r="E256" s="205"/>
      <c r="F256" s="296"/>
      <c r="G256" s="296"/>
      <c r="H256" s="296"/>
      <c r="I256" s="296"/>
      <c r="J256" s="296"/>
      <c r="K256" s="296"/>
      <c r="L256" s="296"/>
      <c r="M256" s="296"/>
      <c r="N256" s="296"/>
      <c r="O256" s="273"/>
      <c r="P256" s="274"/>
      <c r="Q256" s="273"/>
      <c r="R256" s="273"/>
      <c r="S256" s="146"/>
      <c r="T256" s="146"/>
      <c r="U256" s="146"/>
      <c r="V256" s="146"/>
      <c r="W256" s="146"/>
      <c r="X256" s="146"/>
      <c r="Y256" s="146"/>
      <c r="Z256" s="14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row>
    <row r="257" spans="1:46">
      <c r="A257" s="146"/>
      <c r="B257" s="205"/>
      <c r="C257" s="205"/>
      <c r="D257" s="205"/>
      <c r="E257" s="205"/>
      <c r="F257" s="296"/>
      <c r="G257" s="296"/>
      <c r="H257" s="296"/>
      <c r="I257" s="296"/>
      <c r="J257" s="296"/>
      <c r="K257" s="296"/>
      <c r="L257" s="296"/>
      <c r="M257" s="296"/>
      <c r="N257" s="296"/>
      <c r="O257" s="273"/>
      <c r="P257" s="274"/>
      <c r="Q257" s="273"/>
      <c r="R257" s="273"/>
      <c r="S257" s="146"/>
      <c r="T257" s="146"/>
      <c r="U257" s="146"/>
      <c r="V257" s="146"/>
      <c r="W257" s="146"/>
      <c r="X257" s="146"/>
      <c r="Y257" s="146"/>
      <c r="Z257" s="146"/>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row>
    <row r="258" spans="1:46">
      <c r="A258" s="146"/>
      <c r="B258" s="205"/>
      <c r="C258" s="205"/>
      <c r="D258" s="205"/>
      <c r="E258" s="205"/>
      <c r="F258" s="296"/>
      <c r="G258" s="296"/>
      <c r="H258" s="296"/>
      <c r="I258" s="296"/>
      <c r="J258" s="296"/>
      <c r="K258" s="296"/>
      <c r="L258" s="296"/>
      <c r="M258" s="296"/>
      <c r="N258" s="296"/>
      <c r="O258" s="273"/>
      <c r="P258" s="274"/>
      <c r="Q258" s="273"/>
      <c r="R258" s="273"/>
      <c r="S258" s="146"/>
      <c r="T258" s="146"/>
      <c r="U258" s="146"/>
      <c r="V258" s="146"/>
      <c r="W258" s="146"/>
      <c r="X258" s="146"/>
      <c r="Y258" s="146"/>
      <c r="Z258" s="146"/>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row>
    <row r="259" spans="1:46">
      <c r="A259" s="146"/>
      <c r="B259" s="205"/>
      <c r="C259" s="205"/>
      <c r="D259" s="205"/>
      <c r="E259" s="205"/>
      <c r="F259" s="296"/>
      <c r="G259" s="296"/>
      <c r="H259" s="296"/>
      <c r="I259" s="296"/>
      <c r="J259" s="296"/>
      <c r="K259" s="296"/>
      <c r="L259" s="296"/>
      <c r="M259" s="296"/>
      <c r="N259" s="296"/>
      <c r="O259" s="273"/>
      <c r="P259" s="274"/>
      <c r="Q259" s="273"/>
      <c r="R259" s="273"/>
      <c r="S259" s="146"/>
      <c r="T259" s="146"/>
      <c r="U259" s="146"/>
      <c r="V259" s="146"/>
      <c r="W259" s="146"/>
      <c r="X259" s="146"/>
      <c r="Y259" s="146"/>
      <c r="Z259" s="146"/>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row>
    <row r="260" spans="1:46">
      <c r="A260" s="146"/>
      <c r="B260" s="205"/>
      <c r="C260" s="205"/>
      <c r="D260" s="205"/>
      <c r="E260" s="205"/>
      <c r="F260" s="296"/>
      <c r="G260" s="296"/>
      <c r="H260" s="296"/>
      <c r="I260" s="296"/>
      <c r="J260" s="296"/>
      <c r="K260" s="296"/>
      <c r="L260" s="296"/>
      <c r="M260" s="296"/>
      <c r="N260" s="296"/>
      <c r="O260" s="273"/>
      <c r="P260" s="274"/>
      <c r="Q260" s="273"/>
      <c r="R260" s="273"/>
      <c r="S260" s="146"/>
      <c r="T260" s="146"/>
      <c r="U260" s="146"/>
      <c r="V260" s="146"/>
      <c r="W260" s="146"/>
      <c r="X260" s="146"/>
      <c r="Y260" s="146"/>
      <c r="Z260" s="146"/>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row>
    <row r="261" spans="1:46">
      <c r="A261" s="146"/>
      <c r="B261" s="205"/>
      <c r="C261" s="205"/>
      <c r="D261" s="205"/>
      <c r="E261" s="205"/>
      <c r="F261" s="296"/>
      <c r="G261" s="296"/>
      <c r="H261" s="296"/>
      <c r="I261" s="296"/>
      <c r="J261" s="296"/>
      <c r="K261" s="296"/>
      <c r="L261" s="296"/>
      <c r="M261" s="296"/>
      <c r="N261" s="296"/>
      <c r="O261" s="273"/>
      <c r="P261" s="274"/>
      <c r="Q261" s="273"/>
      <c r="R261" s="273"/>
      <c r="S261" s="146"/>
      <c r="T261" s="146"/>
      <c r="U261" s="146"/>
      <c r="V261" s="146"/>
      <c r="W261" s="146"/>
      <c r="X261" s="146"/>
      <c r="Y261" s="146"/>
      <c r="Z261" s="146"/>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row>
    <row r="262" spans="1:46">
      <c r="A262" s="146"/>
      <c r="B262" s="205"/>
      <c r="C262" s="205"/>
      <c r="D262" s="205"/>
      <c r="E262" s="205"/>
      <c r="F262" s="296"/>
      <c r="G262" s="296"/>
      <c r="H262" s="296"/>
      <c r="I262" s="296"/>
      <c r="J262" s="296"/>
      <c r="K262" s="296"/>
      <c r="L262" s="296"/>
      <c r="M262" s="296"/>
      <c r="N262" s="296"/>
      <c r="O262" s="273"/>
      <c r="P262" s="274"/>
      <c r="Q262" s="273"/>
      <c r="R262" s="273"/>
      <c r="S262" s="146"/>
      <c r="T262" s="146"/>
      <c r="U262" s="146"/>
      <c r="V262" s="146"/>
      <c r="W262" s="146"/>
      <c r="X262" s="146"/>
      <c r="Y262" s="146"/>
      <c r="Z262" s="146"/>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row>
    <row r="263" spans="1:46">
      <c r="A263" s="146"/>
      <c r="B263" s="205"/>
      <c r="C263" s="205"/>
      <c r="D263" s="205"/>
      <c r="E263" s="205"/>
      <c r="F263" s="296"/>
      <c r="G263" s="296"/>
      <c r="H263" s="296"/>
      <c r="I263" s="296"/>
      <c r="J263" s="296"/>
      <c r="K263" s="296"/>
      <c r="L263" s="296"/>
      <c r="M263" s="296"/>
      <c r="N263" s="296"/>
      <c r="O263" s="273"/>
      <c r="P263" s="274"/>
      <c r="Q263" s="273"/>
      <c r="R263" s="273"/>
      <c r="S263" s="146"/>
      <c r="T263" s="146"/>
      <c r="U263" s="146"/>
      <c r="V263" s="146"/>
      <c r="W263" s="146"/>
      <c r="X263" s="146"/>
      <c r="Y263" s="146"/>
      <c r="Z263" s="146"/>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row>
    <row r="264" spans="1:46">
      <c r="A264" s="146"/>
      <c r="B264" s="205"/>
      <c r="C264" s="205"/>
      <c r="D264" s="205"/>
      <c r="E264" s="205"/>
      <c r="F264" s="296"/>
      <c r="G264" s="296"/>
      <c r="H264" s="296"/>
      <c r="I264" s="296"/>
      <c r="J264" s="296"/>
      <c r="K264" s="296"/>
      <c r="L264" s="296"/>
      <c r="M264" s="296"/>
      <c r="N264" s="296"/>
      <c r="O264" s="273"/>
      <c r="P264" s="274"/>
      <c r="Q264" s="273"/>
      <c r="R264" s="273"/>
      <c r="S264" s="146"/>
      <c r="T264" s="146"/>
      <c r="U264" s="146"/>
      <c r="V264" s="146"/>
      <c r="W264" s="146"/>
      <c r="X264" s="146"/>
      <c r="Y264" s="146"/>
      <c r="Z264" s="146"/>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row>
    <row r="265" spans="1:46">
      <c r="A265" s="146"/>
      <c r="B265" s="205"/>
      <c r="C265" s="205"/>
      <c r="D265" s="205"/>
      <c r="E265" s="205"/>
      <c r="F265" s="296"/>
      <c r="G265" s="296"/>
      <c r="H265" s="296"/>
      <c r="I265" s="296"/>
      <c r="J265" s="296"/>
      <c r="K265" s="296"/>
      <c r="L265" s="296"/>
      <c r="M265" s="296"/>
      <c r="N265" s="296"/>
      <c r="O265" s="273"/>
      <c r="P265" s="274"/>
      <c r="Q265" s="273"/>
      <c r="R265" s="273"/>
      <c r="S265" s="146"/>
      <c r="T265" s="146"/>
      <c r="U265" s="146"/>
      <c r="V265" s="146"/>
      <c r="W265" s="146"/>
      <c r="X265" s="146"/>
      <c r="Y265" s="146"/>
      <c r="Z265" s="146"/>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row>
    <row r="266" spans="1:46">
      <c r="A266" s="146"/>
      <c r="B266" s="205"/>
      <c r="C266" s="205"/>
      <c r="D266" s="205"/>
      <c r="E266" s="205"/>
      <c r="F266" s="296"/>
      <c r="G266" s="296"/>
      <c r="H266" s="296"/>
      <c r="I266" s="296"/>
      <c r="J266" s="296"/>
      <c r="K266" s="296"/>
      <c r="L266" s="296"/>
      <c r="M266" s="296"/>
      <c r="N266" s="296"/>
      <c r="O266" s="273"/>
      <c r="P266" s="274"/>
      <c r="Q266" s="273"/>
      <c r="R266" s="273"/>
      <c r="S266" s="146"/>
      <c r="T266" s="146"/>
      <c r="U266" s="146"/>
      <c r="V266" s="146"/>
      <c r="W266" s="146"/>
      <c r="X266" s="146"/>
      <c r="Y266" s="146"/>
      <c r="Z266" s="14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row>
    <row r="267" spans="1:46">
      <c r="A267" s="146"/>
      <c r="B267" s="205"/>
      <c r="C267" s="205"/>
      <c r="D267" s="205"/>
      <c r="E267" s="205"/>
      <c r="F267" s="296"/>
      <c r="G267" s="296"/>
      <c r="H267" s="296"/>
      <c r="I267" s="296"/>
      <c r="J267" s="296"/>
      <c r="K267" s="296"/>
      <c r="L267" s="296"/>
      <c r="M267" s="296"/>
      <c r="N267" s="296"/>
      <c r="O267" s="273"/>
      <c r="P267" s="274"/>
      <c r="Q267" s="273"/>
      <c r="R267" s="273"/>
      <c r="S267" s="146"/>
      <c r="T267" s="146"/>
      <c r="U267" s="146"/>
      <c r="V267" s="146"/>
      <c r="W267" s="146"/>
      <c r="X267" s="146"/>
      <c r="Y267" s="146"/>
      <c r="Z267" s="146"/>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row>
    <row r="268" spans="1:46">
      <c r="A268" s="146"/>
      <c r="B268" s="205"/>
      <c r="C268" s="205"/>
      <c r="D268" s="205"/>
      <c r="E268" s="205"/>
      <c r="F268" s="296"/>
      <c r="G268" s="296"/>
      <c r="H268" s="296"/>
      <c r="I268" s="296"/>
      <c r="J268" s="296"/>
      <c r="K268" s="296"/>
      <c r="L268" s="296"/>
      <c r="M268" s="296"/>
      <c r="N268" s="296"/>
      <c r="O268" s="273"/>
      <c r="P268" s="274"/>
      <c r="Q268" s="273"/>
      <c r="R268" s="273"/>
      <c r="S268" s="146"/>
      <c r="T268" s="146"/>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row>
    <row r="269" spans="1:46">
      <c r="A269" s="146"/>
      <c r="B269" s="205"/>
      <c r="C269" s="205"/>
      <c r="D269" s="205"/>
      <c r="E269" s="205"/>
      <c r="F269" s="296"/>
      <c r="G269" s="296"/>
      <c r="H269" s="296"/>
      <c r="I269" s="296"/>
      <c r="J269" s="296"/>
      <c r="K269" s="296"/>
      <c r="L269" s="296"/>
      <c r="M269" s="296"/>
      <c r="N269" s="296"/>
      <c r="O269" s="273"/>
      <c r="P269" s="274"/>
      <c r="Q269" s="273"/>
      <c r="R269" s="273"/>
      <c r="S269" s="146"/>
      <c r="T269" s="146"/>
      <c r="U269" s="146"/>
      <c r="V269" s="146"/>
      <c r="W269" s="146"/>
      <c r="X269" s="146"/>
      <c r="Y269" s="146"/>
      <c r="Z269" s="146"/>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row>
    <row r="270" spans="1:46">
      <c r="A270" s="146"/>
      <c r="B270" s="205"/>
      <c r="C270" s="205"/>
      <c r="D270" s="205"/>
      <c r="E270" s="205"/>
      <c r="F270" s="296"/>
      <c r="G270" s="296"/>
      <c r="H270" s="296"/>
      <c r="I270" s="296"/>
      <c r="J270" s="296"/>
      <c r="K270" s="296"/>
      <c r="L270" s="296"/>
      <c r="M270" s="296"/>
      <c r="N270" s="296"/>
      <c r="O270" s="273"/>
      <c r="P270" s="274"/>
      <c r="Q270" s="273"/>
      <c r="R270" s="273"/>
      <c r="S270" s="146"/>
      <c r="T270" s="146"/>
      <c r="U270" s="146"/>
      <c r="V270" s="146"/>
      <c r="W270" s="146"/>
      <c r="X270" s="146"/>
      <c r="Y270" s="146"/>
      <c r="Z270" s="146"/>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row>
    <row r="271" spans="1:46">
      <c r="A271" s="146"/>
      <c r="B271" s="205"/>
      <c r="C271" s="205"/>
      <c r="D271" s="205"/>
      <c r="E271" s="205"/>
      <c r="F271" s="296"/>
      <c r="G271" s="296"/>
      <c r="H271" s="296"/>
      <c r="I271" s="296"/>
      <c r="J271" s="296"/>
      <c r="K271" s="296"/>
      <c r="L271" s="296"/>
      <c r="M271" s="296"/>
      <c r="N271" s="296"/>
      <c r="O271" s="273"/>
      <c r="P271" s="274"/>
      <c r="Q271" s="273"/>
      <c r="R271" s="273"/>
      <c r="S271" s="146"/>
      <c r="T271" s="146"/>
      <c r="U271" s="146"/>
      <c r="V271" s="146"/>
      <c r="W271" s="146"/>
      <c r="X271" s="146"/>
      <c r="Y271" s="146"/>
      <c r="Z271" s="146"/>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row>
    <row r="272" spans="1:46">
      <c r="A272" s="146"/>
      <c r="B272" s="205"/>
      <c r="C272" s="205"/>
      <c r="D272" s="205"/>
      <c r="E272" s="205"/>
      <c r="F272" s="296"/>
      <c r="G272" s="296"/>
      <c r="H272" s="296"/>
      <c r="I272" s="296"/>
      <c r="J272" s="296"/>
      <c r="K272" s="296"/>
      <c r="L272" s="296"/>
      <c r="M272" s="296"/>
      <c r="N272" s="296"/>
      <c r="O272" s="273"/>
      <c r="P272" s="274"/>
      <c r="Q272" s="273"/>
      <c r="R272" s="273"/>
      <c r="S272" s="146"/>
      <c r="T272" s="146"/>
      <c r="U272" s="146"/>
      <c r="V272" s="146"/>
      <c r="W272" s="146"/>
      <c r="X272" s="146"/>
      <c r="Y272" s="146"/>
      <c r="Z272" s="146"/>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row>
    <row r="273" spans="1:46">
      <c r="A273" s="146"/>
      <c r="B273" s="205"/>
      <c r="C273" s="205"/>
      <c r="D273" s="205"/>
      <c r="E273" s="205"/>
      <c r="F273" s="296"/>
      <c r="G273" s="296"/>
      <c r="H273" s="296"/>
      <c r="I273" s="296"/>
      <c r="J273" s="296"/>
      <c r="K273" s="296"/>
      <c r="L273" s="296"/>
      <c r="M273" s="296"/>
      <c r="N273" s="296"/>
      <c r="O273" s="273"/>
      <c r="P273" s="274"/>
      <c r="Q273" s="273"/>
      <c r="R273" s="273"/>
      <c r="S273" s="146"/>
      <c r="T273" s="146"/>
      <c r="U273" s="146"/>
      <c r="V273" s="146"/>
      <c r="W273" s="146"/>
      <c r="X273" s="146"/>
      <c r="Y273" s="146"/>
      <c r="Z273" s="146"/>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row>
    <row r="274" spans="1:46">
      <c r="A274" s="146"/>
      <c r="B274" s="205"/>
      <c r="C274" s="205"/>
      <c r="D274" s="205"/>
      <c r="E274" s="205"/>
      <c r="F274" s="296"/>
      <c r="G274" s="296"/>
      <c r="H274" s="296"/>
      <c r="I274" s="296"/>
      <c r="J274" s="296"/>
      <c r="K274" s="296"/>
      <c r="L274" s="296"/>
      <c r="M274" s="296"/>
      <c r="N274" s="296"/>
      <c r="O274" s="273"/>
      <c r="P274" s="274"/>
      <c r="Q274" s="273"/>
      <c r="R274" s="273"/>
      <c r="S274" s="146"/>
      <c r="T274" s="146"/>
      <c r="U274" s="146"/>
      <c r="V274" s="146"/>
      <c r="W274" s="146"/>
      <c r="X274" s="146"/>
      <c r="Y274" s="146"/>
      <c r="Z274" s="146"/>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row>
    <row r="275" spans="1:46">
      <c r="A275" s="146"/>
      <c r="B275" s="205"/>
      <c r="C275" s="205"/>
      <c r="D275" s="205"/>
      <c r="E275" s="205"/>
      <c r="F275" s="296"/>
      <c r="G275" s="296"/>
      <c r="H275" s="296"/>
      <c r="I275" s="296"/>
      <c r="J275" s="296"/>
      <c r="K275" s="296"/>
      <c r="L275" s="296"/>
      <c r="M275" s="296"/>
      <c r="N275" s="296"/>
      <c r="O275" s="273"/>
      <c r="P275" s="274"/>
      <c r="Q275" s="273"/>
      <c r="R275" s="273"/>
      <c r="S275" s="146"/>
      <c r="T275" s="146"/>
      <c r="U275" s="146"/>
      <c r="V275" s="146"/>
      <c r="W275" s="146"/>
      <c r="X275" s="146"/>
      <c r="Y275" s="146"/>
      <c r="Z275" s="146"/>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row>
    <row r="276" spans="1:46">
      <c r="A276" s="146"/>
      <c r="B276" s="205"/>
      <c r="C276" s="205"/>
      <c r="D276" s="205"/>
      <c r="E276" s="205"/>
      <c r="F276" s="296"/>
      <c r="G276" s="296"/>
      <c r="H276" s="296"/>
      <c r="I276" s="296"/>
      <c r="J276" s="296"/>
      <c r="K276" s="296"/>
      <c r="L276" s="296"/>
      <c r="M276" s="296"/>
      <c r="N276" s="296"/>
      <c r="O276" s="273"/>
      <c r="P276" s="274"/>
      <c r="Q276" s="273"/>
      <c r="R276" s="273"/>
      <c r="S276" s="146"/>
      <c r="T276" s="146"/>
      <c r="U276" s="146"/>
      <c r="V276" s="146"/>
      <c r="W276" s="146"/>
      <c r="X276" s="146"/>
      <c r="Y276" s="146"/>
      <c r="Z276" s="14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row>
    <row r="277" spans="1:46">
      <c r="A277" s="146"/>
      <c r="B277" s="205"/>
      <c r="C277" s="205"/>
      <c r="D277" s="205"/>
      <c r="E277" s="205"/>
      <c r="F277" s="296"/>
      <c r="G277" s="296"/>
      <c r="H277" s="296"/>
      <c r="I277" s="296"/>
      <c r="J277" s="296"/>
      <c r="K277" s="296"/>
      <c r="L277" s="296"/>
      <c r="M277" s="296"/>
      <c r="N277" s="296"/>
      <c r="O277" s="273"/>
      <c r="P277" s="274"/>
      <c r="Q277" s="273"/>
      <c r="R277" s="273"/>
      <c r="S277" s="146"/>
      <c r="T277" s="146"/>
      <c r="U277" s="146"/>
      <c r="V277" s="146"/>
      <c r="W277" s="146"/>
      <c r="X277" s="146"/>
      <c r="Y277" s="146"/>
      <c r="Z277" s="146"/>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row>
    <row r="278" spans="1:46">
      <c r="A278" s="146"/>
      <c r="B278" s="205"/>
      <c r="C278" s="205"/>
      <c r="D278" s="205"/>
      <c r="E278" s="205"/>
      <c r="F278" s="296"/>
      <c r="G278" s="296"/>
      <c r="H278" s="296"/>
      <c r="I278" s="296"/>
      <c r="J278" s="296"/>
      <c r="K278" s="296"/>
      <c r="L278" s="296"/>
      <c r="M278" s="296"/>
      <c r="N278" s="296"/>
      <c r="O278" s="273"/>
      <c r="P278" s="274"/>
      <c r="Q278" s="273"/>
      <c r="R278" s="273"/>
      <c r="S278" s="146"/>
      <c r="T278" s="146"/>
      <c r="U278" s="146"/>
      <c r="V278" s="146"/>
      <c r="W278" s="146"/>
      <c r="X278" s="146"/>
      <c r="Y278" s="146"/>
      <c r="Z278" s="146"/>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row>
    <row r="279" spans="1:46">
      <c r="A279" s="146"/>
      <c r="B279" s="205"/>
      <c r="C279" s="205"/>
      <c r="D279" s="205"/>
      <c r="E279" s="205"/>
      <c r="F279" s="296"/>
      <c r="G279" s="296"/>
      <c r="H279" s="296"/>
      <c r="I279" s="296"/>
      <c r="J279" s="296"/>
      <c r="K279" s="296"/>
      <c r="L279" s="296"/>
      <c r="M279" s="296"/>
      <c r="N279" s="296"/>
      <c r="O279" s="273"/>
      <c r="P279" s="274"/>
      <c r="Q279" s="273"/>
      <c r="R279" s="273"/>
      <c r="S279" s="146"/>
      <c r="T279" s="146"/>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row>
    <row r="280" spans="1:46">
      <c r="A280" s="146"/>
      <c r="B280" s="205"/>
      <c r="C280" s="205"/>
      <c r="D280" s="205"/>
      <c r="E280" s="205"/>
      <c r="F280" s="296"/>
      <c r="G280" s="296"/>
      <c r="H280" s="296"/>
      <c r="I280" s="296"/>
      <c r="J280" s="296"/>
      <c r="K280" s="296"/>
      <c r="L280" s="296"/>
      <c r="M280" s="296"/>
      <c r="N280" s="296"/>
      <c r="O280" s="273"/>
      <c r="P280" s="274"/>
      <c r="Q280" s="273"/>
      <c r="R280" s="273"/>
      <c r="S280" s="146"/>
      <c r="T280" s="146"/>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row>
    <row r="281" spans="1:46">
      <c r="A281" s="146"/>
      <c r="B281" s="205"/>
      <c r="C281" s="205"/>
      <c r="D281" s="205"/>
      <c r="E281" s="205"/>
      <c r="F281" s="296"/>
      <c r="G281" s="296"/>
      <c r="H281" s="296"/>
      <c r="I281" s="296"/>
      <c r="J281" s="296"/>
      <c r="K281" s="296"/>
      <c r="L281" s="296"/>
      <c r="M281" s="296"/>
      <c r="N281" s="296"/>
      <c r="O281" s="273"/>
      <c r="P281" s="274"/>
      <c r="Q281" s="273"/>
      <c r="R281" s="273"/>
      <c r="S281" s="146"/>
      <c r="T281" s="146"/>
      <c r="U281" s="146"/>
      <c r="V281" s="146"/>
      <c r="W281" s="146"/>
      <c r="X281" s="146"/>
      <c r="Y281" s="146"/>
      <c r="Z281" s="146"/>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row>
    <row r="282" spans="1:46">
      <c r="A282" s="146"/>
      <c r="B282" s="205"/>
      <c r="C282" s="205"/>
      <c r="D282" s="205"/>
      <c r="E282" s="205"/>
      <c r="F282" s="296"/>
      <c r="G282" s="296"/>
      <c r="H282" s="296"/>
      <c r="I282" s="296"/>
      <c r="J282" s="296"/>
      <c r="K282" s="296"/>
      <c r="L282" s="296"/>
      <c r="M282" s="296"/>
      <c r="N282" s="296"/>
      <c r="O282" s="273"/>
      <c r="P282" s="274"/>
      <c r="Q282" s="273"/>
      <c r="R282" s="273"/>
      <c r="S282" s="146"/>
      <c r="T282" s="146"/>
      <c r="U282" s="146"/>
      <c r="V282" s="146"/>
      <c r="W282" s="146"/>
      <c r="X282" s="146"/>
      <c r="Y282" s="146"/>
      <c r="Z282" s="146"/>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row>
    <row r="283" spans="1:46">
      <c r="A283" s="146"/>
      <c r="B283" s="205"/>
      <c r="C283" s="205"/>
      <c r="D283" s="205"/>
      <c r="E283" s="205"/>
      <c r="F283" s="296"/>
      <c r="G283" s="296"/>
      <c r="H283" s="296"/>
      <c r="I283" s="296"/>
      <c r="J283" s="296"/>
      <c r="K283" s="296"/>
      <c r="L283" s="296"/>
      <c r="M283" s="296"/>
      <c r="N283" s="296"/>
      <c r="O283" s="273"/>
      <c r="P283" s="274"/>
      <c r="Q283" s="273"/>
      <c r="R283" s="273"/>
      <c r="S283" s="146"/>
      <c r="T283" s="146"/>
      <c r="U283" s="146"/>
      <c r="V283" s="146"/>
      <c r="W283" s="146"/>
      <c r="X283" s="146"/>
      <c r="Y283" s="146"/>
      <c r="Z283" s="146"/>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row>
    <row r="284" spans="1:46">
      <c r="A284" s="146"/>
      <c r="B284" s="205"/>
      <c r="C284" s="205"/>
      <c r="D284" s="205"/>
      <c r="E284" s="205"/>
      <c r="F284" s="296"/>
      <c r="G284" s="296"/>
      <c r="H284" s="296"/>
      <c r="I284" s="296"/>
      <c r="J284" s="296"/>
      <c r="K284" s="296"/>
      <c r="L284" s="296"/>
      <c r="M284" s="296"/>
      <c r="N284" s="296"/>
      <c r="O284" s="273"/>
      <c r="P284" s="274"/>
      <c r="Q284" s="273"/>
      <c r="R284" s="273"/>
      <c r="S284" s="146"/>
      <c r="T284" s="146"/>
      <c r="U284" s="146"/>
      <c r="V284" s="146"/>
      <c r="W284" s="146"/>
      <c r="X284" s="146"/>
      <c r="Y284" s="146"/>
      <c r="Z284" s="146"/>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row>
    <row r="285" spans="1:46">
      <c r="A285" s="146"/>
      <c r="B285" s="205"/>
      <c r="C285" s="205"/>
      <c r="D285" s="205"/>
      <c r="E285" s="205"/>
      <c r="F285" s="296"/>
      <c r="G285" s="296"/>
      <c r="H285" s="296"/>
      <c r="I285" s="296"/>
      <c r="J285" s="296"/>
      <c r="K285" s="296"/>
      <c r="L285" s="296"/>
      <c r="M285" s="296"/>
      <c r="N285" s="296"/>
      <c r="O285" s="273"/>
      <c r="P285" s="274"/>
      <c r="Q285" s="273"/>
      <c r="R285" s="273"/>
      <c r="S285" s="146"/>
      <c r="T285" s="146"/>
      <c r="U285" s="146"/>
      <c r="V285" s="146"/>
      <c r="W285" s="146"/>
      <c r="X285" s="146"/>
      <c r="Y285" s="146"/>
      <c r="Z285" s="146"/>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row>
    <row r="286" spans="1:46">
      <c r="A286" s="146"/>
      <c r="B286" s="205"/>
      <c r="C286" s="205"/>
      <c r="D286" s="205"/>
      <c r="E286" s="205"/>
      <c r="F286" s="296"/>
      <c r="G286" s="296"/>
      <c r="H286" s="296"/>
      <c r="I286" s="296"/>
      <c r="J286" s="296"/>
      <c r="K286" s="296"/>
      <c r="L286" s="296"/>
      <c r="M286" s="296"/>
      <c r="N286" s="296"/>
      <c r="O286" s="273"/>
      <c r="P286" s="274"/>
      <c r="Q286" s="273"/>
      <c r="R286" s="273"/>
      <c r="S286" s="146"/>
      <c r="T286" s="146"/>
      <c r="U286" s="146"/>
      <c r="V286" s="146"/>
      <c r="W286" s="146"/>
      <c r="X286" s="146"/>
      <c r="Y286" s="146"/>
      <c r="Z286" s="14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row>
    <row r="287" spans="1:46">
      <c r="A287" s="146"/>
      <c r="B287" s="205"/>
      <c r="C287" s="205"/>
      <c r="D287" s="205"/>
      <c r="E287" s="205"/>
      <c r="F287" s="296"/>
      <c r="G287" s="296"/>
      <c r="H287" s="296"/>
      <c r="I287" s="296"/>
      <c r="J287" s="296"/>
      <c r="K287" s="296"/>
      <c r="L287" s="296"/>
      <c r="M287" s="296"/>
      <c r="N287" s="296"/>
      <c r="O287" s="273"/>
      <c r="P287" s="274"/>
      <c r="Q287" s="273"/>
      <c r="R287" s="273"/>
      <c r="S287" s="146"/>
      <c r="T287" s="146"/>
      <c r="U287" s="146"/>
      <c r="V287" s="146"/>
      <c r="W287" s="146"/>
      <c r="X287" s="146"/>
      <c r="Y287" s="146"/>
      <c r="Z287" s="146"/>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row>
    <row r="288" spans="1:46">
      <c r="A288" s="146"/>
      <c r="B288" s="205"/>
      <c r="C288" s="205"/>
      <c r="D288" s="205"/>
      <c r="E288" s="205"/>
      <c r="F288" s="296"/>
      <c r="G288" s="296"/>
      <c r="H288" s="296"/>
      <c r="I288" s="296"/>
      <c r="J288" s="296"/>
      <c r="K288" s="296"/>
      <c r="L288" s="296"/>
      <c r="M288" s="296"/>
      <c r="N288" s="296"/>
      <c r="O288" s="273"/>
      <c r="P288" s="274"/>
      <c r="Q288" s="273"/>
      <c r="R288" s="273"/>
      <c r="S288" s="146"/>
      <c r="T288" s="146"/>
      <c r="U288" s="146"/>
      <c r="V288" s="146"/>
      <c r="W288" s="146"/>
      <c r="X288" s="146"/>
      <c r="Y288" s="146"/>
      <c r="Z288" s="146"/>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row>
    <row r="289" spans="1:46">
      <c r="A289" s="146"/>
      <c r="B289" s="205"/>
      <c r="C289" s="205"/>
      <c r="D289" s="205"/>
      <c r="E289" s="205"/>
      <c r="F289" s="296"/>
      <c r="G289" s="296"/>
      <c r="H289" s="296"/>
      <c r="I289" s="296"/>
      <c r="J289" s="296"/>
      <c r="K289" s="296"/>
      <c r="L289" s="296"/>
      <c r="M289" s="296"/>
      <c r="N289" s="296"/>
      <c r="O289" s="273"/>
      <c r="P289" s="274"/>
      <c r="Q289" s="273"/>
      <c r="R289" s="273"/>
      <c r="S289" s="146"/>
      <c r="T289" s="146"/>
      <c r="U289" s="146"/>
      <c r="V289" s="146"/>
      <c r="W289" s="146"/>
      <c r="X289" s="146"/>
      <c r="Y289" s="146"/>
      <c r="Z289" s="146"/>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row>
    <row r="290" spans="1:46">
      <c r="A290" s="146"/>
      <c r="B290" s="205"/>
      <c r="C290" s="205"/>
      <c r="D290" s="205"/>
      <c r="E290" s="205"/>
      <c r="F290" s="296"/>
      <c r="G290" s="296"/>
      <c r="H290" s="296"/>
      <c r="I290" s="296"/>
      <c r="J290" s="296"/>
      <c r="K290" s="296"/>
      <c r="L290" s="296"/>
      <c r="M290" s="296"/>
      <c r="N290" s="296"/>
      <c r="O290" s="273"/>
      <c r="P290" s="274"/>
      <c r="Q290" s="273"/>
      <c r="R290" s="273"/>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row>
    <row r="291" spans="1:46">
      <c r="A291" s="146"/>
      <c r="B291" s="205"/>
      <c r="C291" s="205"/>
      <c r="D291" s="205"/>
      <c r="E291" s="205"/>
      <c r="F291" s="296"/>
      <c r="G291" s="296"/>
      <c r="H291" s="296"/>
      <c r="I291" s="296"/>
      <c r="J291" s="296"/>
      <c r="K291" s="296"/>
      <c r="L291" s="296"/>
      <c r="M291" s="296"/>
      <c r="N291" s="296"/>
      <c r="O291" s="273"/>
      <c r="P291" s="274"/>
      <c r="Q291" s="273"/>
      <c r="R291" s="273"/>
      <c r="S291" s="146"/>
      <c r="T291" s="146"/>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row>
    <row r="292" spans="1:46">
      <c r="A292" s="146"/>
      <c r="B292" s="205"/>
      <c r="C292" s="205"/>
      <c r="D292" s="205"/>
      <c r="E292" s="205"/>
      <c r="F292" s="296"/>
      <c r="G292" s="296"/>
      <c r="H292" s="296"/>
      <c r="I292" s="296"/>
      <c r="J292" s="296"/>
      <c r="K292" s="296"/>
      <c r="L292" s="296"/>
      <c r="M292" s="296"/>
      <c r="N292" s="296"/>
      <c r="O292" s="273"/>
      <c r="P292" s="274"/>
      <c r="Q292" s="273"/>
      <c r="R292" s="273"/>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row>
    <row r="293" spans="1:46">
      <c r="A293" s="146"/>
      <c r="B293" s="205"/>
      <c r="C293" s="205"/>
      <c r="D293" s="205"/>
      <c r="E293" s="205"/>
      <c r="F293" s="296"/>
      <c r="G293" s="296"/>
      <c r="H293" s="296"/>
      <c r="I293" s="296"/>
      <c r="J293" s="296"/>
      <c r="K293" s="296"/>
      <c r="L293" s="296"/>
      <c r="M293" s="296"/>
      <c r="N293" s="296"/>
      <c r="O293" s="273"/>
      <c r="P293" s="274"/>
      <c r="Q293" s="273"/>
      <c r="R293" s="273"/>
      <c r="S293" s="146"/>
      <c r="T293" s="146"/>
      <c r="U293" s="146"/>
      <c r="V293" s="146"/>
      <c r="W293" s="146"/>
      <c r="X293" s="146"/>
      <c r="Y293" s="146"/>
      <c r="Z293" s="146"/>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row>
    <row r="294" spans="1:46">
      <c r="A294" s="146"/>
      <c r="B294" s="205"/>
      <c r="C294" s="205"/>
      <c r="D294" s="205"/>
      <c r="E294" s="205"/>
      <c r="F294" s="296"/>
      <c r="G294" s="296"/>
      <c r="H294" s="296"/>
      <c r="I294" s="296"/>
      <c r="J294" s="296"/>
      <c r="K294" s="296"/>
      <c r="L294" s="296"/>
      <c r="M294" s="296"/>
      <c r="N294" s="296"/>
      <c r="O294" s="273"/>
      <c r="P294" s="274"/>
      <c r="Q294" s="273"/>
      <c r="R294" s="273"/>
      <c r="S294" s="146"/>
      <c r="T294" s="146"/>
      <c r="U294" s="146"/>
      <c r="V294" s="146"/>
      <c r="W294" s="146"/>
      <c r="X294" s="146"/>
      <c r="Y294" s="146"/>
      <c r="Z294" s="146"/>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row>
    <row r="295" spans="1:46">
      <c r="A295" s="146"/>
      <c r="B295" s="205"/>
      <c r="C295" s="205"/>
      <c r="D295" s="205"/>
      <c r="E295" s="205"/>
      <c r="F295" s="296"/>
      <c r="G295" s="296"/>
      <c r="H295" s="296"/>
      <c r="I295" s="296"/>
      <c r="J295" s="296"/>
      <c r="K295" s="296"/>
      <c r="L295" s="296"/>
      <c r="M295" s="296"/>
      <c r="N295" s="296"/>
      <c r="O295" s="273"/>
      <c r="P295" s="274"/>
      <c r="Q295" s="273"/>
      <c r="R295" s="273"/>
      <c r="S295" s="146"/>
      <c r="T295" s="146"/>
      <c r="U295" s="146"/>
      <c r="V295" s="146"/>
      <c r="W295" s="146"/>
      <c r="X295" s="146"/>
      <c r="Y295" s="146"/>
      <c r="Z295" s="146"/>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row>
    <row r="296" spans="1:46">
      <c r="A296" s="146"/>
      <c r="B296" s="205"/>
      <c r="C296" s="205"/>
      <c r="D296" s="205"/>
      <c r="E296" s="205"/>
      <c r="F296" s="296"/>
      <c r="G296" s="296"/>
      <c r="H296" s="296"/>
      <c r="I296" s="296"/>
      <c r="J296" s="296"/>
      <c r="K296" s="296"/>
      <c r="L296" s="296"/>
      <c r="M296" s="296"/>
      <c r="N296" s="296"/>
      <c r="O296" s="273"/>
      <c r="P296" s="274"/>
      <c r="Q296" s="273"/>
      <c r="R296" s="273"/>
      <c r="S296" s="146"/>
      <c r="T296" s="146"/>
      <c r="U296" s="146"/>
      <c r="V296" s="146"/>
      <c r="W296" s="146"/>
      <c r="X296" s="146"/>
      <c r="Y296" s="146"/>
      <c r="Z296" s="14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row>
    <row r="297" spans="1:46">
      <c r="A297" s="146"/>
      <c r="B297" s="205"/>
      <c r="C297" s="205"/>
      <c r="D297" s="205"/>
      <c r="E297" s="205"/>
      <c r="F297" s="296"/>
      <c r="G297" s="296"/>
      <c r="H297" s="296"/>
      <c r="I297" s="296"/>
      <c r="J297" s="296"/>
      <c r="K297" s="296"/>
      <c r="L297" s="296"/>
      <c r="M297" s="296"/>
      <c r="N297" s="296"/>
      <c r="O297" s="273"/>
      <c r="P297" s="274"/>
      <c r="Q297" s="273"/>
      <c r="R297" s="273"/>
      <c r="S297" s="146"/>
      <c r="T297" s="146"/>
      <c r="U297" s="146"/>
      <c r="V297" s="146"/>
      <c r="W297" s="146"/>
      <c r="X297" s="146"/>
      <c r="Y297" s="146"/>
      <c r="Z297" s="146"/>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row>
    <row r="298" spans="1:46">
      <c r="A298" s="146"/>
      <c r="B298" s="205"/>
      <c r="C298" s="205"/>
      <c r="D298" s="205"/>
      <c r="E298" s="205"/>
      <c r="F298" s="296"/>
      <c r="G298" s="296"/>
      <c r="H298" s="296"/>
      <c r="I298" s="296"/>
      <c r="J298" s="296"/>
      <c r="K298" s="296"/>
      <c r="L298" s="296"/>
      <c r="M298" s="296"/>
      <c r="N298" s="296"/>
      <c r="O298" s="273"/>
      <c r="P298" s="274"/>
      <c r="Q298" s="273"/>
      <c r="R298" s="273"/>
      <c r="S298" s="146"/>
      <c r="T298" s="146"/>
      <c r="U298" s="146"/>
      <c r="V298" s="146"/>
      <c r="W298" s="146"/>
      <c r="X298" s="146"/>
      <c r="Y298" s="146"/>
      <c r="Z298" s="146"/>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row>
    <row r="299" spans="1:46">
      <c r="A299" s="146"/>
      <c r="B299" s="205"/>
      <c r="C299" s="205"/>
      <c r="D299" s="205"/>
      <c r="E299" s="205"/>
      <c r="F299" s="296"/>
      <c r="G299" s="296"/>
      <c r="H299" s="296"/>
      <c r="I299" s="296"/>
      <c r="J299" s="296"/>
      <c r="K299" s="296"/>
      <c r="L299" s="296"/>
      <c r="M299" s="296"/>
      <c r="N299" s="296"/>
      <c r="O299" s="273"/>
      <c r="P299" s="274"/>
      <c r="Q299" s="273"/>
      <c r="R299" s="273"/>
      <c r="S299" s="146"/>
      <c r="T299" s="146"/>
      <c r="U299" s="146"/>
      <c r="V299" s="146"/>
      <c r="W299" s="146"/>
      <c r="X299" s="146"/>
      <c r="Y299" s="146"/>
      <c r="Z299" s="146"/>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row>
    <row r="300" spans="1:46">
      <c r="A300" s="146"/>
      <c r="B300" s="205"/>
      <c r="C300" s="205"/>
      <c r="D300" s="205"/>
      <c r="E300" s="205"/>
      <c r="F300" s="296"/>
      <c r="G300" s="296"/>
      <c r="H300" s="296"/>
      <c r="I300" s="296"/>
      <c r="J300" s="296"/>
      <c r="K300" s="296"/>
      <c r="L300" s="296"/>
      <c r="M300" s="296"/>
      <c r="N300" s="296"/>
      <c r="O300" s="273"/>
      <c r="P300" s="274"/>
      <c r="Q300" s="273"/>
      <c r="R300" s="273"/>
      <c r="S300" s="146"/>
      <c r="T300" s="146"/>
      <c r="U300" s="146"/>
      <c r="V300" s="146"/>
      <c r="W300" s="146"/>
      <c r="X300" s="146"/>
      <c r="Y300" s="146"/>
      <c r="Z300" s="146"/>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row>
    <row r="301" spans="1:46">
      <c r="A301" s="146"/>
      <c r="B301" s="205"/>
      <c r="C301" s="205"/>
      <c r="D301" s="205"/>
      <c r="E301" s="205"/>
      <c r="F301" s="296"/>
      <c r="G301" s="296"/>
      <c r="H301" s="296"/>
      <c r="I301" s="296"/>
      <c r="J301" s="296"/>
      <c r="K301" s="296"/>
      <c r="L301" s="296"/>
      <c r="M301" s="296"/>
      <c r="N301" s="296"/>
      <c r="O301" s="273"/>
      <c r="P301" s="274"/>
      <c r="Q301" s="273"/>
      <c r="R301" s="273"/>
      <c r="S301" s="146"/>
      <c r="T301" s="146"/>
      <c r="U301" s="146"/>
      <c r="V301" s="146"/>
      <c r="W301" s="146"/>
      <c r="X301" s="146"/>
      <c r="Y301" s="146"/>
      <c r="Z301" s="146"/>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row>
    <row r="302" spans="1:46">
      <c r="A302" s="146"/>
      <c r="B302" s="205"/>
      <c r="C302" s="205"/>
      <c r="D302" s="205"/>
      <c r="E302" s="205"/>
      <c r="F302" s="296"/>
      <c r="G302" s="296"/>
      <c r="H302" s="296"/>
      <c r="I302" s="296"/>
      <c r="J302" s="296"/>
      <c r="K302" s="296"/>
      <c r="L302" s="296"/>
      <c r="M302" s="296"/>
      <c r="N302" s="296"/>
      <c r="O302" s="273"/>
      <c r="P302" s="274"/>
      <c r="Q302" s="273"/>
      <c r="R302" s="273"/>
      <c r="S302" s="146"/>
      <c r="T302" s="146"/>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row>
    <row r="303" spans="1:46">
      <c r="A303" s="146"/>
      <c r="B303" s="205"/>
      <c r="C303" s="205"/>
      <c r="D303" s="205"/>
      <c r="E303" s="205"/>
      <c r="F303" s="296"/>
      <c r="G303" s="296"/>
      <c r="H303" s="296"/>
      <c r="I303" s="296"/>
      <c r="J303" s="296"/>
      <c r="K303" s="296"/>
      <c r="L303" s="296"/>
      <c r="M303" s="296"/>
      <c r="N303" s="296"/>
      <c r="O303" s="273"/>
      <c r="P303" s="274"/>
      <c r="Q303" s="273"/>
      <c r="R303" s="273"/>
      <c r="S303" s="146"/>
      <c r="T303" s="146"/>
      <c r="U303" s="146"/>
      <c r="V303" s="146"/>
      <c r="W303" s="146"/>
      <c r="X303" s="146"/>
      <c r="Y303" s="146"/>
      <c r="Z303" s="146"/>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row>
    <row r="304" spans="1:46">
      <c r="A304" s="146"/>
      <c r="B304" s="205"/>
      <c r="C304" s="205"/>
      <c r="D304" s="205"/>
      <c r="E304" s="205"/>
      <c r="F304" s="296"/>
      <c r="G304" s="296"/>
      <c r="H304" s="296"/>
      <c r="I304" s="296"/>
      <c r="J304" s="296"/>
      <c r="K304" s="296"/>
      <c r="L304" s="296"/>
      <c r="M304" s="296"/>
      <c r="N304" s="296"/>
      <c r="O304" s="273"/>
      <c r="P304" s="274"/>
      <c r="Q304" s="273"/>
      <c r="R304" s="273"/>
      <c r="S304" s="146"/>
      <c r="T304" s="146"/>
      <c r="U304" s="146"/>
      <c r="V304" s="146"/>
      <c r="W304" s="146"/>
      <c r="X304" s="146"/>
      <c r="Y304" s="146"/>
      <c r="Z304" s="146"/>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row>
    <row r="305" spans="1:46">
      <c r="A305" s="146"/>
      <c r="B305" s="205"/>
      <c r="C305" s="205"/>
      <c r="D305" s="205"/>
      <c r="E305" s="205"/>
      <c r="F305" s="296"/>
      <c r="G305" s="296"/>
      <c r="H305" s="296"/>
      <c r="I305" s="296"/>
      <c r="J305" s="296"/>
      <c r="K305" s="296"/>
      <c r="L305" s="296"/>
      <c r="M305" s="296"/>
      <c r="N305" s="296"/>
      <c r="O305" s="273"/>
      <c r="P305" s="274"/>
      <c r="Q305" s="273"/>
      <c r="R305" s="273"/>
      <c r="S305" s="146"/>
      <c r="T305" s="146"/>
      <c r="U305" s="146"/>
      <c r="V305" s="146"/>
      <c r="W305" s="146"/>
      <c r="X305" s="146"/>
      <c r="Y305" s="146"/>
      <c r="Z305" s="146"/>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row>
    <row r="306" spans="1:46">
      <c r="A306" s="146"/>
      <c r="B306" s="205"/>
      <c r="C306" s="205"/>
      <c r="D306" s="205"/>
      <c r="E306" s="205"/>
      <c r="F306" s="296"/>
      <c r="G306" s="296"/>
      <c r="H306" s="296"/>
      <c r="I306" s="296"/>
      <c r="J306" s="296"/>
      <c r="K306" s="296"/>
      <c r="L306" s="296"/>
      <c r="M306" s="296"/>
      <c r="N306" s="296"/>
      <c r="O306" s="273"/>
      <c r="P306" s="274"/>
      <c r="Q306" s="273"/>
      <c r="R306" s="273"/>
      <c r="S306" s="146"/>
      <c r="T306" s="146"/>
      <c r="U306" s="146"/>
      <c r="V306" s="146"/>
      <c r="W306" s="146"/>
      <c r="X306" s="146"/>
      <c r="Y306" s="146"/>
      <c r="Z306" s="14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row>
    <row r="307" spans="1:46">
      <c r="A307" s="146"/>
      <c r="B307" s="205"/>
      <c r="C307" s="205"/>
      <c r="D307" s="205"/>
      <c r="E307" s="205"/>
      <c r="F307" s="296"/>
      <c r="G307" s="296"/>
      <c r="H307" s="296"/>
      <c r="I307" s="296"/>
      <c r="J307" s="296"/>
      <c r="K307" s="296"/>
      <c r="L307" s="296"/>
      <c r="M307" s="296"/>
      <c r="N307" s="296"/>
      <c r="O307" s="273"/>
      <c r="P307" s="274"/>
      <c r="Q307" s="273"/>
      <c r="R307" s="273"/>
      <c r="S307" s="146"/>
      <c r="T307" s="146"/>
      <c r="U307" s="146"/>
      <c r="V307" s="146"/>
      <c r="W307" s="146"/>
      <c r="X307" s="146"/>
      <c r="Y307" s="146"/>
      <c r="Z307" s="146"/>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row>
    <row r="308" spans="1:46">
      <c r="A308" s="146"/>
      <c r="B308" s="205"/>
      <c r="C308" s="205"/>
      <c r="D308" s="205"/>
      <c r="E308" s="205"/>
      <c r="F308" s="296"/>
      <c r="G308" s="296"/>
      <c r="H308" s="296"/>
      <c r="I308" s="296"/>
      <c r="J308" s="296"/>
      <c r="K308" s="296"/>
      <c r="L308" s="296"/>
      <c r="M308" s="296"/>
      <c r="N308" s="296"/>
      <c r="O308" s="273"/>
      <c r="P308" s="274"/>
      <c r="Q308" s="273"/>
      <c r="R308" s="273"/>
      <c r="S308" s="146"/>
      <c r="T308" s="146"/>
      <c r="U308" s="146"/>
      <c r="V308" s="146"/>
      <c r="W308" s="146"/>
      <c r="X308" s="146"/>
      <c r="Y308" s="146"/>
      <c r="Z308" s="146"/>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row>
    <row r="309" spans="1:46">
      <c r="A309" s="146"/>
      <c r="B309" s="205"/>
      <c r="C309" s="205"/>
      <c r="D309" s="205"/>
      <c r="E309" s="205"/>
      <c r="F309" s="296"/>
      <c r="G309" s="296"/>
      <c r="H309" s="296"/>
      <c r="I309" s="296"/>
      <c r="J309" s="296"/>
      <c r="K309" s="296"/>
      <c r="L309" s="296"/>
      <c r="M309" s="296"/>
      <c r="N309" s="296"/>
      <c r="O309" s="273"/>
      <c r="P309" s="274"/>
      <c r="Q309" s="273"/>
      <c r="R309" s="273"/>
      <c r="S309" s="146"/>
      <c r="T309" s="146"/>
      <c r="U309" s="146"/>
      <c r="V309" s="146"/>
      <c r="W309" s="146"/>
      <c r="X309" s="146"/>
      <c r="Y309" s="146"/>
      <c r="Z309" s="146"/>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row>
    <row r="310" spans="1:46">
      <c r="A310" s="146"/>
      <c r="B310" s="205"/>
      <c r="C310" s="205"/>
      <c r="D310" s="205"/>
      <c r="E310" s="205"/>
      <c r="F310" s="296"/>
      <c r="G310" s="296"/>
      <c r="H310" s="296"/>
      <c r="I310" s="296"/>
      <c r="J310" s="296"/>
      <c r="K310" s="296"/>
      <c r="L310" s="296"/>
      <c r="M310" s="296"/>
      <c r="N310" s="296"/>
      <c r="O310" s="273"/>
      <c r="P310" s="274"/>
      <c r="Q310" s="273"/>
      <c r="R310" s="273"/>
      <c r="S310" s="146"/>
      <c r="T310" s="146"/>
      <c r="U310" s="146"/>
      <c r="V310" s="146"/>
      <c r="W310" s="146"/>
      <c r="X310" s="146"/>
      <c r="Y310" s="146"/>
      <c r="Z310" s="146"/>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row>
    <row r="311" spans="1:46">
      <c r="A311" s="146"/>
      <c r="B311" s="205"/>
      <c r="C311" s="205"/>
      <c r="D311" s="205"/>
      <c r="E311" s="205"/>
      <c r="F311" s="296"/>
      <c r="G311" s="296"/>
      <c r="H311" s="296"/>
      <c r="I311" s="296"/>
      <c r="J311" s="296"/>
      <c r="K311" s="296"/>
      <c r="L311" s="296"/>
      <c r="M311" s="296"/>
      <c r="N311" s="296"/>
      <c r="O311" s="273"/>
      <c r="P311" s="274"/>
      <c r="Q311" s="273"/>
      <c r="R311" s="273"/>
      <c r="S311" s="146"/>
      <c r="T311" s="146"/>
      <c r="U311" s="146"/>
      <c r="V311" s="146"/>
      <c r="W311" s="146"/>
      <c r="X311" s="146"/>
      <c r="Y311" s="146"/>
      <c r="Z311" s="146"/>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row>
    <row r="312" spans="1:46">
      <c r="A312" s="146"/>
      <c r="B312" s="205"/>
      <c r="C312" s="205"/>
      <c r="D312" s="205"/>
      <c r="E312" s="205"/>
      <c r="F312" s="296"/>
      <c r="G312" s="296"/>
      <c r="H312" s="296"/>
      <c r="I312" s="296"/>
      <c r="J312" s="296"/>
      <c r="K312" s="296"/>
      <c r="L312" s="296"/>
      <c r="M312" s="296"/>
      <c r="N312" s="296"/>
      <c r="O312" s="273"/>
      <c r="P312" s="274"/>
      <c r="Q312" s="273"/>
      <c r="R312" s="273"/>
      <c r="S312" s="146"/>
      <c r="T312" s="146"/>
      <c r="U312" s="146"/>
      <c r="V312" s="146"/>
      <c r="W312" s="146"/>
      <c r="X312" s="146"/>
      <c r="Y312" s="146"/>
      <c r="Z312" s="146"/>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row>
    <row r="313" spans="1:46">
      <c r="A313" s="146"/>
      <c r="B313" s="205"/>
      <c r="C313" s="205"/>
      <c r="D313" s="205"/>
      <c r="E313" s="205"/>
      <c r="F313" s="296"/>
      <c r="G313" s="296"/>
      <c r="H313" s="296"/>
      <c r="I313" s="296"/>
      <c r="J313" s="296"/>
      <c r="K313" s="296"/>
      <c r="L313" s="296"/>
      <c r="M313" s="296"/>
      <c r="N313" s="296"/>
      <c r="O313" s="273"/>
      <c r="P313" s="274"/>
      <c r="Q313" s="273"/>
      <c r="R313" s="273"/>
      <c r="S313" s="146"/>
      <c r="T313" s="146"/>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row>
    <row r="314" spans="1:46">
      <c r="A314" s="146"/>
      <c r="B314" s="205"/>
      <c r="C314" s="205"/>
      <c r="D314" s="205"/>
      <c r="E314" s="205"/>
      <c r="F314" s="296"/>
      <c r="G314" s="296"/>
      <c r="H314" s="296"/>
      <c r="I314" s="296"/>
      <c r="J314" s="296"/>
      <c r="K314" s="296"/>
      <c r="L314" s="296"/>
      <c r="M314" s="296"/>
      <c r="N314" s="296"/>
      <c r="O314" s="273"/>
      <c r="P314" s="274"/>
      <c r="Q314" s="273"/>
      <c r="R314" s="273"/>
      <c r="S314" s="146"/>
      <c r="T314" s="146"/>
      <c r="U314" s="146"/>
      <c r="V314" s="146"/>
      <c r="W314" s="146"/>
      <c r="X314" s="146"/>
      <c r="Y314" s="146"/>
      <c r="Z314" s="146"/>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row>
    <row r="315" spans="1:46">
      <c r="A315" s="146"/>
      <c r="B315" s="205"/>
      <c r="C315" s="205"/>
      <c r="D315" s="205"/>
      <c r="E315" s="205"/>
      <c r="F315" s="296"/>
      <c r="G315" s="296"/>
      <c r="H315" s="296"/>
      <c r="I315" s="296"/>
      <c r="J315" s="296"/>
      <c r="K315" s="296"/>
      <c r="L315" s="296"/>
      <c r="M315" s="296"/>
      <c r="N315" s="296"/>
      <c r="O315" s="273"/>
      <c r="P315" s="274"/>
      <c r="Q315" s="273"/>
      <c r="R315" s="273"/>
      <c r="S315" s="146"/>
      <c r="T315" s="146"/>
      <c r="U315" s="146"/>
      <c r="V315" s="146"/>
      <c r="W315" s="146"/>
      <c r="X315" s="146"/>
      <c r="Y315" s="146"/>
      <c r="Z315" s="146"/>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row>
    <row r="316" spans="1:46">
      <c r="A316" s="146"/>
      <c r="B316" s="205"/>
      <c r="C316" s="205"/>
      <c r="D316" s="205"/>
      <c r="E316" s="205"/>
      <c r="F316" s="296"/>
      <c r="G316" s="296"/>
      <c r="H316" s="296"/>
      <c r="I316" s="296"/>
      <c r="J316" s="296"/>
      <c r="K316" s="296"/>
      <c r="L316" s="296"/>
      <c r="M316" s="296"/>
      <c r="N316" s="296"/>
      <c r="O316" s="273"/>
      <c r="P316" s="274"/>
      <c r="Q316" s="273"/>
      <c r="R316" s="273"/>
      <c r="S316" s="146"/>
      <c r="T316" s="146"/>
      <c r="U316" s="146"/>
      <c r="V316" s="146"/>
      <c r="W316" s="146"/>
      <c r="X316" s="146"/>
      <c r="Y316" s="146"/>
      <c r="Z316" s="14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row>
    <row r="317" spans="1:46">
      <c r="A317" s="146"/>
      <c r="B317" s="205"/>
      <c r="C317" s="205"/>
      <c r="D317" s="205"/>
      <c r="E317" s="205"/>
      <c r="F317" s="296"/>
      <c r="G317" s="296"/>
      <c r="H317" s="296"/>
      <c r="I317" s="296"/>
      <c r="J317" s="296"/>
      <c r="K317" s="296"/>
      <c r="L317" s="296"/>
      <c r="M317" s="296"/>
      <c r="N317" s="296"/>
      <c r="O317" s="273"/>
      <c r="P317" s="274"/>
      <c r="Q317" s="273"/>
      <c r="R317" s="273"/>
      <c r="S317" s="146"/>
      <c r="T317" s="146"/>
      <c r="U317" s="146"/>
      <c r="V317" s="146"/>
      <c r="W317" s="146"/>
      <c r="X317" s="146"/>
      <c r="Y317" s="146"/>
      <c r="Z317" s="146"/>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row>
    <row r="318" spans="1:46">
      <c r="A318" s="146"/>
      <c r="B318" s="205"/>
      <c r="C318" s="205"/>
      <c r="D318" s="205"/>
      <c r="E318" s="205"/>
      <c r="F318" s="296"/>
      <c r="G318" s="296"/>
      <c r="H318" s="296"/>
      <c r="I318" s="296"/>
      <c r="J318" s="296"/>
      <c r="K318" s="296"/>
      <c r="L318" s="296"/>
      <c r="M318" s="296"/>
      <c r="N318" s="296"/>
      <c r="O318" s="273"/>
      <c r="P318" s="274"/>
      <c r="Q318" s="273"/>
      <c r="R318" s="273"/>
      <c r="S318" s="146"/>
      <c r="T318" s="146"/>
      <c r="U318" s="146"/>
      <c r="V318" s="146"/>
      <c r="W318" s="146"/>
      <c r="X318" s="146"/>
      <c r="Y318" s="146"/>
      <c r="Z318" s="146"/>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row>
    <row r="319" spans="1:46">
      <c r="A319" s="146"/>
      <c r="B319" s="205"/>
      <c r="C319" s="205"/>
      <c r="D319" s="205"/>
      <c r="E319" s="205"/>
      <c r="F319" s="296"/>
      <c r="G319" s="296"/>
      <c r="H319" s="296"/>
      <c r="I319" s="296"/>
      <c r="J319" s="296"/>
      <c r="K319" s="296"/>
      <c r="L319" s="296"/>
      <c r="M319" s="296"/>
      <c r="N319" s="296"/>
      <c r="O319" s="273"/>
      <c r="P319" s="274"/>
      <c r="Q319" s="273"/>
      <c r="R319" s="273"/>
      <c r="S319" s="146"/>
      <c r="T319" s="146"/>
      <c r="U319" s="146"/>
      <c r="V319" s="146"/>
      <c r="W319" s="146"/>
      <c r="X319" s="146"/>
      <c r="Y319" s="146"/>
      <c r="Z319" s="146"/>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row>
    <row r="320" spans="1:46">
      <c r="A320" s="146"/>
      <c r="B320" s="205"/>
      <c r="C320" s="205"/>
      <c r="D320" s="205"/>
      <c r="E320" s="205"/>
      <c r="F320" s="296"/>
      <c r="G320" s="296"/>
      <c r="H320" s="296"/>
      <c r="I320" s="296"/>
      <c r="J320" s="296"/>
      <c r="K320" s="296"/>
      <c r="L320" s="296"/>
      <c r="M320" s="296"/>
      <c r="N320" s="296"/>
      <c r="O320" s="273"/>
      <c r="P320" s="274"/>
      <c r="Q320" s="273"/>
      <c r="R320" s="273"/>
      <c r="S320" s="146"/>
      <c r="T320" s="146"/>
      <c r="U320" s="146"/>
      <c r="V320" s="146"/>
      <c r="W320" s="146"/>
      <c r="X320" s="146"/>
      <c r="Y320" s="146"/>
      <c r="Z320" s="146"/>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row>
    <row r="321" spans="1:46">
      <c r="A321" s="146"/>
      <c r="B321" s="205"/>
      <c r="C321" s="205"/>
      <c r="D321" s="205"/>
      <c r="E321" s="205"/>
      <c r="F321" s="296"/>
      <c r="G321" s="296"/>
      <c r="H321" s="296"/>
      <c r="I321" s="296"/>
      <c r="J321" s="296"/>
      <c r="K321" s="296"/>
      <c r="L321" s="296"/>
      <c r="M321" s="296"/>
      <c r="N321" s="296"/>
      <c r="O321" s="273"/>
      <c r="P321" s="274"/>
      <c r="Q321" s="273"/>
      <c r="R321" s="273"/>
      <c r="S321" s="146"/>
      <c r="T321" s="146"/>
      <c r="U321" s="146"/>
      <c r="V321" s="146"/>
      <c r="W321" s="146"/>
      <c r="X321" s="146"/>
      <c r="Y321" s="146"/>
      <c r="Z321" s="146"/>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row>
    <row r="322" spans="1:46">
      <c r="A322" s="146"/>
      <c r="B322" s="205"/>
      <c r="C322" s="205"/>
      <c r="D322" s="205"/>
      <c r="E322" s="205"/>
      <c r="F322" s="296"/>
      <c r="G322" s="296"/>
      <c r="H322" s="296"/>
      <c r="I322" s="296"/>
      <c r="J322" s="296"/>
      <c r="K322" s="296"/>
      <c r="L322" s="296"/>
      <c r="M322" s="296"/>
      <c r="N322" s="296"/>
      <c r="O322" s="273"/>
      <c r="P322" s="274"/>
      <c r="Q322" s="273"/>
      <c r="R322" s="273"/>
      <c r="S322" s="146"/>
      <c r="T322" s="146"/>
      <c r="U322" s="146"/>
      <c r="V322" s="146"/>
      <c r="W322" s="146"/>
      <c r="X322" s="146"/>
      <c r="Y322" s="146"/>
      <c r="Z322" s="146"/>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row>
    <row r="323" spans="1:46">
      <c r="A323" s="146"/>
      <c r="B323" s="205"/>
      <c r="C323" s="205"/>
      <c r="D323" s="205"/>
      <c r="E323" s="205"/>
      <c r="F323" s="296"/>
      <c r="G323" s="296"/>
      <c r="H323" s="296"/>
      <c r="I323" s="296"/>
      <c r="J323" s="296"/>
      <c r="K323" s="296"/>
      <c r="L323" s="296"/>
      <c r="M323" s="296"/>
      <c r="N323" s="296"/>
      <c r="O323" s="273"/>
      <c r="P323" s="274"/>
      <c r="Q323" s="273"/>
      <c r="R323" s="273"/>
      <c r="S323" s="146"/>
      <c r="T323" s="146"/>
      <c r="U323" s="146"/>
      <c r="V323" s="146"/>
      <c r="W323" s="146"/>
      <c r="X323" s="146"/>
      <c r="Y323" s="146"/>
      <c r="Z323" s="146"/>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row>
    <row r="324" spans="1:46">
      <c r="A324" s="146"/>
      <c r="B324" s="205"/>
      <c r="C324" s="205"/>
      <c r="D324" s="205"/>
      <c r="E324" s="205"/>
      <c r="F324" s="296"/>
      <c r="G324" s="296"/>
      <c r="H324" s="296"/>
      <c r="I324" s="296"/>
      <c r="J324" s="296"/>
      <c r="K324" s="296"/>
      <c r="L324" s="296"/>
      <c r="M324" s="296"/>
      <c r="N324" s="296"/>
      <c r="O324" s="273"/>
      <c r="P324" s="274"/>
      <c r="Q324" s="273"/>
      <c r="R324" s="273"/>
      <c r="S324" s="146"/>
      <c r="T324" s="146"/>
      <c r="U324" s="146"/>
      <c r="V324" s="146"/>
      <c r="W324" s="146"/>
      <c r="X324" s="146"/>
      <c r="Y324" s="146"/>
      <c r="Z324" s="146"/>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row>
    <row r="325" spans="1:46">
      <c r="A325" s="146"/>
      <c r="B325" s="205"/>
      <c r="C325" s="205"/>
      <c r="D325" s="205"/>
      <c r="E325" s="205"/>
      <c r="F325" s="296"/>
      <c r="G325" s="296"/>
      <c r="H325" s="296"/>
      <c r="I325" s="296"/>
      <c r="J325" s="296"/>
      <c r="K325" s="296"/>
      <c r="L325" s="296"/>
      <c r="M325" s="296"/>
      <c r="N325" s="296"/>
      <c r="O325" s="273"/>
      <c r="P325" s="274"/>
      <c r="Q325" s="273"/>
      <c r="R325" s="273"/>
      <c r="S325" s="146"/>
      <c r="T325" s="146"/>
      <c r="U325" s="146"/>
      <c r="V325" s="146"/>
      <c r="W325" s="146"/>
      <c r="X325" s="146"/>
      <c r="Y325" s="146"/>
      <c r="Z325" s="146"/>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row>
    <row r="326" spans="1:46">
      <c r="A326" s="146"/>
      <c r="B326" s="205"/>
      <c r="C326" s="205"/>
      <c r="D326" s="205"/>
      <c r="E326" s="205"/>
      <c r="F326" s="296"/>
      <c r="G326" s="296"/>
      <c r="H326" s="296"/>
      <c r="I326" s="296"/>
      <c r="J326" s="296"/>
      <c r="K326" s="296"/>
      <c r="L326" s="296"/>
      <c r="M326" s="296"/>
      <c r="N326" s="296"/>
      <c r="O326" s="273"/>
      <c r="P326" s="274"/>
      <c r="Q326" s="273"/>
      <c r="R326" s="273"/>
      <c r="S326" s="146"/>
      <c r="T326" s="146"/>
      <c r="U326" s="146"/>
      <c r="V326" s="146"/>
      <c r="W326" s="146"/>
      <c r="X326" s="146"/>
      <c r="Y326" s="146"/>
      <c r="Z326" s="14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row>
    <row r="327" spans="1:46">
      <c r="A327" s="146"/>
      <c r="B327" s="205"/>
      <c r="C327" s="205"/>
      <c r="D327" s="205"/>
      <c r="E327" s="205"/>
      <c r="F327" s="296"/>
      <c r="G327" s="296"/>
      <c r="H327" s="296"/>
      <c r="I327" s="296"/>
      <c r="J327" s="296"/>
      <c r="K327" s="296"/>
      <c r="L327" s="296"/>
      <c r="M327" s="296"/>
      <c r="N327" s="296"/>
      <c r="O327" s="273"/>
      <c r="P327" s="274"/>
      <c r="Q327" s="273"/>
      <c r="R327" s="273"/>
      <c r="S327" s="146"/>
      <c r="T327" s="146"/>
      <c r="U327" s="146"/>
      <c r="V327" s="146"/>
      <c r="W327" s="146"/>
      <c r="X327" s="146"/>
      <c r="Y327" s="146"/>
      <c r="Z327" s="146"/>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row>
    <row r="328" spans="1:46">
      <c r="A328" s="146"/>
      <c r="B328" s="205"/>
      <c r="C328" s="205"/>
      <c r="D328" s="205"/>
      <c r="E328" s="205"/>
      <c r="F328" s="296"/>
      <c r="G328" s="296"/>
      <c r="H328" s="296"/>
      <c r="I328" s="296"/>
      <c r="J328" s="296"/>
      <c r="K328" s="296"/>
      <c r="L328" s="296"/>
      <c r="M328" s="296"/>
      <c r="N328" s="296"/>
      <c r="O328" s="273"/>
      <c r="P328" s="274"/>
      <c r="Q328" s="273"/>
      <c r="R328" s="273"/>
      <c r="S328" s="146"/>
      <c r="T328" s="146"/>
      <c r="U328" s="146"/>
      <c r="V328" s="146"/>
      <c r="W328" s="146"/>
      <c r="X328" s="146"/>
      <c r="Y328" s="146"/>
      <c r="Z328" s="146"/>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row>
    <row r="329" spans="1:46">
      <c r="A329" s="146"/>
      <c r="B329" s="205"/>
      <c r="C329" s="205"/>
      <c r="D329" s="205"/>
      <c r="E329" s="205"/>
      <c r="F329" s="296"/>
      <c r="G329" s="296"/>
      <c r="H329" s="296"/>
      <c r="I329" s="296"/>
      <c r="J329" s="296"/>
      <c r="K329" s="296"/>
      <c r="L329" s="296"/>
      <c r="M329" s="296"/>
      <c r="N329" s="296"/>
      <c r="O329" s="273"/>
      <c r="P329" s="274"/>
      <c r="Q329" s="273"/>
      <c r="R329" s="273"/>
      <c r="S329" s="146"/>
      <c r="T329" s="146"/>
      <c r="U329" s="146"/>
      <c r="V329" s="146"/>
      <c r="W329" s="146"/>
      <c r="X329" s="146"/>
      <c r="Y329" s="146"/>
      <c r="Z329" s="146"/>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row>
    <row r="330" spans="1:46">
      <c r="A330" s="146"/>
      <c r="B330" s="205"/>
      <c r="C330" s="205"/>
      <c r="D330" s="205"/>
      <c r="E330" s="205"/>
      <c r="F330" s="296"/>
      <c r="G330" s="296"/>
      <c r="H330" s="296"/>
      <c r="I330" s="296"/>
      <c r="J330" s="296"/>
      <c r="K330" s="296"/>
      <c r="L330" s="296"/>
      <c r="M330" s="296"/>
      <c r="N330" s="296"/>
      <c r="O330" s="273"/>
      <c r="P330" s="274"/>
      <c r="Q330" s="273"/>
      <c r="R330" s="273"/>
      <c r="S330" s="146"/>
      <c r="T330" s="146"/>
      <c r="U330" s="146"/>
      <c r="V330" s="146"/>
      <c r="W330" s="146"/>
      <c r="X330" s="146"/>
      <c r="Y330" s="146"/>
      <c r="Z330" s="146"/>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row>
    <row r="331" spans="1:46">
      <c r="A331" s="146"/>
      <c r="B331" s="205"/>
      <c r="C331" s="205"/>
      <c r="D331" s="205"/>
      <c r="E331" s="205"/>
      <c r="F331" s="296"/>
      <c r="G331" s="296"/>
      <c r="H331" s="296"/>
      <c r="I331" s="296"/>
      <c r="J331" s="296"/>
      <c r="K331" s="296"/>
      <c r="L331" s="296"/>
      <c r="M331" s="296"/>
      <c r="N331" s="296"/>
      <c r="O331" s="273"/>
      <c r="P331" s="274"/>
      <c r="Q331" s="273"/>
      <c r="R331" s="273"/>
      <c r="S331" s="146"/>
      <c r="T331" s="146"/>
      <c r="U331" s="146"/>
      <c r="V331" s="146"/>
      <c r="W331" s="146"/>
      <c r="X331" s="146"/>
      <c r="Y331" s="146"/>
      <c r="Z331" s="146"/>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row>
    <row r="332" spans="1:46">
      <c r="A332" s="146"/>
      <c r="B332" s="205"/>
      <c r="C332" s="205"/>
      <c r="D332" s="205"/>
      <c r="E332" s="205"/>
      <c r="F332" s="296"/>
      <c r="G332" s="296"/>
      <c r="H332" s="296"/>
      <c r="I332" s="296"/>
      <c r="J332" s="296"/>
      <c r="K332" s="296"/>
      <c r="L332" s="296"/>
      <c r="M332" s="296"/>
      <c r="N332" s="296"/>
      <c r="O332" s="273"/>
      <c r="P332" s="274"/>
      <c r="Q332" s="273"/>
      <c r="R332" s="273"/>
      <c r="S332" s="146"/>
      <c r="T332" s="146"/>
      <c r="U332" s="146"/>
      <c r="V332" s="146"/>
      <c r="W332" s="146"/>
      <c r="X332" s="146"/>
      <c r="Y332" s="146"/>
      <c r="Z332" s="146"/>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row>
    <row r="333" spans="1:46">
      <c r="A333" s="146"/>
      <c r="B333" s="205"/>
      <c r="C333" s="205"/>
      <c r="D333" s="205"/>
      <c r="E333" s="205"/>
      <c r="F333" s="296"/>
      <c r="G333" s="296"/>
      <c r="H333" s="296"/>
      <c r="I333" s="296"/>
      <c r="J333" s="296"/>
      <c r="K333" s="296"/>
      <c r="L333" s="296"/>
      <c r="M333" s="296"/>
      <c r="N333" s="296"/>
      <c r="O333" s="273"/>
      <c r="P333" s="274"/>
      <c r="Q333" s="273"/>
      <c r="R333" s="273"/>
      <c r="S333" s="146"/>
      <c r="T333" s="146"/>
      <c r="U333" s="146"/>
      <c r="V333" s="146"/>
      <c r="W333" s="146"/>
      <c r="X333" s="146"/>
      <c r="Y333" s="146"/>
      <c r="Z333" s="146"/>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row>
    <row r="334" spans="1:46">
      <c r="A334" s="146"/>
      <c r="B334" s="205"/>
      <c r="C334" s="205"/>
      <c r="D334" s="205"/>
      <c r="E334" s="205"/>
      <c r="F334" s="296"/>
      <c r="G334" s="296"/>
      <c r="H334" s="296"/>
      <c r="I334" s="296"/>
      <c r="J334" s="296"/>
      <c r="K334" s="296"/>
      <c r="L334" s="296"/>
      <c r="M334" s="296"/>
      <c r="N334" s="296"/>
      <c r="O334" s="273"/>
      <c r="P334" s="274"/>
      <c r="Q334" s="273"/>
      <c r="R334" s="273"/>
      <c r="S334" s="146"/>
      <c r="T334" s="146"/>
      <c r="U334" s="146"/>
      <c r="V334" s="146"/>
      <c r="W334" s="146"/>
      <c r="X334" s="146"/>
      <c r="Y334" s="146"/>
      <c r="Z334" s="146"/>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row>
    <row r="335" spans="1:46">
      <c r="A335" s="146"/>
      <c r="B335" s="205"/>
      <c r="C335" s="205"/>
      <c r="D335" s="205"/>
      <c r="E335" s="205"/>
      <c r="F335" s="296"/>
      <c r="G335" s="296"/>
      <c r="H335" s="296"/>
      <c r="I335" s="296"/>
      <c r="J335" s="296"/>
      <c r="K335" s="296"/>
      <c r="L335" s="296"/>
      <c r="M335" s="296"/>
      <c r="N335" s="296"/>
      <c r="O335" s="273"/>
      <c r="P335" s="274"/>
      <c r="Q335" s="273"/>
      <c r="R335" s="273"/>
      <c r="S335" s="146"/>
      <c r="T335" s="146"/>
      <c r="U335" s="146"/>
      <c r="V335" s="146"/>
      <c r="W335" s="146"/>
      <c r="X335" s="146"/>
      <c r="Y335" s="146"/>
      <c r="Z335" s="146"/>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row>
    <row r="336" spans="1:46">
      <c r="A336" s="146"/>
      <c r="B336" s="205"/>
      <c r="C336" s="205"/>
      <c r="D336" s="205"/>
      <c r="E336" s="205"/>
      <c r="F336" s="296"/>
      <c r="G336" s="296"/>
      <c r="H336" s="296"/>
      <c r="I336" s="296"/>
      <c r="J336" s="296"/>
      <c r="K336" s="296"/>
      <c r="L336" s="296"/>
      <c r="M336" s="296"/>
      <c r="N336" s="296"/>
      <c r="O336" s="273"/>
      <c r="P336" s="274"/>
      <c r="Q336" s="273"/>
      <c r="R336" s="273"/>
      <c r="S336" s="146"/>
      <c r="T336" s="146"/>
      <c r="U336" s="146"/>
      <c r="V336" s="146"/>
      <c r="W336" s="146"/>
      <c r="X336" s="146"/>
      <c r="Y336" s="146"/>
      <c r="Z336" s="14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row>
    <row r="337" spans="1:46">
      <c r="A337" s="146"/>
      <c r="B337" s="205"/>
      <c r="C337" s="205"/>
      <c r="D337" s="205"/>
      <c r="E337" s="205"/>
      <c r="F337" s="296"/>
      <c r="G337" s="296"/>
      <c r="H337" s="296"/>
      <c r="I337" s="296"/>
      <c r="J337" s="296"/>
      <c r="K337" s="296"/>
      <c r="L337" s="296"/>
      <c r="M337" s="296"/>
      <c r="N337" s="296"/>
      <c r="O337" s="273"/>
      <c r="P337" s="274"/>
      <c r="Q337" s="273"/>
      <c r="R337" s="273"/>
      <c r="S337" s="146"/>
      <c r="T337" s="146"/>
      <c r="U337" s="146"/>
      <c r="V337" s="146"/>
      <c r="W337" s="146"/>
      <c r="X337" s="146"/>
      <c r="Y337" s="146"/>
      <c r="Z337" s="146"/>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row>
    <row r="338" spans="1:46">
      <c r="A338" s="146"/>
      <c r="B338" s="205"/>
      <c r="C338" s="205"/>
      <c r="D338" s="205"/>
      <c r="E338" s="205"/>
      <c r="F338" s="296"/>
      <c r="G338" s="296"/>
      <c r="H338" s="296"/>
      <c r="I338" s="296"/>
      <c r="J338" s="296"/>
      <c r="K338" s="296"/>
      <c r="L338" s="296"/>
      <c r="M338" s="296"/>
      <c r="N338" s="296"/>
      <c r="O338" s="273"/>
      <c r="P338" s="274"/>
      <c r="Q338" s="273"/>
      <c r="R338" s="273"/>
      <c r="S338" s="146"/>
      <c r="T338" s="146"/>
      <c r="U338" s="146"/>
      <c r="V338" s="146"/>
      <c r="W338" s="146"/>
      <c r="X338" s="146"/>
      <c r="Y338" s="146"/>
      <c r="Z338" s="146"/>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row>
    <row r="339" spans="1:46">
      <c r="A339" s="146"/>
      <c r="B339" s="205"/>
      <c r="C339" s="205"/>
      <c r="D339" s="205"/>
      <c r="E339" s="205"/>
      <c r="F339" s="296"/>
      <c r="G339" s="296"/>
      <c r="H339" s="296"/>
      <c r="I339" s="296"/>
      <c r="J339" s="296"/>
      <c r="K339" s="296"/>
      <c r="L339" s="296"/>
      <c r="M339" s="296"/>
      <c r="N339" s="296"/>
      <c r="O339" s="273"/>
      <c r="P339" s="274"/>
      <c r="Q339" s="273"/>
      <c r="R339" s="273"/>
      <c r="S339" s="146"/>
      <c r="T339" s="146"/>
      <c r="U339" s="146"/>
      <c r="V339" s="146"/>
      <c r="W339" s="146"/>
      <c r="X339" s="146"/>
      <c r="Y339" s="146"/>
      <c r="Z339" s="146"/>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row>
    <row r="340" spans="1:46">
      <c r="A340" s="146"/>
      <c r="B340" s="205"/>
      <c r="C340" s="205"/>
      <c r="D340" s="205"/>
      <c r="E340" s="205"/>
      <c r="F340" s="296"/>
      <c r="G340" s="296"/>
      <c r="H340" s="296"/>
      <c r="I340" s="296"/>
      <c r="J340" s="296"/>
      <c r="K340" s="296"/>
      <c r="L340" s="296"/>
      <c r="M340" s="296"/>
      <c r="N340" s="296"/>
      <c r="O340" s="273"/>
      <c r="P340" s="274"/>
      <c r="Q340" s="273"/>
      <c r="R340" s="273"/>
      <c r="S340" s="146"/>
      <c r="T340" s="146"/>
      <c r="U340" s="146"/>
      <c r="V340" s="146"/>
      <c r="W340" s="146"/>
      <c r="X340" s="146"/>
      <c r="Y340" s="146"/>
      <c r="Z340" s="146"/>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row>
    <row r="341" spans="1:46">
      <c r="A341" s="146"/>
      <c r="B341" s="205"/>
      <c r="C341" s="205"/>
      <c r="D341" s="205"/>
      <c r="E341" s="205"/>
      <c r="F341" s="296"/>
      <c r="G341" s="296"/>
      <c r="H341" s="296"/>
      <c r="I341" s="296"/>
      <c r="J341" s="296"/>
      <c r="K341" s="296"/>
      <c r="L341" s="296"/>
      <c r="M341" s="296"/>
      <c r="N341" s="296"/>
      <c r="O341" s="273"/>
      <c r="P341" s="274"/>
      <c r="Q341" s="273"/>
      <c r="R341" s="273"/>
      <c r="S341" s="146"/>
      <c r="T341" s="146"/>
      <c r="U341" s="146"/>
      <c r="V341" s="146"/>
      <c r="W341" s="146"/>
      <c r="X341" s="146"/>
      <c r="Y341" s="146"/>
      <c r="Z341" s="146"/>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row>
    <row r="342" spans="1:46">
      <c r="A342" s="146"/>
      <c r="B342" s="205"/>
      <c r="C342" s="205"/>
      <c r="D342" s="205"/>
      <c r="E342" s="205"/>
      <c r="F342" s="296"/>
      <c r="G342" s="296"/>
      <c r="H342" s="296"/>
      <c r="I342" s="296"/>
      <c r="J342" s="296"/>
      <c r="K342" s="296"/>
      <c r="L342" s="296"/>
      <c r="M342" s="296"/>
      <c r="N342" s="296"/>
      <c r="O342" s="273"/>
      <c r="P342" s="274"/>
      <c r="Q342" s="273"/>
      <c r="R342" s="273"/>
      <c r="S342" s="146"/>
      <c r="T342" s="146"/>
      <c r="U342" s="146"/>
      <c r="V342" s="146"/>
      <c r="W342" s="146"/>
      <c r="X342" s="146"/>
      <c r="Y342" s="146"/>
      <c r="Z342" s="146"/>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row>
    <row r="343" spans="1:46">
      <c r="A343" s="146"/>
      <c r="B343" s="205"/>
      <c r="C343" s="205"/>
      <c r="D343" s="205"/>
      <c r="E343" s="205"/>
      <c r="F343" s="296"/>
      <c r="G343" s="296"/>
      <c r="H343" s="296"/>
      <c r="I343" s="296"/>
      <c r="J343" s="296"/>
      <c r="K343" s="296"/>
      <c r="L343" s="296"/>
      <c r="M343" s="296"/>
      <c r="N343" s="296"/>
      <c r="O343" s="273"/>
      <c r="P343" s="274"/>
      <c r="Q343" s="273"/>
      <c r="R343" s="273"/>
      <c r="S343" s="146"/>
      <c r="T343" s="146"/>
      <c r="U343" s="146"/>
      <c r="V343" s="146"/>
      <c r="W343" s="146"/>
      <c r="X343" s="146"/>
      <c r="Y343" s="146"/>
      <c r="Z343" s="146"/>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row>
    <row r="344" spans="1:46">
      <c r="A344" s="146"/>
      <c r="B344" s="205"/>
      <c r="C344" s="205"/>
      <c r="D344" s="205"/>
      <c r="E344" s="205"/>
      <c r="F344" s="296"/>
      <c r="G344" s="296"/>
      <c r="H344" s="296"/>
      <c r="I344" s="296"/>
      <c r="J344" s="296"/>
      <c r="K344" s="296"/>
      <c r="L344" s="296"/>
      <c r="M344" s="296"/>
      <c r="N344" s="296"/>
      <c r="O344" s="273"/>
      <c r="P344" s="274"/>
      <c r="Q344" s="273"/>
      <c r="R344" s="273"/>
      <c r="S344" s="146"/>
      <c r="T344" s="146"/>
      <c r="U344" s="146"/>
      <c r="V344" s="146"/>
      <c r="W344" s="146"/>
      <c r="X344" s="146"/>
      <c r="Y344" s="146"/>
      <c r="Z344" s="146"/>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row>
    <row r="345" spans="1:46">
      <c r="A345" s="146"/>
      <c r="B345" s="205"/>
      <c r="C345" s="205"/>
      <c r="D345" s="205"/>
      <c r="E345" s="205"/>
      <c r="F345" s="296"/>
      <c r="G345" s="296"/>
      <c r="H345" s="296"/>
      <c r="I345" s="296"/>
      <c r="J345" s="296"/>
      <c r="K345" s="296"/>
      <c r="L345" s="296"/>
      <c r="M345" s="296"/>
      <c r="N345" s="296"/>
      <c r="O345" s="273"/>
      <c r="P345" s="274"/>
      <c r="Q345" s="273"/>
      <c r="R345" s="273"/>
      <c r="S345" s="146"/>
      <c r="T345" s="146"/>
      <c r="U345" s="146"/>
      <c r="V345" s="146"/>
      <c r="W345" s="146"/>
      <c r="X345" s="146"/>
      <c r="Y345" s="146"/>
      <c r="Z345" s="146"/>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row>
    <row r="346" spans="1:46">
      <c r="A346" s="146"/>
      <c r="B346" s="205"/>
      <c r="C346" s="205"/>
      <c r="D346" s="205"/>
      <c r="E346" s="205"/>
      <c r="F346" s="296"/>
      <c r="G346" s="296"/>
      <c r="H346" s="296"/>
      <c r="I346" s="296"/>
      <c r="J346" s="296"/>
      <c r="K346" s="296"/>
      <c r="L346" s="296"/>
      <c r="M346" s="296"/>
      <c r="N346" s="296"/>
      <c r="O346" s="273"/>
      <c r="P346" s="274"/>
      <c r="Q346" s="273"/>
      <c r="R346" s="273"/>
      <c r="S346" s="146"/>
      <c r="T346" s="146"/>
      <c r="U346" s="146"/>
      <c r="V346" s="146"/>
      <c r="W346" s="146"/>
      <c r="X346" s="146"/>
      <c r="Y346" s="146"/>
      <c r="Z346" s="1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row>
    <row r="347" spans="1:46">
      <c r="A347" s="146"/>
      <c r="B347" s="205"/>
      <c r="C347" s="205"/>
      <c r="D347" s="205"/>
      <c r="E347" s="205"/>
      <c r="F347" s="296"/>
      <c r="G347" s="296"/>
      <c r="H347" s="296"/>
      <c r="I347" s="296"/>
      <c r="J347" s="296"/>
      <c r="K347" s="296"/>
      <c r="L347" s="296"/>
      <c r="M347" s="296"/>
      <c r="N347" s="296"/>
      <c r="O347" s="273"/>
      <c r="P347" s="274"/>
      <c r="Q347" s="273"/>
      <c r="R347" s="273"/>
      <c r="S347" s="146"/>
      <c r="T347" s="146"/>
      <c r="U347" s="146"/>
      <c r="V347" s="146"/>
      <c r="W347" s="146"/>
      <c r="X347" s="146"/>
      <c r="Y347" s="146"/>
      <c r="Z347" s="146"/>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row>
    <row r="348" spans="1:46">
      <c r="A348" s="146"/>
      <c r="B348" s="205"/>
      <c r="C348" s="205"/>
      <c r="D348" s="205"/>
      <c r="E348" s="205"/>
      <c r="F348" s="296"/>
      <c r="G348" s="296"/>
      <c r="H348" s="296"/>
      <c r="I348" s="296"/>
      <c r="J348" s="296"/>
      <c r="K348" s="296"/>
      <c r="L348" s="296"/>
      <c r="M348" s="296"/>
      <c r="N348" s="296"/>
      <c r="O348" s="273"/>
      <c r="P348" s="274"/>
      <c r="Q348" s="273"/>
      <c r="R348" s="273"/>
      <c r="S348" s="146"/>
      <c r="T348" s="146"/>
      <c r="U348" s="146"/>
      <c r="V348" s="146"/>
      <c r="W348" s="146"/>
      <c r="X348" s="146"/>
      <c r="Y348" s="146"/>
      <c r="Z348" s="146"/>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row>
    <row r="349" spans="1:46">
      <c r="A349" s="146"/>
      <c r="B349" s="205"/>
      <c r="C349" s="205"/>
      <c r="D349" s="205"/>
      <c r="E349" s="205"/>
      <c r="F349" s="296"/>
      <c r="G349" s="296"/>
      <c r="H349" s="296"/>
      <c r="I349" s="296"/>
      <c r="J349" s="296"/>
      <c r="K349" s="296"/>
      <c r="L349" s="296"/>
      <c r="M349" s="296"/>
      <c r="N349" s="296"/>
      <c r="O349" s="273"/>
      <c r="P349" s="274"/>
      <c r="Q349" s="273"/>
      <c r="R349" s="273"/>
      <c r="S349" s="146"/>
      <c r="T349" s="146"/>
      <c r="U349" s="146"/>
      <c r="V349" s="146"/>
      <c r="W349" s="146"/>
      <c r="X349" s="146"/>
      <c r="Y349" s="146"/>
      <c r="Z349" s="146"/>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row>
    <row r="350" spans="1:46">
      <c r="A350" s="146"/>
      <c r="B350" s="205"/>
      <c r="C350" s="205"/>
      <c r="D350" s="205"/>
      <c r="E350" s="205"/>
      <c r="F350" s="296"/>
      <c r="G350" s="296"/>
      <c r="H350" s="296"/>
      <c r="I350" s="296"/>
      <c r="J350" s="296"/>
      <c r="K350" s="296"/>
      <c r="L350" s="296"/>
      <c r="M350" s="296"/>
      <c r="N350" s="296"/>
      <c r="O350" s="273"/>
      <c r="P350" s="274"/>
      <c r="Q350" s="273"/>
      <c r="R350" s="273"/>
      <c r="S350" s="146"/>
      <c r="T350" s="146"/>
      <c r="U350" s="146"/>
      <c r="V350" s="146"/>
      <c r="W350" s="146"/>
      <c r="X350" s="146"/>
      <c r="Y350" s="146"/>
      <c r="Z350" s="146"/>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row>
    <row r="351" spans="1:46">
      <c r="A351" s="146"/>
      <c r="B351" s="205"/>
      <c r="C351" s="205"/>
      <c r="D351" s="205"/>
      <c r="E351" s="205"/>
      <c r="F351" s="296"/>
      <c r="G351" s="296"/>
      <c r="H351" s="296"/>
      <c r="I351" s="296"/>
      <c r="J351" s="296"/>
      <c r="K351" s="296"/>
      <c r="L351" s="296"/>
      <c r="M351" s="296"/>
      <c r="N351" s="296"/>
      <c r="O351" s="273"/>
      <c r="P351" s="274"/>
      <c r="Q351" s="273"/>
      <c r="R351" s="273"/>
      <c r="S351" s="146"/>
      <c r="T351" s="146"/>
      <c r="U351" s="146"/>
      <c r="V351" s="146"/>
      <c r="W351" s="146"/>
      <c r="X351" s="146"/>
      <c r="Y351" s="146"/>
      <c r="Z351" s="146"/>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row>
    <row r="352" spans="1:46">
      <c r="A352" s="146"/>
      <c r="B352" s="205"/>
      <c r="C352" s="205"/>
      <c r="D352" s="205"/>
      <c r="E352" s="205"/>
      <c r="F352" s="296"/>
      <c r="G352" s="296"/>
      <c r="H352" s="296"/>
      <c r="I352" s="296"/>
      <c r="J352" s="296"/>
      <c r="K352" s="296"/>
      <c r="L352" s="296"/>
      <c r="M352" s="296"/>
      <c r="N352" s="296"/>
      <c r="O352" s="273"/>
      <c r="P352" s="274"/>
      <c r="Q352" s="273"/>
      <c r="R352" s="273"/>
      <c r="S352" s="146"/>
      <c r="T352" s="146"/>
      <c r="U352" s="146"/>
      <c r="V352" s="146"/>
      <c r="W352" s="146"/>
      <c r="X352" s="146"/>
      <c r="Y352" s="146"/>
      <c r="Z352" s="146"/>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row>
    <row r="353" spans="1:46">
      <c r="A353" s="146"/>
      <c r="B353" s="205"/>
      <c r="C353" s="205"/>
      <c r="D353" s="205"/>
      <c r="E353" s="205"/>
      <c r="F353" s="296"/>
      <c r="G353" s="296"/>
      <c r="H353" s="296"/>
      <c r="I353" s="296"/>
      <c r="J353" s="296"/>
      <c r="K353" s="296"/>
      <c r="L353" s="296"/>
      <c r="M353" s="296"/>
      <c r="N353" s="296"/>
      <c r="O353" s="273"/>
      <c r="P353" s="274"/>
      <c r="Q353" s="273"/>
      <c r="R353" s="273"/>
      <c r="S353" s="146"/>
      <c r="T353" s="146"/>
      <c r="U353" s="146"/>
      <c r="V353" s="146"/>
      <c r="W353" s="146"/>
      <c r="X353" s="146"/>
      <c r="Y353" s="146"/>
      <c r="Z353" s="146"/>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row>
    <row r="354" spans="1:46">
      <c r="A354" s="146"/>
      <c r="B354" s="205"/>
      <c r="C354" s="205"/>
      <c r="D354" s="205"/>
      <c r="E354" s="205"/>
      <c r="F354" s="296"/>
      <c r="G354" s="296"/>
      <c r="H354" s="296"/>
      <c r="I354" s="296"/>
      <c r="J354" s="296"/>
      <c r="K354" s="296"/>
      <c r="L354" s="296"/>
      <c r="M354" s="296"/>
      <c r="N354" s="296"/>
      <c r="O354" s="273"/>
      <c r="P354" s="274"/>
      <c r="Q354" s="273"/>
      <c r="R354" s="273"/>
      <c r="S354" s="146"/>
      <c r="T354" s="146"/>
      <c r="U354" s="146"/>
      <c r="V354" s="146"/>
      <c r="W354" s="146"/>
      <c r="X354" s="146"/>
      <c r="Y354" s="146"/>
      <c r="Z354" s="146"/>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row>
    <row r="355" spans="1:46">
      <c r="A355" s="146"/>
      <c r="B355" s="205"/>
      <c r="C355" s="205"/>
      <c r="D355" s="205"/>
      <c r="E355" s="205"/>
      <c r="F355" s="296"/>
      <c r="G355" s="296"/>
      <c r="H355" s="296"/>
      <c r="I355" s="296"/>
      <c r="J355" s="296"/>
      <c r="K355" s="296"/>
      <c r="L355" s="296"/>
      <c r="M355" s="296"/>
      <c r="N355" s="296"/>
      <c r="O355" s="273"/>
      <c r="P355" s="274"/>
      <c r="Q355" s="273"/>
      <c r="R355" s="273"/>
      <c r="S355" s="146"/>
      <c r="T355" s="146"/>
      <c r="U355" s="146"/>
      <c r="V355" s="146"/>
      <c r="W355" s="146"/>
      <c r="X355" s="146"/>
      <c r="Y355" s="146"/>
      <c r="Z355" s="146"/>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row>
    <row r="356" spans="1:46">
      <c r="A356" s="146"/>
      <c r="B356" s="205"/>
      <c r="C356" s="205"/>
      <c r="D356" s="205"/>
      <c r="E356" s="205"/>
      <c r="F356" s="296"/>
      <c r="G356" s="296"/>
      <c r="H356" s="296"/>
      <c r="I356" s="296"/>
      <c r="J356" s="296"/>
      <c r="K356" s="296"/>
      <c r="L356" s="296"/>
      <c r="M356" s="296"/>
      <c r="N356" s="296"/>
      <c r="O356" s="273"/>
      <c r="P356" s="274"/>
      <c r="Q356" s="273"/>
      <c r="R356" s="273"/>
      <c r="S356" s="146"/>
      <c r="T356" s="146"/>
      <c r="U356" s="146"/>
      <c r="V356" s="146"/>
      <c r="W356" s="146"/>
      <c r="X356" s="146"/>
      <c r="Y356" s="146"/>
      <c r="Z356" s="14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row>
    <row r="357" spans="1:46">
      <c r="A357" s="146"/>
      <c r="B357" s="205"/>
      <c r="C357" s="205"/>
      <c r="D357" s="205"/>
      <c r="E357" s="205"/>
      <c r="F357" s="296"/>
      <c r="G357" s="296"/>
      <c r="H357" s="296"/>
      <c r="I357" s="296"/>
      <c r="J357" s="296"/>
      <c r="K357" s="296"/>
      <c r="L357" s="296"/>
      <c r="M357" s="296"/>
      <c r="N357" s="296"/>
      <c r="O357" s="273"/>
      <c r="P357" s="274"/>
      <c r="Q357" s="273"/>
      <c r="R357" s="273"/>
      <c r="S357" s="146"/>
      <c r="T357" s="146"/>
      <c r="U357" s="146"/>
      <c r="V357" s="146"/>
      <c r="W357" s="146"/>
      <c r="X357" s="146"/>
      <c r="Y357" s="146"/>
      <c r="Z357" s="146"/>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row>
    <row r="358" spans="1:46">
      <c r="A358" s="146"/>
      <c r="B358" s="205"/>
      <c r="C358" s="205"/>
      <c r="D358" s="205"/>
      <c r="E358" s="205"/>
      <c r="F358" s="296"/>
      <c r="G358" s="296"/>
      <c r="H358" s="296"/>
      <c r="I358" s="296"/>
      <c r="J358" s="296"/>
      <c r="K358" s="296"/>
      <c r="L358" s="296"/>
      <c r="M358" s="296"/>
      <c r="N358" s="296"/>
      <c r="O358" s="273"/>
      <c r="P358" s="274"/>
      <c r="Q358" s="273"/>
      <c r="R358" s="273"/>
      <c r="S358" s="146"/>
      <c r="T358" s="146"/>
      <c r="U358" s="146"/>
      <c r="V358" s="146"/>
      <c r="W358" s="146"/>
      <c r="X358" s="146"/>
      <c r="Y358" s="146"/>
      <c r="Z358" s="146"/>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row>
    <row r="359" spans="1:46">
      <c r="A359" s="146"/>
      <c r="B359" s="205"/>
      <c r="C359" s="205"/>
      <c r="D359" s="205"/>
      <c r="E359" s="205"/>
      <c r="F359" s="296"/>
      <c r="G359" s="296"/>
      <c r="H359" s="296"/>
      <c r="I359" s="296"/>
      <c r="J359" s="296"/>
      <c r="K359" s="296"/>
      <c r="L359" s="296"/>
      <c r="M359" s="296"/>
      <c r="N359" s="296"/>
      <c r="O359" s="273"/>
      <c r="P359" s="274"/>
      <c r="Q359" s="273"/>
      <c r="R359" s="273"/>
      <c r="S359" s="146"/>
      <c r="T359" s="146"/>
      <c r="U359" s="146"/>
      <c r="V359" s="146"/>
      <c r="W359" s="146"/>
      <c r="X359" s="146"/>
      <c r="Y359" s="146"/>
      <c r="Z359" s="146"/>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row>
    <row r="360" spans="1:46">
      <c r="A360" s="146"/>
      <c r="B360" s="205"/>
      <c r="C360" s="205"/>
      <c r="D360" s="205"/>
      <c r="E360" s="205"/>
      <c r="F360" s="296"/>
      <c r="G360" s="296"/>
      <c r="H360" s="296"/>
      <c r="I360" s="296"/>
      <c r="J360" s="296"/>
      <c r="K360" s="296"/>
      <c r="L360" s="296"/>
      <c r="M360" s="296"/>
      <c r="N360" s="296"/>
      <c r="O360" s="273"/>
      <c r="P360" s="274"/>
      <c r="Q360" s="273"/>
      <c r="R360" s="273"/>
      <c r="S360" s="146"/>
      <c r="T360" s="146"/>
      <c r="U360" s="146"/>
      <c r="V360" s="146"/>
      <c r="W360" s="146"/>
      <c r="X360" s="146"/>
      <c r="Y360" s="146"/>
      <c r="Z360" s="146"/>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row>
    <row r="361" spans="1:46">
      <c r="A361" s="146"/>
      <c r="B361" s="205"/>
      <c r="C361" s="205"/>
      <c r="D361" s="205"/>
      <c r="E361" s="205"/>
      <c r="F361" s="296"/>
      <c r="G361" s="296"/>
      <c r="H361" s="296"/>
      <c r="I361" s="296"/>
      <c r="J361" s="296"/>
      <c r="K361" s="296"/>
      <c r="L361" s="296"/>
      <c r="M361" s="296"/>
      <c r="N361" s="296"/>
      <c r="O361" s="273"/>
      <c r="P361" s="274"/>
      <c r="Q361" s="273"/>
      <c r="R361" s="273"/>
      <c r="S361" s="146"/>
      <c r="T361" s="146"/>
      <c r="U361" s="146"/>
      <c r="V361" s="146"/>
      <c r="W361" s="146"/>
      <c r="X361" s="146"/>
      <c r="Y361" s="146"/>
      <c r="Z361" s="146"/>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row>
    <row r="362" spans="1:46">
      <c r="A362" s="146"/>
      <c r="B362" s="205"/>
      <c r="C362" s="205"/>
      <c r="D362" s="205"/>
      <c r="E362" s="205"/>
      <c r="F362" s="296"/>
      <c r="G362" s="296"/>
      <c r="H362" s="296"/>
      <c r="I362" s="296"/>
      <c r="J362" s="296"/>
      <c r="K362" s="296"/>
      <c r="L362" s="296"/>
      <c r="M362" s="296"/>
      <c r="N362" s="296"/>
      <c r="O362" s="273"/>
      <c r="P362" s="274"/>
      <c r="Q362" s="273"/>
      <c r="R362" s="273"/>
      <c r="S362" s="146"/>
      <c r="T362" s="146"/>
      <c r="U362" s="146"/>
      <c r="V362" s="146"/>
      <c r="W362" s="146"/>
      <c r="X362" s="146"/>
      <c r="Y362" s="146"/>
      <c r="Z362" s="146"/>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row>
    <row r="363" spans="1:46">
      <c r="A363" s="146"/>
      <c r="B363" s="205"/>
      <c r="C363" s="205"/>
      <c r="D363" s="205"/>
      <c r="E363" s="205"/>
      <c r="F363" s="296"/>
      <c r="G363" s="296"/>
      <c r="H363" s="296"/>
      <c r="I363" s="296"/>
      <c r="J363" s="296"/>
      <c r="K363" s="296"/>
      <c r="L363" s="296"/>
      <c r="M363" s="296"/>
      <c r="N363" s="296"/>
      <c r="O363" s="273"/>
      <c r="P363" s="274"/>
      <c r="Q363" s="273"/>
      <c r="R363" s="273"/>
      <c r="S363" s="146"/>
      <c r="T363" s="146"/>
      <c r="U363" s="146"/>
      <c r="V363" s="146"/>
      <c r="W363" s="146"/>
      <c r="X363" s="146"/>
      <c r="Y363" s="146"/>
      <c r="Z363" s="146"/>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row>
    <row r="364" spans="1:46">
      <c r="A364" s="146"/>
      <c r="B364" s="205"/>
      <c r="C364" s="205"/>
      <c r="D364" s="205"/>
      <c r="E364" s="205"/>
      <c r="F364" s="296"/>
      <c r="G364" s="296"/>
      <c r="H364" s="296"/>
      <c r="I364" s="296"/>
      <c r="J364" s="296"/>
      <c r="K364" s="296"/>
      <c r="L364" s="296"/>
      <c r="M364" s="296"/>
      <c r="N364" s="296"/>
      <c r="O364" s="273"/>
      <c r="P364" s="274"/>
      <c r="Q364" s="273"/>
      <c r="R364" s="273"/>
      <c r="S364" s="146"/>
      <c r="T364" s="146"/>
      <c r="U364" s="146"/>
      <c r="V364" s="146"/>
      <c r="W364" s="146"/>
      <c r="X364" s="146"/>
      <c r="Y364" s="146"/>
      <c r="Z364" s="146"/>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row>
    <row r="365" spans="1:46">
      <c r="A365" s="146"/>
      <c r="B365" s="205"/>
      <c r="C365" s="205"/>
      <c r="D365" s="205"/>
      <c r="E365" s="205"/>
      <c r="F365" s="296"/>
      <c r="G365" s="296"/>
      <c r="H365" s="296"/>
      <c r="I365" s="296"/>
      <c r="J365" s="296"/>
      <c r="K365" s="296"/>
      <c r="L365" s="296"/>
      <c r="M365" s="296"/>
      <c r="N365" s="296"/>
      <c r="O365" s="273"/>
      <c r="P365" s="274"/>
      <c r="Q365" s="273"/>
      <c r="R365" s="273"/>
      <c r="S365" s="146"/>
      <c r="T365" s="146"/>
      <c r="U365" s="146"/>
      <c r="V365" s="146"/>
      <c r="W365" s="146"/>
      <c r="X365" s="146"/>
      <c r="Y365" s="146"/>
      <c r="Z365" s="146"/>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row>
    <row r="366" spans="1:46">
      <c r="A366" s="146"/>
      <c r="B366" s="205"/>
      <c r="C366" s="205"/>
      <c r="D366" s="205"/>
      <c r="E366" s="205"/>
      <c r="F366" s="296"/>
      <c r="G366" s="296"/>
      <c r="H366" s="296"/>
      <c r="I366" s="296"/>
      <c r="J366" s="296"/>
      <c r="K366" s="296"/>
      <c r="L366" s="296"/>
      <c r="M366" s="296"/>
      <c r="N366" s="296"/>
      <c r="O366" s="273"/>
      <c r="P366" s="274"/>
      <c r="Q366" s="273"/>
      <c r="R366" s="273"/>
      <c r="S366" s="146"/>
      <c r="T366" s="146"/>
      <c r="U366" s="146"/>
      <c r="V366" s="146"/>
      <c r="W366" s="146"/>
      <c r="X366" s="146"/>
      <c r="Y366" s="146"/>
      <c r="Z366" s="14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row>
    <row r="367" spans="1:46">
      <c r="A367" s="146"/>
      <c r="B367" s="205"/>
      <c r="C367" s="205"/>
      <c r="D367" s="205"/>
      <c r="E367" s="205"/>
      <c r="F367" s="296"/>
      <c r="G367" s="296"/>
      <c r="H367" s="296"/>
      <c r="I367" s="296"/>
      <c r="J367" s="296"/>
      <c r="K367" s="296"/>
      <c r="L367" s="296"/>
      <c r="M367" s="296"/>
      <c r="N367" s="296"/>
      <c r="O367" s="273"/>
      <c r="P367" s="274"/>
      <c r="Q367" s="273"/>
      <c r="R367" s="273"/>
      <c r="S367" s="146"/>
      <c r="T367" s="146"/>
      <c r="U367" s="146"/>
      <c r="V367" s="146"/>
      <c r="W367" s="146"/>
      <c r="X367" s="146"/>
      <c r="Y367" s="146"/>
      <c r="Z367" s="146"/>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row>
    <row r="368" spans="1:46">
      <c r="A368" s="146"/>
      <c r="B368" s="205"/>
      <c r="C368" s="205"/>
      <c r="D368" s="205"/>
      <c r="E368" s="205"/>
      <c r="F368" s="296"/>
      <c r="G368" s="296"/>
      <c r="H368" s="296"/>
      <c r="I368" s="296"/>
      <c r="J368" s="296"/>
      <c r="K368" s="296"/>
      <c r="L368" s="296"/>
      <c r="M368" s="296"/>
      <c r="N368" s="296"/>
      <c r="O368" s="273"/>
      <c r="P368" s="274"/>
      <c r="Q368" s="273"/>
      <c r="R368" s="273"/>
      <c r="S368" s="146"/>
      <c r="T368" s="146"/>
      <c r="U368" s="146"/>
      <c r="V368" s="146"/>
      <c r="W368" s="146"/>
      <c r="X368" s="146"/>
      <c r="Y368" s="146"/>
      <c r="Z368" s="146"/>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row>
    <row r="369" spans="1:46">
      <c r="A369" s="146"/>
      <c r="B369" s="205"/>
      <c r="C369" s="205"/>
      <c r="D369" s="205"/>
      <c r="E369" s="205"/>
      <c r="F369" s="296"/>
      <c r="G369" s="296"/>
      <c r="H369" s="296"/>
      <c r="I369" s="296"/>
      <c r="J369" s="296"/>
      <c r="K369" s="296"/>
      <c r="L369" s="296"/>
      <c r="M369" s="296"/>
      <c r="N369" s="296"/>
      <c r="O369" s="273"/>
      <c r="P369" s="274"/>
      <c r="Q369" s="273"/>
      <c r="R369" s="273"/>
      <c r="S369" s="146"/>
      <c r="T369" s="146"/>
      <c r="U369" s="146"/>
      <c r="V369" s="146"/>
      <c r="W369" s="146"/>
      <c r="X369" s="146"/>
      <c r="Y369" s="146"/>
      <c r="Z369" s="146"/>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row>
    <row r="370" spans="1:46">
      <c r="A370" s="146"/>
      <c r="B370" s="205"/>
      <c r="C370" s="205"/>
      <c r="D370" s="205"/>
      <c r="E370" s="205"/>
      <c r="F370" s="296"/>
      <c r="G370" s="296"/>
      <c r="H370" s="296"/>
      <c r="I370" s="296"/>
      <c r="J370" s="296"/>
      <c r="K370" s="296"/>
      <c r="L370" s="296"/>
      <c r="M370" s="296"/>
      <c r="N370" s="296"/>
      <c r="O370" s="273"/>
      <c r="P370" s="274"/>
      <c r="Q370" s="273"/>
      <c r="R370" s="273"/>
      <c r="S370" s="146"/>
      <c r="T370" s="146"/>
      <c r="U370" s="146"/>
      <c r="V370" s="146"/>
      <c r="W370" s="146"/>
      <c r="X370" s="146"/>
      <c r="Y370" s="146"/>
      <c r="Z370" s="146"/>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row>
    <row r="371" spans="1:46">
      <c r="A371" s="146"/>
      <c r="B371" s="205"/>
      <c r="C371" s="205"/>
      <c r="D371" s="205"/>
      <c r="E371" s="205"/>
      <c r="F371" s="296"/>
      <c r="G371" s="296"/>
      <c r="H371" s="296"/>
      <c r="I371" s="296"/>
      <c r="J371" s="296"/>
      <c r="K371" s="296"/>
      <c r="L371" s="296"/>
      <c r="M371" s="296"/>
      <c r="N371" s="296"/>
      <c r="O371" s="273"/>
      <c r="P371" s="274"/>
      <c r="Q371" s="273"/>
      <c r="R371" s="273"/>
      <c r="S371" s="146"/>
      <c r="T371" s="146"/>
      <c r="U371" s="146"/>
      <c r="V371" s="146"/>
      <c r="W371" s="146"/>
      <c r="X371" s="146"/>
      <c r="Y371" s="146"/>
      <c r="Z371" s="146"/>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row>
    <row r="372" spans="1:46">
      <c r="A372" s="146"/>
      <c r="B372" s="205"/>
      <c r="C372" s="205"/>
      <c r="D372" s="205"/>
      <c r="E372" s="205"/>
      <c r="F372" s="296"/>
      <c r="G372" s="296"/>
      <c r="H372" s="296"/>
      <c r="I372" s="296"/>
      <c r="J372" s="296"/>
      <c r="K372" s="296"/>
      <c r="L372" s="296"/>
      <c r="M372" s="296"/>
      <c r="N372" s="296"/>
      <c r="O372" s="273"/>
      <c r="P372" s="274"/>
      <c r="Q372" s="273"/>
      <c r="R372" s="273"/>
      <c r="S372" s="146"/>
      <c r="T372" s="146"/>
      <c r="U372" s="146"/>
      <c r="V372" s="146"/>
      <c r="W372" s="146"/>
      <c r="X372" s="146"/>
      <c r="Y372" s="146"/>
      <c r="Z372" s="146"/>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row>
    <row r="373" spans="1:46">
      <c r="A373" s="146"/>
      <c r="B373" s="205"/>
      <c r="C373" s="205"/>
      <c r="D373" s="205"/>
      <c r="E373" s="205"/>
      <c r="F373" s="296"/>
      <c r="G373" s="296"/>
      <c r="H373" s="296"/>
      <c r="I373" s="296"/>
      <c r="J373" s="296"/>
      <c r="K373" s="296"/>
      <c r="L373" s="296"/>
      <c r="M373" s="296"/>
      <c r="N373" s="296"/>
      <c r="O373" s="273"/>
      <c r="P373" s="274"/>
      <c r="Q373" s="273"/>
      <c r="R373" s="273"/>
      <c r="S373" s="146"/>
      <c r="T373" s="146"/>
      <c r="U373" s="146"/>
      <c r="V373" s="146"/>
      <c r="W373" s="146"/>
      <c r="X373" s="146"/>
      <c r="Y373" s="146"/>
      <c r="Z373" s="146"/>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row>
    <row r="374" spans="1:46">
      <c r="A374" s="146"/>
      <c r="B374" s="205"/>
      <c r="C374" s="205"/>
      <c r="D374" s="205"/>
      <c r="E374" s="205"/>
      <c r="F374" s="296"/>
      <c r="G374" s="296"/>
      <c r="H374" s="296"/>
      <c r="I374" s="296"/>
      <c r="J374" s="296"/>
      <c r="K374" s="296"/>
      <c r="L374" s="296"/>
      <c r="M374" s="296"/>
      <c r="N374" s="296"/>
      <c r="O374" s="273"/>
      <c r="P374" s="274"/>
      <c r="Q374" s="273"/>
      <c r="R374" s="273"/>
      <c r="S374" s="146"/>
      <c r="T374" s="146"/>
      <c r="U374" s="146"/>
      <c r="V374" s="146"/>
      <c r="W374" s="146"/>
      <c r="X374" s="146"/>
      <c r="Y374" s="146"/>
      <c r="Z374" s="146"/>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row>
    <row r="375" spans="1:46">
      <c r="A375" s="146"/>
      <c r="B375" s="205"/>
      <c r="C375" s="205"/>
      <c r="D375" s="205"/>
      <c r="E375" s="205"/>
      <c r="F375" s="296"/>
      <c r="G375" s="296"/>
      <c r="H375" s="296"/>
      <c r="I375" s="296"/>
      <c r="J375" s="296"/>
      <c r="K375" s="296"/>
      <c r="L375" s="296"/>
      <c r="M375" s="296"/>
      <c r="N375" s="296"/>
      <c r="O375" s="273"/>
      <c r="P375" s="274"/>
      <c r="Q375" s="273"/>
      <c r="R375" s="273"/>
      <c r="S375" s="146"/>
      <c r="T375" s="146"/>
      <c r="U375" s="146"/>
      <c r="V375" s="146"/>
      <c r="W375" s="146"/>
      <c r="X375" s="146"/>
      <c r="Y375" s="146"/>
      <c r="Z375" s="146"/>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row>
    <row r="376" spans="1:46">
      <c r="A376" s="146"/>
      <c r="B376" s="205"/>
      <c r="C376" s="205"/>
      <c r="D376" s="205"/>
      <c r="E376" s="205"/>
      <c r="F376" s="296"/>
      <c r="G376" s="296"/>
      <c r="H376" s="296"/>
      <c r="I376" s="296"/>
      <c r="J376" s="296"/>
      <c r="K376" s="296"/>
      <c r="L376" s="296"/>
      <c r="M376" s="296"/>
      <c r="N376" s="296"/>
      <c r="O376" s="273"/>
      <c r="P376" s="274"/>
      <c r="Q376" s="273"/>
      <c r="R376" s="273"/>
      <c r="S376" s="146"/>
      <c r="T376" s="146"/>
      <c r="U376" s="146"/>
      <c r="V376" s="146"/>
      <c r="W376" s="146"/>
      <c r="X376" s="146"/>
      <c r="Y376" s="146"/>
      <c r="Z376" s="14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row>
    <row r="377" spans="1:46">
      <c r="A377" s="146"/>
      <c r="B377" s="205"/>
      <c r="C377" s="205"/>
      <c r="D377" s="205"/>
      <c r="E377" s="205"/>
      <c r="F377" s="296"/>
      <c r="G377" s="296"/>
      <c r="H377" s="296"/>
      <c r="I377" s="296"/>
      <c r="J377" s="296"/>
      <c r="K377" s="296"/>
      <c r="L377" s="296"/>
      <c r="M377" s="296"/>
      <c r="N377" s="296"/>
      <c r="O377" s="273"/>
      <c r="P377" s="274"/>
      <c r="Q377" s="273"/>
      <c r="R377" s="273"/>
      <c r="S377" s="146"/>
      <c r="T377" s="146"/>
      <c r="U377" s="146"/>
      <c r="V377" s="146"/>
      <c r="W377" s="146"/>
      <c r="X377" s="146"/>
      <c r="Y377" s="146"/>
      <c r="Z377" s="146"/>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row>
    <row r="378" spans="1:46">
      <c r="A378" s="146"/>
      <c r="B378" s="205"/>
      <c r="C378" s="205"/>
      <c r="D378" s="205"/>
      <c r="E378" s="205"/>
      <c r="F378" s="296"/>
      <c r="G378" s="296"/>
      <c r="H378" s="296"/>
      <c r="I378" s="296"/>
      <c r="J378" s="296"/>
      <c r="K378" s="296"/>
      <c r="L378" s="296"/>
      <c r="M378" s="296"/>
      <c r="N378" s="296"/>
      <c r="O378" s="273"/>
      <c r="P378" s="274"/>
      <c r="Q378" s="273"/>
      <c r="R378" s="273"/>
      <c r="S378" s="146"/>
      <c r="T378" s="146"/>
      <c r="U378" s="146"/>
      <c r="V378" s="146"/>
      <c r="W378" s="146"/>
      <c r="X378" s="146"/>
      <c r="Y378" s="146"/>
      <c r="Z378" s="146"/>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row>
    <row r="379" spans="1:46">
      <c r="A379" s="146"/>
      <c r="B379" s="205"/>
      <c r="C379" s="205"/>
      <c r="D379" s="205"/>
      <c r="E379" s="205"/>
      <c r="F379" s="296"/>
      <c r="G379" s="296"/>
      <c r="H379" s="296"/>
      <c r="I379" s="296"/>
      <c r="J379" s="296"/>
      <c r="K379" s="296"/>
      <c r="L379" s="296"/>
      <c r="M379" s="296"/>
      <c r="N379" s="296"/>
      <c r="O379" s="273"/>
      <c r="P379" s="274"/>
      <c r="Q379" s="273"/>
      <c r="R379" s="273"/>
      <c r="S379" s="146"/>
      <c r="T379" s="146"/>
      <c r="U379" s="146"/>
      <c r="V379" s="146"/>
      <c r="W379" s="146"/>
      <c r="X379" s="146"/>
      <c r="Y379" s="146"/>
      <c r="Z379" s="146"/>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row>
    <row r="380" spans="1:46">
      <c r="A380" s="146"/>
      <c r="B380" s="205"/>
      <c r="C380" s="205"/>
      <c r="D380" s="205"/>
      <c r="E380" s="205"/>
      <c r="F380" s="296"/>
      <c r="G380" s="296"/>
      <c r="H380" s="296"/>
      <c r="I380" s="296"/>
      <c r="J380" s="296"/>
      <c r="K380" s="296"/>
      <c r="L380" s="296"/>
      <c r="M380" s="296"/>
      <c r="N380" s="296"/>
      <c r="O380" s="273"/>
      <c r="P380" s="274"/>
      <c r="Q380" s="273"/>
      <c r="R380" s="273"/>
      <c r="S380" s="146"/>
      <c r="T380" s="146"/>
      <c r="U380" s="146"/>
      <c r="V380" s="146"/>
      <c r="W380" s="146"/>
      <c r="X380" s="146"/>
      <c r="Y380" s="146"/>
      <c r="Z380" s="146"/>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row>
    <row r="381" spans="1:46">
      <c r="A381" s="146"/>
      <c r="B381" s="205"/>
      <c r="C381" s="205"/>
      <c r="D381" s="205"/>
      <c r="E381" s="205"/>
      <c r="F381" s="296"/>
      <c r="G381" s="296"/>
      <c r="H381" s="296"/>
      <c r="I381" s="296"/>
      <c r="J381" s="296"/>
      <c r="K381" s="296"/>
      <c r="L381" s="296"/>
      <c r="M381" s="296"/>
      <c r="N381" s="296"/>
      <c r="O381" s="273"/>
      <c r="P381" s="274"/>
      <c r="Q381" s="273"/>
      <c r="R381" s="273"/>
      <c r="S381" s="146"/>
      <c r="T381" s="146"/>
      <c r="U381" s="146"/>
      <c r="V381" s="146"/>
      <c r="W381" s="146"/>
      <c r="X381" s="146"/>
      <c r="Y381" s="146"/>
      <c r="Z381" s="146"/>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row>
    <row r="382" spans="1:46">
      <c r="A382" s="146"/>
      <c r="B382" s="205"/>
      <c r="C382" s="205"/>
      <c r="D382" s="205"/>
      <c r="E382" s="205"/>
      <c r="F382" s="296"/>
      <c r="G382" s="296"/>
      <c r="H382" s="296"/>
      <c r="I382" s="296"/>
      <c r="J382" s="296"/>
      <c r="K382" s="296"/>
      <c r="L382" s="296"/>
      <c r="M382" s="296"/>
      <c r="N382" s="296"/>
      <c r="O382" s="273"/>
      <c r="P382" s="274"/>
      <c r="Q382" s="273"/>
      <c r="R382" s="273"/>
      <c r="S382" s="146"/>
      <c r="T382" s="146"/>
      <c r="U382" s="146"/>
      <c r="V382" s="146"/>
      <c r="W382" s="146"/>
      <c r="X382" s="146"/>
      <c r="Y382" s="146"/>
      <c r="Z382" s="146"/>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row>
    <row r="383" spans="1:46">
      <c r="A383" s="146"/>
      <c r="B383" s="205"/>
      <c r="C383" s="205"/>
      <c r="D383" s="205"/>
      <c r="E383" s="205"/>
      <c r="F383" s="296"/>
      <c r="G383" s="296"/>
      <c r="H383" s="296"/>
      <c r="I383" s="296"/>
      <c r="J383" s="296"/>
      <c r="K383" s="296"/>
      <c r="L383" s="296"/>
      <c r="M383" s="296"/>
      <c r="N383" s="296"/>
      <c r="O383" s="273"/>
      <c r="P383" s="274"/>
      <c r="Q383" s="273"/>
      <c r="R383" s="273"/>
      <c r="S383" s="146"/>
      <c r="T383" s="146"/>
      <c r="U383" s="146"/>
      <c r="V383" s="146"/>
      <c r="W383" s="146"/>
      <c r="X383" s="146"/>
      <c r="Y383" s="146"/>
      <c r="Z383" s="146"/>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row>
    <row r="384" spans="1:46">
      <c r="A384" s="146"/>
      <c r="B384" s="205"/>
      <c r="C384" s="205"/>
      <c r="D384" s="205"/>
      <c r="E384" s="205"/>
      <c r="F384" s="296"/>
      <c r="G384" s="296"/>
      <c r="H384" s="296"/>
      <c r="I384" s="296"/>
      <c r="J384" s="296"/>
      <c r="K384" s="296"/>
      <c r="L384" s="296"/>
      <c r="M384" s="296"/>
      <c r="N384" s="296"/>
      <c r="O384" s="273"/>
      <c r="P384" s="274"/>
      <c r="Q384" s="273"/>
      <c r="R384" s="273"/>
      <c r="S384" s="146"/>
      <c r="T384" s="146"/>
      <c r="U384" s="146"/>
      <c r="V384" s="146"/>
      <c r="W384" s="146"/>
      <c r="X384" s="146"/>
      <c r="Y384" s="146"/>
      <c r="Z384" s="146"/>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row>
    <row r="385" spans="1:46">
      <c r="A385" s="146"/>
      <c r="B385" s="205"/>
      <c r="C385" s="205"/>
      <c r="D385" s="205"/>
      <c r="E385" s="205"/>
      <c r="F385" s="296"/>
      <c r="G385" s="296"/>
      <c r="H385" s="296"/>
      <c r="I385" s="296"/>
      <c r="J385" s="296"/>
      <c r="K385" s="296"/>
      <c r="L385" s="296"/>
      <c r="M385" s="296"/>
      <c r="N385" s="296"/>
      <c r="O385" s="273"/>
      <c r="P385" s="274"/>
      <c r="Q385" s="273"/>
      <c r="R385" s="273"/>
      <c r="S385" s="146"/>
      <c r="T385" s="146"/>
      <c r="U385" s="146"/>
      <c r="V385" s="146"/>
      <c r="W385" s="146"/>
      <c r="X385" s="146"/>
      <c r="Y385" s="146"/>
      <c r="Z385" s="146"/>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row>
    <row r="386" spans="1:46">
      <c r="A386" s="146"/>
      <c r="B386" s="205"/>
      <c r="C386" s="205"/>
      <c r="D386" s="205"/>
      <c r="E386" s="205"/>
      <c r="F386" s="296"/>
      <c r="G386" s="296"/>
      <c r="H386" s="296"/>
      <c r="I386" s="296"/>
      <c r="J386" s="296"/>
      <c r="K386" s="296"/>
      <c r="L386" s="296"/>
      <c r="M386" s="296"/>
      <c r="N386" s="296"/>
      <c r="O386" s="273"/>
      <c r="P386" s="274"/>
      <c r="Q386" s="273"/>
      <c r="R386" s="273"/>
      <c r="S386" s="146"/>
      <c r="T386" s="146"/>
      <c r="U386" s="146"/>
      <c r="V386" s="146"/>
      <c r="W386" s="146"/>
      <c r="X386" s="146"/>
      <c r="Y386" s="146"/>
      <c r="Z386" s="14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row>
    <row r="387" spans="1:46">
      <c r="A387" s="146"/>
      <c r="B387" s="205"/>
      <c r="C387" s="205"/>
      <c r="D387" s="205"/>
      <c r="E387" s="205"/>
      <c r="F387" s="296"/>
      <c r="G387" s="296"/>
      <c r="H387" s="296"/>
      <c r="I387" s="296"/>
      <c r="J387" s="296"/>
      <c r="K387" s="296"/>
      <c r="L387" s="296"/>
      <c r="M387" s="296"/>
      <c r="N387" s="296"/>
      <c r="O387" s="273"/>
      <c r="P387" s="274"/>
      <c r="Q387" s="273"/>
      <c r="R387" s="273"/>
      <c r="S387" s="146"/>
      <c r="T387" s="146"/>
      <c r="U387" s="146"/>
      <c r="V387" s="146"/>
      <c r="W387" s="146"/>
      <c r="X387" s="146"/>
      <c r="Y387" s="146"/>
      <c r="Z387" s="146"/>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row>
    <row r="388" spans="1:46">
      <c r="A388" s="146"/>
      <c r="B388" s="205"/>
      <c r="C388" s="205"/>
      <c r="D388" s="205"/>
      <c r="E388" s="205"/>
      <c r="F388" s="296"/>
      <c r="G388" s="296"/>
      <c r="H388" s="296"/>
      <c r="I388" s="296"/>
      <c r="J388" s="296"/>
      <c r="K388" s="296"/>
      <c r="L388" s="296"/>
      <c r="M388" s="296"/>
      <c r="N388" s="296"/>
      <c r="O388" s="273"/>
      <c r="P388" s="274"/>
      <c r="Q388" s="273"/>
      <c r="R388" s="273"/>
      <c r="S388" s="146"/>
      <c r="T388" s="146"/>
      <c r="U388" s="146"/>
      <c r="V388" s="146"/>
      <c r="W388" s="146"/>
      <c r="X388" s="146"/>
      <c r="Y388" s="146"/>
      <c r="Z388" s="146"/>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row>
    <row r="389" spans="1:46">
      <c r="A389" s="146"/>
      <c r="B389" s="205"/>
      <c r="C389" s="205"/>
      <c r="D389" s="205"/>
      <c r="E389" s="205"/>
      <c r="F389" s="296"/>
      <c r="G389" s="296"/>
      <c r="H389" s="296"/>
      <c r="I389" s="296"/>
      <c r="J389" s="296"/>
      <c r="K389" s="296"/>
      <c r="L389" s="296"/>
      <c r="M389" s="296"/>
      <c r="N389" s="296"/>
      <c r="O389" s="273"/>
      <c r="P389" s="274"/>
      <c r="Q389" s="273"/>
      <c r="R389" s="273"/>
      <c r="S389" s="146"/>
      <c r="T389" s="146"/>
      <c r="U389" s="146"/>
      <c r="V389" s="146"/>
      <c r="W389" s="146"/>
      <c r="X389" s="146"/>
      <c r="Y389" s="146"/>
      <c r="Z389" s="146"/>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row>
    <row r="390" spans="1:46">
      <c r="A390" s="146"/>
      <c r="B390" s="205"/>
      <c r="C390" s="205"/>
      <c r="D390" s="205"/>
      <c r="E390" s="205"/>
      <c r="F390" s="296"/>
      <c r="G390" s="296"/>
      <c r="H390" s="296"/>
      <c r="I390" s="296"/>
      <c r="J390" s="296"/>
      <c r="K390" s="296"/>
      <c r="L390" s="296"/>
      <c r="M390" s="296"/>
      <c r="N390" s="296"/>
      <c r="O390" s="273"/>
      <c r="P390" s="274"/>
      <c r="Q390" s="273"/>
      <c r="R390" s="273"/>
      <c r="S390" s="146"/>
      <c r="T390" s="146"/>
      <c r="U390" s="146"/>
      <c r="V390" s="146"/>
      <c r="W390" s="146"/>
      <c r="X390" s="146"/>
      <c r="Y390" s="146"/>
      <c r="Z390" s="146"/>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row>
    <row r="391" spans="1:46">
      <c r="A391" s="146"/>
      <c r="B391" s="205"/>
      <c r="C391" s="205"/>
      <c r="D391" s="205"/>
      <c r="E391" s="205"/>
      <c r="F391" s="296"/>
      <c r="G391" s="296"/>
      <c r="H391" s="296"/>
      <c r="I391" s="296"/>
      <c r="J391" s="296"/>
      <c r="K391" s="296"/>
      <c r="L391" s="296"/>
      <c r="M391" s="296"/>
      <c r="N391" s="296"/>
      <c r="O391" s="273"/>
      <c r="P391" s="274"/>
      <c r="Q391" s="273"/>
      <c r="R391" s="273"/>
      <c r="S391" s="146"/>
      <c r="T391" s="146"/>
      <c r="U391" s="146"/>
      <c r="V391" s="146"/>
      <c r="W391" s="146"/>
      <c r="X391" s="146"/>
      <c r="Y391" s="146"/>
      <c r="Z391" s="146"/>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row>
    <row r="392" spans="1:46">
      <c r="A392" s="146"/>
      <c r="B392" s="205"/>
      <c r="C392" s="205"/>
      <c r="D392" s="205"/>
      <c r="E392" s="205"/>
      <c r="F392" s="296"/>
      <c r="G392" s="296"/>
      <c r="H392" s="296"/>
      <c r="I392" s="296"/>
      <c r="J392" s="296"/>
      <c r="K392" s="296"/>
      <c r="L392" s="296"/>
      <c r="M392" s="296"/>
      <c r="N392" s="296"/>
      <c r="O392" s="273"/>
      <c r="P392" s="274"/>
      <c r="Q392" s="273"/>
      <c r="R392" s="273"/>
      <c r="S392" s="146"/>
      <c r="T392" s="146"/>
      <c r="U392" s="146"/>
      <c r="V392" s="146"/>
      <c r="W392" s="146"/>
      <c r="X392" s="146"/>
      <c r="Y392" s="146"/>
      <c r="Z392" s="146"/>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row>
    <row r="393" spans="1:46">
      <c r="A393" s="146"/>
      <c r="B393" s="205"/>
      <c r="C393" s="205"/>
      <c r="D393" s="205"/>
      <c r="E393" s="205"/>
      <c r="F393" s="296"/>
      <c r="G393" s="296"/>
      <c r="H393" s="296"/>
      <c r="I393" s="296"/>
      <c r="J393" s="296"/>
      <c r="K393" s="296"/>
      <c r="L393" s="296"/>
      <c r="M393" s="296"/>
      <c r="N393" s="296"/>
      <c r="O393" s="273"/>
      <c r="P393" s="274"/>
      <c r="Q393" s="273"/>
      <c r="R393" s="273"/>
      <c r="S393" s="146"/>
      <c r="T393" s="146"/>
      <c r="U393" s="146"/>
      <c r="V393" s="146"/>
      <c r="W393" s="146"/>
      <c r="X393" s="146"/>
      <c r="Y393" s="146"/>
      <c r="Z393" s="146"/>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row>
    <row r="394" spans="1:46">
      <c r="A394" s="146"/>
      <c r="B394" s="205"/>
      <c r="C394" s="205"/>
      <c r="D394" s="205"/>
      <c r="E394" s="205"/>
      <c r="F394" s="296"/>
      <c r="G394" s="296"/>
      <c r="H394" s="296"/>
      <c r="I394" s="296"/>
      <c r="J394" s="296"/>
      <c r="K394" s="296"/>
      <c r="L394" s="296"/>
      <c r="M394" s="296"/>
      <c r="N394" s="296"/>
      <c r="O394" s="273"/>
      <c r="P394" s="274"/>
      <c r="Q394" s="273"/>
      <c r="R394" s="273"/>
      <c r="S394" s="146"/>
      <c r="T394" s="146"/>
      <c r="U394" s="146"/>
      <c r="V394" s="146"/>
      <c r="W394" s="146"/>
      <c r="X394" s="146"/>
      <c r="Y394" s="146"/>
      <c r="Z394" s="146"/>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row>
    <row r="395" spans="1:46">
      <c r="A395" s="146"/>
      <c r="B395" s="205"/>
      <c r="C395" s="205"/>
      <c r="D395" s="205"/>
      <c r="E395" s="205"/>
      <c r="F395" s="296"/>
      <c r="G395" s="296"/>
      <c r="H395" s="296"/>
      <c r="I395" s="296"/>
      <c r="J395" s="296"/>
      <c r="K395" s="296"/>
      <c r="L395" s="296"/>
      <c r="M395" s="296"/>
      <c r="N395" s="296"/>
      <c r="O395" s="273"/>
      <c r="P395" s="274"/>
      <c r="Q395" s="273"/>
      <c r="R395" s="273"/>
      <c r="S395" s="146"/>
      <c r="T395" s="146"/>
      <c r="U395" s="146"/>
      <c r="V395" s="146"/>
      <c r="W395" s="146"/>
      <c r="X395" s="146"/>
      <c r="Y395" s="146"/>
      <c r="Z395" s="146"/>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row>
    <row r="396" spans="1:46">
      <c r="A396" s="146"/>
      <c r="B396" s="205"/>
      <c r="C396" s="205"/>
      <c r="D396" s="205"/>
      <c r="E396" s="205"/>
      <c r="F396" s="296"/>
      <c r="G396" s="296"/>
      <c r="H396" s="296"/>
      <c r="I396" s="296"/>
      <c r="J396" s="296"/>
      <c r="K396" s="296"/>
      <c r="L396" s="296"/>
      <c r="M396" s="296"/>
      <c r="N396" s="296"/>
      <c r="O396" s="273"/>
      <c r="P396" s="274"/>
      <c r="Q396" s="273"/>
      <c r="R396" s="273"/>
      <c r="S396" s="146"/>
      <c r="T396" s="146"/>
      <c r="U396" s="146"/>
      <c r="V396" s="146"/>
      <c r="W396" s="146"/>
      <c r="X396" s="146"/>
      <c r="Y396" s="146"/>
      <c r="Z396" s="14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row>
    <row r="397" spans="1:46">
      <c r="A397" s="146"/>
      <c r="B397" s="205"/>
      <c r="C397" s="205"/>
      <c r="D397" s="205"/>
      <c r="E397" s="205"/>
      <c r="F397" s="296"/>
      <c r="G397" s="296"/>
      <c r="H397" s="296"/>
      <c r="I397" s="296"/>
      <c r="J397" s="296"/>
      <c r="K397" s="296"/>
      <c r="L397" s="296"/>
      <c r="M397" s="296"/>
      <c r="N397" s="296"/>
      <c r="O397" s="273"/>
      <c r="P397" s="274"/>
      <c r="Q397" s="273"/>
      <c r="R397" s="273"/>
      <c r="S397" s="146"/>
      <c r="T397" s="146"/>
      <c r="U397" s="146"/>
      <c r="V397" s="146"/>
      <c r="W397" s="146"/>
      <c r="X397" s="146"/>
      <c r="Y397" s="146"/>
      <c r="Z397" s="146"/>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row>
    <row r="398" spans="1:46">
      <c r="A398" s="146"/>
      <c r="B398" s="205"/>
      <c r="C398" s="205"/>
      <c r="D398" s="205"/>
      <c r="E398" s="205"/>
      <c r="F398" s="296"/>
      <c r="G398" s="296"/>
      <c r="H398" s="296"/>
      <c r="I398" s="296"/>
      <c r="J398" s="296"/>
      <c r="K398" s="296"/>
      <c r="L398" s="296"/>
      <c r="M398" s="296"/>
      <c r="N398" s="296"/>
      <c r="O398" s="273"/>
      <c r="P398" s="274"/>
      <c r="Q398" s="273"/>
      <c r="R398" s="273"/>
      <c r="S398" s="146"/>
      <c r="T398" s="146"/>
      <c r="U398" s="146"/>
      <c r="V398" s="146"/>
      <c r="W398" s="146"/>
      <c r="X398" s="146"/>
      <c r="Y398" s="146"/>
      <c r="Z398" s="146"/>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row>
    <row r="399" spans="1:46">
      <c r="A399" s="146"/>
      <c r="B399" s="205"/>
      <c r="C399" s="205"/>
      <c r="D399" s="205"/>
      <c r="E399" s="205"/>
      <c r="F399" s="296"/>
      <c r="G399" s="296"/>
      <c r="H399" s="296"/>
      <c r="I399" s="296"/>
      <c r="J399" s="296"/>
      <c r="K399" s="296"/>
      <c r="L399" s="296"/>
      <c r="M399" s="296"/>
      <c r="N399" s="296"/>
      <c r="O399" s="273"/>
      <c r="P399" s="274"/>
      <c r="Q399" s="273"/>
      <c r="R399" s="273"/>
      <c r="S399" s="146"/>
      <c r="T399" s="146"/>
      <c r="U399" s="146"/>
      <c r="V399" s="146"/>
      <c r="W399" s="146"/>
      <c r="X399" s="146"/>
      <c r="Y399" s="146"/>
      <c r="Z399" s="146"/>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row>
    <row r="400" spans="1:46">
      <c r="A400" s="146"/>
      <c r="B400" s="205"/>
      <c r="C400" s="205"/>
      <c r="D400" s="205"/>
      <c r="E400" s="205"/>
      <c r="F400" s="296"/>
      <c r="G400" s="296"/>
      <c r="H400" s="296"/>
      <c r="I400" s="296"/>
      <c r="J400" s="296"/>
      <c r="K400" s="296"/>
      <c r="L400" s="296"/>
      <c r="M400" s="296"/>
      <c r="N400" s="296"/>
      <c r="O400" s="273"/>
      <c r="P400" s="274"/>
      <c r="Q400" s="273"/>
      <c r="R400" s="273"/>
      <c r="S400" s="146"/>
      <c r="T400" s="146"/>
      <c r="U400" s="146"/>
      <c r="V400" s="146"/>
      <c r="W400" s="146"/>
      <c r="X400" s="146"/>
      <c r="Y400" s="146"/>
      <c r="Z400" s="146"/>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row>
    <row r="401" spans="1:46">
      <c r="A401" s="146"/>
      <c r="B401" s="205"/>
      <c r="C401" s="205"/>
      <c r="D401" s="205"/>
      <c r="E401" s="205"/>
      <c r="F401" s="296"/>
      <c r="G401" s="296"/>
      <c r="H401" s="296"/>
      <c r="I401" s="296"/>
      <c r="J401" s="296"/>
      <c r="K401" s="296"/>
      <c r="L401" s="296"/>
      <c r="M401" s="296"/>
      <c r="N401" s="296"/>
      <c r="O401" s="273"/>
      <c r="P401" s="274"/>
      <c r="Q401" s="273"/>
      <c r="R401" s="273"/>
      <c r="S401" s="146"/>
      <c r="T401" s="146"/>
      <c r="U401" s="146"/>
      <c r="V401" s="146"/>
      <c r="W401" s="146"/>
      <c r="X401" s="146"/>
      <c r="Y401" s="146"/>
      <c r="Z401" s="146"/>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row>
    <row r="402" spans="1:46">
      <c r="A402" s="146"/>
      <c r="B402" s="205"/>
      <c r="C402" s="205"/>
      <c r="D402" s="205"/>
      <c r="E402" s="205"/>
      <c r="F402" s="296"/>
      <c r="G402" s="296"/>
      <c r="H402" s="296"/>
      <c r="I402" s="296"/>
      <c r="J402" s="296"/>
      <c r="K402" s="296"/>
      <c r="L402" s="296"/>
      <c r="M402" s="296"/>
      <c r="N402" s="296"/>
      <c r="O402" s="273"/>
      <c r="P402" s="274"/>
      <c r="Q402" s="273"/>
      <c r="R402" s="273"/>
      <c r="S402" s="146"/>
      <c r="T402" s="146"/>
      <c r="U402" s="146"/>
      <c r="V402" s="146"/>
      <c r="W402" s="146"/>
      <c r="X402" s="146"/>
      <c r="Y402" s="146"/>
      <c r="Z402" s="146"/>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row>
    <row r="403" spans="1:46">
      <c r="A403" s="146"/>
      <c r="B403" s="205"/>
      <c r="C403" s="205"/>
      <c r="D403" s="205"/>
      <c r="E403" s="205"/>
      <c r="F403" s="296"/>
      <c r="G403" s="296"/>
      <c r="H403" s="296"/>
      <c r="I403" s="296"/>
      <c r="J403" s="296"/>
      <c r="K403" s="296"/>
      <c r="L403" s="296"/>
      <c r="M403" s="296"/>
      <c r="N403" s="296"/>
      <c r="O403" s="273"/>
      <c r="P403" s="274"/>
      <c r="Q403" s="273"/>
      <c r="R403" s="273"/>
      <c r="S403" s="146"/>
      <c r="T403" s="146"/>
      <c r="U403" s="146"/>
      <c r="V403" s="146"/>
      <c r="W403" s="146"/>
      <c r="X403" s="146"/>
      <c r="Y403" s="146"/>
      <c r="Z403" s="146"/>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row>
    <row r="404" spans="1:46">
      <c r="A404" s="146"/>
      <c r="B404" s="205"/>
      <c r="C404" s="205"/>
      <c r="D404" s="205"/>
      <c r="E404" s="205"/>
      <c r="F404" s="296"/>
      <c r="G404" s="296"/>
      <c r="H404" s="296"/>
      <c r="I404" s="296"/>
      <c r="J404" s="296"/>
      <c r="K404" s="296"/>
      <c r="L404" s="296"/>
      <c r="M404" s="296"/>
      <c r="N404" s="296"/>
      <c r="O404" s="273"/>
      <c r="P404" s="274"/>
      <c r="Q404" s="273"/>
      <c r="R404" s="273"/>
      <c r="S404" s="146"/>
      <c r="T404" s="146"/>
      <c r="U404" s="146"/>
      <c r="V404" s="146"/>
      <c r="W404" s="146"/>
      <c r="X404" s="146"/>
      <c r="Y404" s="146"/>
      <c r="Z404" s="146"/>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row>
    <row r="405" spans="1:46">
      <c r="A405" s="146"/>
      <c r="B405" s="205"/>
      <c r="C405" s="205"/>
      <c r="D405" s="205"/>
      <c r="E405" s="205"/>
      <c r="F405" s="296"/>
      <c r="G405" s="296"/>
      <c r="H405" s="296"/>
      <c r="I405" s="296"/>
      <c r="J405" s="296"/>
      <c r="K405" s="296"/>
      <c r="L405" s="296"/>
      <c r="M405" s="296"/>
      <c r="N405" s="296"/>
      <c r="O405" s="273"/>
      <c r="P405" s="274"/>
      <c r="Q405" s="273"/>
      <c r="R405" s="273"/>
      <c r="S405" s="146"/>
      <c r="T405" s="146"/>
      <c r="U405" s="146"/>
      <c r="V405" s="146"/>
      <c r="W405" s="146"/>
      <c r="X405" s="146"/>
      <c r="Y405" s="146"/>
      <c r="Z405" s="146"/>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row>
    <row r="406" spans="1:46">
      <c r="A406" s="146"/>
      <c r="B406" s="205"/>
      <c r="C406" s="205"/>
      <c r="D406" s="205"/>
      <c r="E406" s="205"/>
      <c r="F406" s="296"/>
      <c r="G406" s="296"/>
      <c r="H406" s="296"/>
      <c r="I406" s="296"/>
      <c r="J406" s="296"/>
      <c r="K406" s="296"/>
      <c r="L406" s="296"/>
      <c r="M406" s="296"/>
      <c r="N406" s="296"/>
      <c r="O406" s="273"/>
      <c r="P406" s="274"/>
      <c r="Q406" s="273"/>
      <c r="R406" s="273"/>
      <c r="S406" s="146"/>
      <c r="T406" s="146"/>
      <c r="U406" s="146"/>
      <c r="V406" s="146"/>
      <c r="W406" s="146"/>
      <c r="X406" s="146"/>
      <c r="Y406" s="146"/>
      <c r="Z406" s="14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row>
    <row r="407" spans="1:46">
      <c r="A407" s="146"/>
      <c r="B407" s="205"/>
      <c r="C407" s="205"/>
      <c r="D407" s="205"/>
      <c r="E407" s="205"/>
      <c r="F407" s="296"/>
      <c r="G407" s="296"/>
      <c r="H407" s="296"/>
      <c r="I407" s="296"/>
      <c r="J407" s="296"/>
      <c r="K407" s="296"/>
      <c r="L407" s="296"/>
      <c r="M407" s="296"/>
      <c r="N407" s="296"/>
      <c r="O407" s="273"/>
      <c r="P407" s="274"/>
      <c r="Q407" s="273"/>
      <c r="R407" s="273"/>
      <c r="S407" s="146"/>
      <c r="T407" s="146"/>
      <c r="U407" s="146"/>
      <c r="V407" s="146"/>
      <c r="W407" s="146"/>
      <c r="X407" s="146"/>
      <c r="Y407" s="146"/>
      <c r="Z407" s="146"/>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row>
    <row r="408" spans="1:46">
      <c r="A408" s="146"/>
      <c r="B408" s="205"/>
      <c r="C408" s="205"/>
      <c r="D408" s="205"/>
      <c r="E408" s="205"/>
      <c r="F408" s="296"/>
      <c r="G408" s="296"/>
      <c r="H408" s="296"/>
      <c r="I408" s="296"/>
      <c r="J408" s="296"/>
      <c r="K408" s="296"/>
      <c r="L408" s="296"/>
      <c r="M408" s="296"/>
      <c r="N408" s="296"/>
      <c r="O408" s="273"/>
      <c r="P408" s="274"/>
      <c r="Q408" s="273"/>
      <c r="R408" s="273"/>
      <c r="S408" s="146"/>
      <c r="T408" s="146"/>
      <c r="U408" s="146"/>
      <c r="V408" s="146"/>
      <c r="W408" s="146"/>
      <c r="X408" s="146"/>
      <c r="Y408" s="146"/>
      <c r="Z408" s="146"/>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row>
    <row r="409" spans="1:46">
      <c r="A409" s="146"/>
      <c r="B409" s="205"/>
      <c r="C409" s="205"/>
      <c r="D409" s="205"/>
      <c r="E409" s="205"/>
      <c r="F409" s="296"/>
      <c r="G409" s="296"/>
      <c r="H409" s="296"/>
      <c r="I409" s="296"/>
      <c r="J409" s="296"/>
      <c r="K409" s="296"/>
      <c r="L409" s="296"/>
      <c r="M409" s="296"/>
      <c r="N409" s="296"/>
      <c r="O409" s="273"/>
      <c r="P409" s="274"/>
      <c r="Q409" s="273"/>
      <c r="R409" s="273"/>
      <c r="S409" s="146"/>
      <c r="T409" s="146"/>
      <c r="U409" s="146"/>
      <c r="V409" s="146"/>
      <c r="W409" s="146"/>
      <c r="X409" s="146"/>
      <c r="Y409" s="146"/>
      <c r="Z409" s="146"/>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row>
    <row r="410" spans="1:46">
      <c r="A410" s="146"/>
      <c r="B410" s="205"/>
      <c r="C410" s="205"/>
      <c r="D410" s="205"/>
      <c r="E410" s="205"/>
      <c r="F410" s="296"/>
      <c r="G410" s="296"/>
      <c r="H410" s="296"/>
      <c r="I410" s="296"/>
      <c r="J410" s="296"/>
      <c r="K410" s="296"/>
      <c r="L410" s="296"/>
      <c r="M410" s="296"/>
      <c r="N410" s="296"/>
      <c r="O410" s="273"/>
      <c r="P410" s="274"/>
      <c r="Q410" s="273"/>
      <c r="R410" s="273"/>
      <c r="S410" s="146"/>
      <c r="T410" s="146"/>
      <c r="U410" s="146"/>
      <c r="V410" s="146"/>
      <c r="W410" s="146"/>
      <c r="X410" s="146"/>
      <c r="Y410" s="146"/>
      <c r="Z410" s="146"/>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row>
    <row r="411" spans="1:46">
      <c r="A411" s="146"/>
      <c r="B411" s="205"/>
      <c r="C411" s="205"/>
      <c r="D411" s="205"/>
      <c r="E411" s="205"/>
      <c r="F411" s="296"/>
      <c r="G411" s="296"/>
      <c r="H411" s="296"/>
      <c r="I411" s="296"/>
      <c r="J411" s="296"/>
      <c r="K411" s="296"/>
      <c r="L411" s="296"/>
      <c r="M411" s="296"/>
      <c r="N411" s="296"/>
      <c r="O411" s="273"/>
      <c r="P411" s="274"/>
      <c r="Q411" s="273"/>
      <c r="R411" s="273"/>
      <c r="S411" s="146"/>
      <c r="T411" s="146"/>
      <c r="U411" s="146"/>
      <c r="V411" s="146"/>
      <c r="W411" s="146"/>
      <c r="X411" s="146"/>
      <c r="Y411" s="146"/>
      <c r="Z411" s="146"/>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row>
    <row r="412" spans="1:46">
      <c r="A412" s="146"/>
      <c r="B412" s="205"/>
      <c r="C412" s="205"/>
      <c r="D412" s="205"/>
      <c r="E412" s="205"/>
      <c r="F412" s="296"/>
      <c r="G412" s="296"/>
      <c r="H412" s="296"/>
      <c r="I412" s="296"/>
      <c r="J412" s="296"/>
      <c r="K412" s="296"/>
      <c r="L412" s="296"/>
      <c r="M412" s="296"/>
      <c r="N412" s="296"/>
      <c r="O412" s="273"/>
      <c r="P412" s="274"/>
      <c r="Q412" s="273"/>
      <c r="R412" s="273"/>
      <c r="S412" s="146"/>
      <c r="T412" s="146"/>
      <c r="U412" s="146"/>
      <c r="V412" s="146"/>
      <c r="W412" s="146"/>
      <c r="X412" s="146"/>
      <c r="Y412" s="146"/>
      <c r="Z412" s="146"/>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row>
    <row r="413" spans="1:46">
      <c r="A413" s="146"/>
      <c r="B413" s="205"/>
      <c r="C413" s="205"/>
      <c r="D413" s="205"/>
      <c r="E413" s="205"/>
      <c r="F413" s="296"/>
      <c r="G413" s="296"/>
      <c r="H413" s="296"/>
      <c r="I413" s="296"/>
      <c r="J413" s="296"/>
      <c r="K413" s="296"/>
      <c r="L413" s="296"/>
      <c r="M413" s="296"/>
      <c r="N413" s="296"/>
      <c r="O413" s="273"/>
      <c r="P413" s="274"/>
      <c r="Q413" s="273"/>
      <c r="R413" s="273"/>
      <c r="S413" s="146"/>
      <c r="T413" s="146"/>
      <c r="U413" s="146"/>
      <c r="V413" s="146"/>
      <c r="W413" s="146"/>
      <c r="X413" s="146"/>
      <c r="Y413" s="146"/>
      <c r="Z413" s="146"/>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row>
    <row r="414" spans="1:46">
      <c r="A414" s="146"/>
      <c r="B414" s="205"/>
      <c r="C414" s="205"/>
      <c r="D414" s="205"/>
      <c r="E414" s="205"/>
      <c r="F414" s="296"/>
      <c r="G414" s="296"/>
      <c r="H414" s="296"/>
      <c r="I414" s="296"/>
      <c r="J414" s="296"/>
      <c r="K414" s="296"/>
      <c r="L414" s="296"/>
      <c r="M414" s="296"/>
      <c r="N414" s="296"/>
      <c r="O414" s="273"/>
      <c r="P414" s="274"/>
      <c r="Q414" s="273"/>
      <c r="R414" s="273"/>
      <c r="S414" s="146"/>
      <c r="T414" s="146"/>
      <c r="U414" s="146"/>
      <c r="V414" s="146"/>
      <c r="W414" s="146"/>
      <c r="X414" s="146"/>
      <c r="Y414" s="146"/>
      <c r="Z414" s="146"/>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row>
    <row r="415" spans="1:46">
      <c r="A415" s="146"/>
      <c r="B415" s="205"/>
      <c r="C415" s="205"/>
      <c r="D415" s="205"/>
      <c r="E415" s="205"/>
      <c r="F415" s="296"/>
      <c r="G415" s="296"/>
      <c r="H415" s="296"/>
      <c r="I415" s="296"/>
      <c r="J415" s="296"/>
      <c r="K415" s="296"/>
      <c r="L415" s="296"/>
      <c r="M415" s="296"/>
      <c r="N415" s="296"/>
      <c r="O415" s="273"/>
      <c r="P415" s="274"/>
      <c r="Q415" s="273"/>
      <c r="R415" s="273"/>
      <c r="S415" s="146"/>
      <c r="T415" s="146"/>
      <c r="U415" s="146"/>
      <c r="V415" s="146"/>
      <c r="W415" s="146"/>
      <c r="X415" s="146"/>
      <c r="Y415" s="146"/>
      <c r="Z415" s="146"/>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row>
    <row r="416" spans="1:46">
      <c r="A416" s="146"/>
      <c r="B416" s="205"/>
      <c r="C416" s="205"/>
      <c r="D416" s="205"/>
      <c r="E416" s="205"/>
      <c r="F416" s="296"/>
      <c r="G416" s="296"/>
      <c r="H416" s="296"/>
      <c r="I416" s="296"/>
      <c r="J416" s="296"/>
      <c r="K416" s="296"/>
      <c r="L416" s="296"/>
      <c r="M416" s="296"/>
      <c r="N416" s="296"/>
      <c r="O416" s="273"/>
      <c r="P416" s="274"/>
      <c r="Q416" s="273"/>
      <c r="R416" s="273"/>
      <c r="S416" s="146"/>
      <c r="T416" s="146"/>
      <c r="U416" s="146"/>
      <c r="V416" s="146"/>
      <c r="W416" s="146"/>
      <c r="X416" s="146"/>
      <c r="Y416" s="146"/>
      <c r="Z416" s="14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row>
    <row r="417" spans="1:46">
      <c r="A417" s="146"/>
      <c r="B417" s="205"/>
      <c r="C417" s="205"/>
      <c r="D417" s="205"/>
      <c r="E417" s="205"/>
      <c r="F417" s="296"/>
      <c r="G417" s="296"/>
      <c r="H417" s="296"/>
      <c r="I417" s="296"/>
      <c r="J417" s="296"/>
      <c r="K417" s="296"/>
      <c r="L417" s="296"/>
      <c r="M417" s="296"/>
      <c r="N417" s="296"/>
      <c r="O417" s="273"/>
      <c r="P417" s="274"/>
      <c r="Q417" s="273"/>
      <c r="R417" s="273"/>
      <c r="S417" s="146"/>
      <c r="T417" s="146"/>
      <c r="U417" s="146"/>
      <c r="V417" s="146"/>
      <c r="W417" s="146"/>
      <c r="X417" s="146"/>
      <c r="Y417" s="146"/>
      <c r="Z417" s="146"/>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row>
    <row r="418" spans="1:46">
      <c r="A418" s="146"/>
      <c r="B418" s="205"/>
      <c r="C418" s="205"/>
      <c r="D418" s="205"/>
      <c r="E418" s="205"/>
      <c r="F418" s="296"/>
      <c r="G418" s="296"/>
      <c r="H418" s="296"/>
      <c r="I418" s="296"/>
      <c r="J418" s="296"/>
      <c r="K418" s="296"/>
      <c r="L418" s="296"/>
      <c r="M418" s="296"/>
      <c r="N418" s="296"/>
      <c r="O418" s="273"/>
      <c r="P418" s="274"/>
      <c r="Q418" s="273"/>
      <c r="R418" s="273"/>
      <c r="S418" s="146"/>
      <c r="T418" s="146"/>
      <c r="U418" s="146"/>
      <c r="V418" s="146"/>
      <c r="W418" s="146"/>
      <c r="X418" s="146"/>
      <c r="Y418" s="146"/>
      <c r="Z418" s="146"/>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row>
    <row r="419" spans="1:46">
      <c r="A419" s="146"/>
      <c r="B419" s="205"/>
      <c r="C419" s="205"/>
      <c r="D419" s="205"/>
      <c r="E419" s="205"/>
      <c r="F419" s="296"/>
      <c r="G419" s="296"/>
      <c r="H419" s="296"/>
      <c r="I419" s="296"/>
      <c r="J419" s="296"/>
      <c r="K419" s="296"/>
      <c r="L419" s="296"/>
      <c r="M419" s="296"/>
      <c r="N419" s="296"/>
      <c r="O419" s="273"/>
      <c r="P419" s="274"/>
      <c r="Q419" s="273"/>
      <c r="R419" s="273"/>
      <c r="S419" s="146"/>
      <c r="T419" s="146"/>
      <c r="U419" s="146"/>
      <c r="V419" s="146"/>
      <c r="W419" s="146"/>
      <c r="X419" s="146"/>
      <c r="Y419" s="146"/>
      <c r="Z419" s="146"/>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row>
    <row r="420" spans="1:46">
      <c r="A420" s="146"/>
      <c r="B420" s="205"/>
      <c r="C420" s="205"/>
      <c r="D420" s="205"/>
      <c r="E420" s="205"/>
      <c r="F420" s="296"/>
      <c r="G420" s="296"/>
      <c r="H420" s="296"/>
      <c r="I420" s="296"/>
      <c r="J420" s="296"/>
      <c r="K420" s="296"/>
      <c r="L420" s="296"/>
      <c r="M420" s="296"/>
      <c r="N420" s="296"/>
      <c r="O420" s="273"/>
      <c r="P420" s="274"/>
      <c r="Q420" s="273"/>
      <c r="R420" s="273"/>
      <c r="S420" s="146"/>
      <c r="T420" s="146"/>
      <c r="U420" s="146"/>
      <c r="V420" s="146"/>
      <c r="W420" s="146"/>
      <c r="X420" s="146"/>
      <c r="Y420" s="146"/>
      <c r="Z420" s="146"/>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row>
    <row r="421" spans="1:46">
      <c r="A421" s="146"/>
      <c r="B421" s="205"/>
      <c r="C421" s="205"/>
      <c r="D421" s="205"/>
      <c r="E421" s="205"/>
      <c r="F421" s="296"/>
      <c r="G421" s="296"/>
      <c r="H421" s="296"/>
      <c r="I421" s="296"/>
      <c r="J421" s="296"/>
      <c r="K421" s="296"/>
      <c r="L421" s="296"/>
      <c r="M421" s="296"/>
      <c r="N421" s="296"/>
      <c r="O421" s="273"/>
      <c r="P421" s="274"/>
      <c r="Q421" s="273"/>
      <c r="R421" s="273"/>
      <c r="S421" s="146"/>
      <c r="T421" s="146"/>
      <c r="U421" s="146"/>
      <c r="V421" s="146"/>
      <c r="W421" s="146"/>
      <c r="X421" s="146"/>
      <c r="Y421" s="146"/>
      <c r="Z421" s="146"/>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row>
    <row r="422" spans="1:46">
      <c r="A422" s="146"/>
      <c r="B422" s="205"/>
      <c r="C422" s="205"/>
      <c r="D422" s="205"/>
      <c r="E422" s="205"/>
      <c r="F422" s="296"/>
      <c r="G422" s="296"/>
      <c r="H422" s="296"/>
      <c r="I422" s="296"/>
      <c r="J422" s="296"/>
      <c r="K422" s="296"/>
      <c r="L422" s="296"/>
      <c r="M422" s="296"/>
      <c r="N422" s="296"/>
      <c r="O422" s="273"/>
      <c r="P422" s="274"/>
      <c r="Q422" s="273"/>
      <c r="R422" s="273"/>
      <c r="S422" s="146"/>
      <c r="T422" s="146"/>
      <c r="U422" s="146"/>
      <c r="V422" s="146"/>
      <c r="W422" s="146"/>
      <c r="X422" s="146"/>
      <c r="Y422" s="146"/>
      <c r="Z422" s="146"/>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row>
    <row r="423" spans="1:46">
      <c r="A423" s="146"/>
      <c r="B423" s="205"/>
      <c r="C423" s="205"/>
      <c r="D423" s="205"/>
      <c r="E423" s="205"/>
      <c r="F423" s="296"/>
      <c r="G423" s="296"/>
      <c r="H423" s="296"/>
      <c r="I423" s="296"/>
      <c r="J423" s="296"/>
      <c r="K423" s="296"/>
      <c r="L423" s="296"/>
      <c r="M423" s="296"/>
      <c r="N423" s="296"/>
      <c r="O423" s="273"/>
      <c r="P423" s="274"/>
      <c r="Q423" s="273"/>
      <c r="R423" s="273"/>
      <c r="S423" s="146"/>
      <c r="T423" s="146"/>
      <c r="U423" s="146"/>
      <c r="V423" s="146"/>
      <c r="W423" s="146"/>
      <c r="X423" s="146"/>
      <c r="Y423" s="146"/>
      <c r="Z423" s="146"/>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row>
    <row r="424" spans="1:46">
      <c r="A424" s="146"/>
      <c r="B424" s="205"/>
      <c r="C424" s="205"/>
      <c r="D424" s="205"/>
      <c r="E424" s="205"/>
      <c r="F424" s="296"/>
      <c r="G424" s="296"/>
      <c r="H424" s="296"/>
      <c r="I424" s="296"/>
      <c r="J424" s="296"/>
      <c r="K424" s="296"/>
      <c r="L424" s="296"/>
      <c r="M424" s="296"/>
      <c r="N424" s="296"/>
      <c r="O424" s="273"/>
      <c r="P424" s="274"/>
      <c r="Q424" s="273"/>
      <c r="R424" s="273"/>
      <c r="S424" s="146"/>
      <c r="T424" s="146"/>
      <c r="U424" s="146"/>
      <c r="V424" s="146"/>
      <c r="W424" s="146"/>
      <c r="X424" s="146"/>
      <c r="Y424" s="146"/>
      <c r="Z424" s="146"/>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row>
    <row r="425" spans="1:46">
      <c r="A425" s="146"/>
      <c r="B425" s="205"/>
      <c r="C425" s="205"/>
      <c r="D425" s="205"/>
      <c r="E425" s="205"/>
      <c r="F425" s="296"/>
      <c r="G425" s="296"/>
      <c r="H425" s="296"/>
      <c r="I425" s="296"/>
      <c r="J425" s="296"/>
      <c r="K425" s="296"/>
      <c r="L425" s="296"/>
      <c r="M425" s="296"/>
      <c r="N425" s="296"/>
      <c r="O425" s="273"/>
      <c r="P425" s="274"/>
      <c r="Q425" s="273"/>
      <c r="R425" s="273"/>
      <c r="S425" s="146"/>
      <c r="T425" s="146"/>
      <c r="U425" s="146"/>
      <c r="V425" s="146"/>
      <c r="W425" s="146"/>
      <c r="X425" s="146"/>
      <c r="Y425" s="146"/>
      <c r="Z425" s="146"/>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row>
    <row r="426" spans="1:46">
      <c r="A426" s="146"/>
      <c r="B426" s="205"/>
      <c r="C426" s="205"/>
      <c r="D426" s="205"/>
      <c r="E426" s="205"/>
      <c r="F426" s="296"/>
      <c r="G426" s="296"/>
      <c r="H426" s="296"/>
      <c r="I426" s="296"/>
      <c r="J426" s="296"/>
      <c r="K426" s="296"/>
      <c r="L426" s="296"/>
      <c r="M426" s="296"/>
      <c r="N426" s="296"/>
      <c r="O426" s="273"/>
      <c r="P426" s="274"/>
      <c r="Q426" s="273"/>
      <c r="R426" s="273"/>
      <c r="S426" s="146"/>
      <c r="T426" s="146"/>
      <c r="U426" s="146"/>
      <c r="V426" s="146"/>
      <c r="W426" s="146"/>
      <c r="X426" s="146"/>
      <c r="Y426" s="146"/>
      <c r="Z426" s="14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row>
    <row r="427" spans="1:46">
      <c r="A427" s="146"/>
      <c r="B427" s="205"/>
      <c r="C427" s="205"/>
      <c r="D427" s="205"/>
      <c r="E427" s="205"/>
      <c r="F427" s="296"/>
      <c r="G427" s="296"/>
      <c r="H427" s="296"/>
      <c r="I427" s="296"/>
      <c r="J427" s="296"/>
      <c r="K427" s="296"/>
      <c r="L427" s="296"/>
      <c r="M427" s="296"/>
      <c r="N427" s="296"/>
      <c r="O427" s="273"/>
      <c r="P427" s="274"/>
      <c r="Q427" s="273"/>
      <c r="R427" s="273"/>
      <c r="S427" s="146"/>
      <c r="T427" s="146"/>
      <c r="U427" s="146"/>
      <c r="V427" s="146"/>
      <c r="W427" s="146"/>
      <c r="X427" s="146"/>
      <c r="Y427" s="146"/>
      <c r="Z427" s="146"/>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row>
    <row r="428" spans="1:46">
      <c r="A428" s="146"/>
      <c r="B428" s="205"/>
      <c r="C428" s="205"/>
      <c r="D428" s="205"/>
      <c r="E428" s="205"/>
      <c r="F428" s="296"/>
      <c r="G428" s="296"/>
      <c r="H428" s="296"/>
      <c r="I428" s="296"/>
      <c r="J428" s="296"/>
      <c r="K428" s="296"/>
      <c r="L428" s="296"/>
      <c r="M428" s="296"/>
      <c r="N428" s="296"/>
      <c r="O428" s="273"/>
      <c r="P428" s="274"/>
      <c r="Q428" s="273"/>
      <c r="R428" s="273"/>
      <c r="S428" s="146"/>
      <c r="T428" s="146"/>
      <c r="U428" s="146"/>
      <c r="V428" s="146"/>
      <c r="W428" s="146"/>
      <c r="X428" s="146"/>
      <c r="Y428" s="146"/>
      <c r="Z428" s="146"/>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row>
    <row r="429" spans="1:46">
      <c r="A429" s="146"/>
      <c r="B429" s="205"/>
      <c r="C429" s="205"/>
      <c r="D429" s="205"/>
      <c r="E429" s="205"/>
      <c r="F429" s="296"/>
      <c r="G429" s="296"/>
      <c r="H429" s="296"/>
      <c r="I429" s="296"/>
      <c r="J429" s="296"/>
      <c r="K429" s="296"/>
      <c r="L429" s="296"/>
      <c r="M429" s="296"/>
      <c r="N429" s="296"/>
      <c r="O429" s="273"/>
      <c r="P429" s="274"/>
      <c r="Q429" s="273"/>
      <c r="R429" s="273"/>
      <c r="S429" s="146"/>
      <c r="T429" s="146"/>
      <c r="U429" s="146"/>
      <c r="V429" s="146"/>
      <c r="W429" s="146"/>
      <c r="X429" s="146"/>
      <c r="Y429" s="146"/>
      <c r="Z429" s="146"/>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row>
    <row r="430" spans="1:46">
      <c r="A430" s="146"/>
      <c r="B430" s="205"/>
      <c r="C430" s="205"/>
      <c r="D430" s="205"/>
      <c r="E430" s="205"/>
      <c r="F430" s="296"/>
      <c r="G430" s="296"/>
      <c r="H430" s="296"/>
      <c r="I430" s="296"/>
      <c r="J430" s="296"/>
      <c r="K430" s="296"/>
      <c r="L430" s="296"/>
      <c r="M430" s="296"/>
      <c r="N430" s="296"/>
      <c r="O430" s="273"/>
      <c r="P430" s="274"/>
      <c r="Q430" s="273"/>
      <c r="R430" s="273"/>
      <c r="S430" s="146"/>
      <c r="T430" s="146"/>
      <c r="U430" s="146"/>
      <c r="V430" s="146"/>
      <c r="W430" s="146"/>
      <c r="X430" s="146"/>
      <c r="Y430" s="146"/>
      <c r="Z430" s="146"/>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row>
    <row r="431" spans="1:46">
      <c r="A431" s="146"/>
      <c r="B431" s="205"/>
      <c r="C431" s="205"/>
      <c r="D431" s="205"/>
      <c r="E431" s="205"/>
      <c r="F431" s="296"/>
      <c r="G431" s="296"/>
      <c r="H431" s="296"/>
      <c r="I431" s="296"/>
      <c r="J431" s="296"/>
      <c r="K431" s="296"/>
      <c r="L431" s="296"/>
      <c r="M431" s="296"/>
      <c r="N431" s="296"/>
      <c r="O431" s="273"/>
      <c r="P431" s="274"/>
      <c r="Q431" s="273"/>
      <c r="R431" s="273"/>
      <c r="S431" s="146"/>
      <c r="T431" s="146"/>
      <c r="U431" s="146"/>
      <c r="V431" s="146"/>
      <c r="W431" s="146"/>
      <c r="X431" s="146"/>
      <c r="Y431" s="146"/>
      <c r="Z431" s="146"/>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row>
    <row r="432" spans="1:46">
      <c r="A432" s="146"/>
      <c r="B432" s="205"/>
      <c r="C432" s="205"/>
      <c r="D432" s="205"/>
      <c r="E432" s="205"/>
      <c r="F432" s="296"/>
      <c r="G432" s="296"/>
      <c r="H432" s="296"/>
      <c r="I432" s="296"/>
      <c r="J432" s="296"/>
      <c r="K432" s="296"/>
      <c r="L432" s="296"/>
      <c r="M432" s="296"/>
      <c r="N432" s="296"/>
      <c r="O432" s="273"/>
      <c r="P432" s="274"/>
      <c r="Q432" s="273"/>
      <c r="R432" s="273"/>
      <c r="S432" s="146"/>
      <c r="T432" s="146"/>
      <c r="U432" s="146"/>
      <c r="V432" s="146"/>
      <c r="W432" s="146"/>
      <c r="X432" s="146"/>
      <c r="Y432" s="146"/>
      <c r="Z432" s="146"/>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row>
    <row r="433" spans="1:46">
      <c r="A433" s="146"/>
      <c r="B433" s="205"/>
      <c r="C433" s="205"/>
      <c r="D433" s="205"/>
      <c r="E433" s="205"/>
      <c r="F433" s="296"/>
      <c r="G433" s="296"/>
      <c r="H433" s="296"/>
      <c r="I433" s="296"/>
      <c r="J433" s="296"/>
      <c r="K433" s="296"/>
      <c r="L433" s="296"/>
      <c r="M433" s="296"/>
      <c r="N433" s="296"/>
      <c r="O433" s="273"/>
      <c r="P433" s="274"/>
      <c r="Q433" s="273"/>
      <c r="R433" s="273"/>
      <c r="S433" s="146"/>
      <c r="T433" s="146"/>
      <c r="U433" s="146"/>
      <c r="V433" s="146"/>
      <c r="W433" s="146"/>
      <c r="X433" s="146"/>
      <c r="Y433" s="146"/>
      <c r="Z433" s="146"/>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row>
    <row r="434" spans="1:46">
      <c r="A434" s="146"/>
      <c r="B434" s="205"/>
      <c r="C434" s="205"/>
      <c r="D434" s="205"/>
      <c r="E434" s="205"/>
      <c r="F434" s="296"/>
      <c r="G434" s="296"/>
      <c r="H434" s="296"/>
      <c r="I434" s="296"/>
      <c r="J434" s="296"/>
      <c r="K434" s="296"/>
      <c r="L434" s="296"/>
      <c r="M434" s="296"/>
      <c r="N434" s="296"/>
      <c r="O434" s="273"/>
      <c r="P434" s="274"/>
      <c r="Q434" s="273"/>
      <c r="R434" s="273"/>
      <c r="S434" s="146"/>
      <c r="T434" s="146"/>
      <c r="U434" s="146"/>
      <c r="V434" s="146"/>
      <c r="W434" s="146"/>
      <c r="X434" s="146"/>
      <c r="Y434" s="146"/>
      <c r="Z434" s="146"/>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row>
    <row r="435" spans="1:46">
      <c r="A435" s="146"/>
      <c r="B435" s="205"/>
      <c r="C435" s="205"/>
      <c r="D435" s="205"/>
      <c r="E435" s="205"/>
      <c r="F435" s="296"/>
      <c r="G435" s="296"/>
      <c r="H435" s="296"/>
      <c r="I435" s="296"/>
      <c r="J435" s="296"/>
      <c r="K435" s="296"/>
      <c r="L435" s="296"/>
      <c r="M435" s="296"/>
      <c r="N435" s="296"/>
      <c r="O435" s="273"/>
      <c r="P435" s="274"/>
      <c r="Q435" s="273"/>
      <c r="R435" s="273"/>
      <c r="S435" s="146"/>
      <c r="T435" s="146"/>
      <c r="U435" s="146"/>
      <c r="V435" s="146"/>
      <c r="W435" s="146"/>
      <c r="X435" s="146"/>
      <c r="Y435" s="146"/>
      <c r="Z435" s="146"/>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row>
    <row r="436" spans="1:46">
      <c r="A436" s="146"/>
      <c r="B436" s="205"/>
      <c r="C436" s="205"/>
      <c r="D436" s="205"/>
      <c r="E436" s="205"/>
      <c r="F436" s="296"/>
      <c r="G436" s="296"/>
      <c r="H436" s="296"/>
      <c r="I436" s="296"/>
      <c r="J436" s="296"/>
      <c r="K436" s="296"/>
      <c r="L436" s="296"/>
      <c r="M436" s="296"/>
      <c r="N436" s="296"/>
      <c r="O436" s="273"/>
      <c r="P436" s="274"/>
      <c r="Q436" s="273"/>
      <c r="R436" s="273"/>
      <c r="S436" s="146"/>
      <c r="T436" s="146"/>
      <c r="U436" s="146"/>
      <c r="V436" s="146"/>
      <c r="W436" s="146"/>
      <c r="X436" s="146"/>
      <c r="Y436" s="146"/>
      <c r="Z436" s="14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row>
    <row r="437" spans="1:46">
      <c r="A437" s="146"/>
      <c r="B437" s="205"/>
      <c r="C437" s="205"/>
      <c r="D437" s="205"/>
      <c r="E437" s="205"/>
      <c r="F437" s="296"/>
      <c r="G437" s="296"/>
      <c r="H437" s="296"/>
      <c r="I437" s="296"/>
      <c r="J437" s="296"/>
      <c r="K437" s="296"/>
      <c r="L437" s="296"/>
      <c r="M437" s="296"/>
      <c r="N437" s="296"/>
      <c r="O437" s="273"/>
      <c r="P437" s="274"/>
      <c r="Q437" s="273"/>
      <c r="R437" s="273"/>
      <c r="S437" s="146"/>
      <c r="T437" s="146"/>
      <c r="U437" s="146"/>
      <c r="V437" s="146"/>
      <c r="W437" s="146"/>
      <c r="X437" s="146"/>
      <c r="Y437" s="146"/>
      <c r="Z437" s="146"/>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row>
    <row r="438" spans="1:46">
      <c r="A438" s="146"/>
      <c r="B438" s="205"/>
      <c r="C438" s="205"/>
      <c r="D438" s="205"/>
      <c r="E438" s="205"/>
      <c r="F438" s="296"/>
      <c r="G438" s="296"/>
      <c r="H438" s="296"/>
      <c r="I438" s="296"/>
      <c r="J438" s="296"/>
      <c r="K438" s="296"/>
      <c r="L438" s="296"/>
      <c r="M438" s="296"/>
      <c r="N438" s="296"/>
      <c r="O438" s="273"/>
      <c r="P438" s="274"/>
      <c r="Q438" s="273"/>
      <c r="R438" s="273"/>
      <c r="S438" s="146"/>
      <c r="T438" s="146"/>
      <c r="U438" s="146"/>
      <c r="V438" s="146"/>
      <c r="W438" s="146"/>
      <c r="X438" s="146"/>
      <c r="Y438" s="146"/>
      <c r="Z438" s="146"/>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row>
    <row r="439" spans="1:46">
      <c r="A439" s="146"/>
      <c r="B439" s="205"/>
      <c r="C439" s="205"/>
      <c r="D439" s="205"/>
      <c r="E439" s="205"/>
      <c r="F439" s="296"/>
      <c r="G439" s="296"/>
      <c r="H439" s="296"/>
      <c r="I439" s="296"/>
      <c r="J439" s="296"/>
      <c r="K439" s="296"/>
      <c r="L439" s="296"/>
      <c r="M439" s="296"/>
      <c r="N439" s="296"/>
      <c r="O439" s="273"/>
      <c r="P439" s="274"/>
      <c r="Q439" s="273"/>
      <c r="R439" s="273"/>
      <c r="S439" s="146"/>
      <c r="T439" s="146"/>
      <c r="U439" s="146"/>
      <c r="V439" s="146"/>
      <c r="W439" s="146"/>
      <c r="X439" s="146"/>
      <c r="Y439" s="146"/>
      <c r="Z439" s="146"/>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row>
    <row r="440" spans="1:46">
      <c r="A440" s="146"/>
      <c r="B440" s="205"/>
      <c r="C440" s="205"/>
      <c r="D440" s="205"/>
      <c r="E440" s="205"/>
      <c r="F440" s="296"/>
      <c r="G440" s="296"/>
      <c r="H440" s="296"/>
      <c r="I440" s="296"/>
      <c r="J440" s="296"/>
      <c r="K440" s="296"/>
      <c r="L440" s="296"/>
      <c r="M440" s="296"/>
      <c r="N440" s="296"/>
      <c r="O440" s="273"/>
      <c r="P440" s="274"/>
      <c r="Q440" s="273"/>
      <c r="R440" s="273"/>
      <c r="S440" s="146"/>
      <c r="T440" s="146"/>
      <c r="U440" s="146"/>
      <c r="V440" s="146"/>
      <c r="W440" s="146"/>
      <c r="X440" s="146"/>
      <c r="Y440" s="146"/>
      <c r="Z440" s="146"/>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row>
    <row r="441" spans="1:46">
      <c r="A441" s="146"/>
      <c r="B441" s="205"/>
      <c r="C441" s="205"/>
      <c r="D441" s="205"/>
      <c r="E441" s="205"/>
      <c r="F441" s="296"/>
      <c r="G441" s="296"/>
      <c r="H441" s="296"/>
      <c r="I441" s="296"/>
      <c r="J441" s="296"/>
      <c r="K441" s="296"/>
      <c r="L441" s="296"/>
      <c r="M441" s="296"/>
      <c r="N441" s="296"/>
      <c r="O441" s="273"/>
      <c r="P441" s="274"/>
      <c r="Q441" s="273"/>
      <c r="R441" s="273"/>
      <c r="S441" s="146"/>
      <c r="T441" s="146"/>
      <c r="U441" s="146"/>
      <c r="V441" s="146"/>
      <c r="W441" s="146"/>
      <c r="X441" s="146"/>
      <c r="Y441" s="146"/>
      <c r="Z441" s="146"/>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row>
    <row r="442" spans="1:46">
      <c r="A442" s="146"/>
      <c r="B442" s="205"/>
      <c r="C442" s="205"/>
      <c r="D442" s="205"/>
      <c r="E442" s="205"/>
      <c r="F442" s="296"/>
      <c r="G442" s="296"/>
      <c r="H442" s="296"/>
      <c r="I442" s="296"/>
      <c r="J442" s="296"/>
      <c r="K442" s="296"/>
      <c r="L442" s="296"/>
      <c r="M442" s="296"/>
      <c r="N442" s="296"/>
      <c r="O442" s="273"/>
      <c r="P442" s="274"/>
      <c r="Q442" s="273"/>
      <c r="R442" s="273"/>
      <c r="S442" s="146"/>
      <c r="T442" s="146"/>
      <c r="U442" s="146"/>
      <c r="V442" s="146"/>
      <c r="W442" s="146"/>
      <c r="X442" s="146"/>
      <c r="Y442" s="146"/>
      <c r="Z442" s="146"/>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row>
    <row r="443" spans="1:46">
      <c r="A443" s="146"/>
      <c r="B443" s="205"/>
      <c r="C443" s="205"/>
      <c r="D443" s="205"/>
      <c r="E443" s="205"/>
      <c r="F443" s="296"/>
      <c r="G443" s="296"/>
      <c r="H443" s="296"/>
      <c r="I443" s="296"/>
      <c r="J443" s="296"/>
      <c r="K443" s="296"/>
      <c r="L443" s="296"/>
      <c r="M443" s="296"/>
      <c r="N443" s="296"/>
      <c r="O443" s="273"/>
      <c r="P443" s="274"/>
      <c r="Q443" s="273"/>
      <c r="R443" s="273"/>
      <c r="S443" s="146"/>
      <c r="T443" s="146"/>
      <c r="U443" s="146"/>
      <c r="V443" s="146"/>
      <c r="W443" s="146"/>
      <c r="X443" s="146"/>
      <c r="Y443" s="146"/>
      <c r="Z443" s="146"/>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row>
    <row r="444" spans="1:46">
      <c r="A444" s="146"/>
      <c r="B444" s="205"/>
      <c r="C444" s="205"/>
      <c r="D444" s="205"/>
      <c r="E444" s="205"/>
      <c r="F444" s="296"/>
      <c r="G444" s="296"/>
      <c r="H444" s="296"/>
      <c r="I444" s="296"/>
      <c r="J444" s="296"/>
      <c r="K444" s="296"/>
      <c r="L444" s="296"/>
      <c r="M444" s="296"/>
      <c r="N444" s="296"/>
      <c r="O444" s="273"/>
      <c r="P444" s="274"/>
      <c r="Q444" s="273"/>
      <c r="R444" s="273"/>
      <c r="S444" s="146"/>
      <c r="T444" s="146"/>
      <c r="U444" s="146"/>
      <c r="V444" s="146"/>
      <c r="W444" s="146"/>
      <c r="X444" s="146"/>
      <c r="Y444" s="146"/>
      <c r="Z444" s="146"/>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row>
    <row r="445" spans="1:46">
      <c r="A445" s="146"/>
      <c r="B445" s="205"/>
      <c r="C445" s="205"/>
      <c r="D445" s="205"/>
      <c r="E445" s="205"/>
      <c r="F445" s="296"/>
      <c r="G445" s="296"/>
      <c r="H445" s="296"/>
      <c r="I445" s="296"/>
      <c r="J445" s="296"/>
      <c r="K445" s="296"/>
      <c r="L445" s="296"/>
      <c r="M445" s="296"/>
      <c r="N445" s="296"/>
      <c r="O445" s="273"/>
      <c r="P445" s="274"/>
      <c r="Q445" s="273"/>
      <c r="R445" s="273"/>
      <c r="S445" s="146"/>
      <c r="T445" s="146"/>
      <c r="U445" s="146"/>
      <c r="V445" s="146"/>
      <c r="W445" s="146"/>
      <c r="X445" s="146"/>
      <c r="Y445" s="146"/>
      <c r="Z445" s="146"/>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row>
    <row r="446" spans="1:46">
      <c r="A446" s="146"/>
      <c r="B446" s="205"/>
      <c r="C446" s="205"/>
      <c r="D446" s="205"/>
      <c r="E446" s="205"/>
      <c r="F446" s="296"/>
      <c r="G446" s="296"/>
      <c r="H446" s="296"/>
      <c r="I446" s="296"/>
      <c r="J446" s="296"/>
      <c r="K446" s="296"/>
      <c r="L446" s="296"/>
      <c r="M446" s="296"/>
      <c r="N446" s="296"/>
      <c r="O446" s="273"/>
      <c r="P446" s="274"/>
      <c r="Q446" s="273"/>
      <c r="R446" s="273"/>
      <c r="S446" s="146"/>
      <c r="T446" s="146"/>
      <c r="U446" s="146"/>
      <c r="V446" s="146"/>
      <c r="W446" s="146"/>
      <c r="X446" s="146"/>
      <c r="Y446" s="146"/>
      <c r="Z446" s="1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row>
    <row r="447" spans="1:46">
      <c r="A447" s="146"/>
      <c r="B447" s="205"/>
      <c r="C447" s="205"/>
      <c r="D447" s="205"/>
      <c r="E447" s="205"/>
      <c r="F447" s="296"/>
      <c r="G447" s="296"/>
      <c r="H447" s="296"/>
      <c r="I447" s="296"/>
      <c r="J447" s="296"/>
      <c r="K447" s="296"/>
      <c r="L447" s="296"/>
      <c r="M447" s="296"/>
      <c r="N447" s="296"/>
      <c r="O447" s="273"/>
      <c r="P447" s="274"/>
      <c r="Q447" s="273"/>
      <c r="R447" s="273"/>
      <c r="S447" s="146"/>
      <c r="T447" s="146"/>
      <c r="U447" s="146"/>
      <c r="V447" s="146"/>
      <c r="W447" s="146"/>
      <c r="X447" s="146"/>
      <c r="Y447" s="146"/>
      <c r="Z447" s="146"/>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row>
    <row r="448" spans="1:46">
      <c r="A448" s="146"/>
      <c r="B448" s="205"/>
      <c r="C448" s="205"/>
      <c r="D448" s="205"/>
      <c r="E448" s="205"/>
      <c r="F448" s="296"/>
      <c r="G448" s="296"/>
      <c r="H448" s="296"/>
      <c r="I448" s="296"/>
      <c r="J448" s="296"/>
      <c r="K448" s="296"/>
      <c r="L448" s="296"/>
      <c r="M448" s="296"/>
      <c r="N448" s="296"/>
      <c r="O448" s="273"/>
      <c r="P448" s="274"/>
      <c r="Q448" s="273"/>
      <c r="R448" s="273"/>
      <c r="S448" s="146"/>
      <c r="T448" s="146"/>
      <c r="U448" s="146"/>
      <c r="V448" s="146"/>
      <c r="W448" s="146"/>
      <c r="X448" s="146"/>
      <c r="Y448" s="146"/>
      <c r="Z448" s="146"/>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row>
    <row r="449" spans="1:46">
      <c r="A449" s="146"/>
      <c r="B449" s="205"/>
      <c r="C449" s="205"/>
      <c r="D449" s="205"/>
      <c r="E449" s="205"/>
      <c r="F449" s="296"/>
      <c r="G449" s="296"/>
      <c r="H449" s="296"/>
      <c r="I449" s="296"/>
      <c r="J449" s="296"/>
      <c r="K449" s="296"/>
      <c r="L449" s="296"/>
      <c r="M449" s="296"/>
      <c r="N449" s="296"/>
      <c r="O449" s="273"/>
      <c r="P449" s="274"/>
      <c r="Q449" s="273"/>
      <c r="R449" s="273"/>
      <c r="S449" s="146"/>
      <c r="T449" s="146"/>
      <c r="U449" s="146"/>
      <c r="V449" s="146"/>
      <c r="W449" s="146"/>
      <c r="X449" s="146"/>
      <c r="Y449" s="146"/>
      <c r="Z449" s="146"/>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row>
    <row r="450" spans="1:46">
      <c r="A450" s="146"/>
      <c r="B450" s="205"/>
      <c r="C450" s="205"/>
      <c r="D450" s="205"/>
      <c r="E450" s="205"/>
      <c r="F450" s="296"/>
      <c r="G450" s="296"/>
      <c r="H450" s="296"/>
      <c r="I450" s="296"/>
      <c r="J450" s="296"/>
      <c r="K450" s="296"/>
      <c r="L450" s="296"/>
      <c r="M450" s="296"/>
      <c r="N450" s="296"/>
      <c r="O450" s="273"/>
      <c r="P450" s="274"/>
      <c r="Q450" s="273"/>
      <c r="R450" s="273"/>
      <c r="S450" s="146"/>
      <c r="T450" s="146"/>
      <c r="U450" s="146"/>
      <c r="V450" s="146"/>
      <c r="W450" s="146"/>
      <c r="X450" s="146"/>
      <c r="Y450" s="146"/>
      <c r="Z450" s="146"/>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row>
    <row r="451" spans="1:46">
      <c r="A451" s="146"/>
      <c r="B451" s="205"/>
      <c r="C451" s="205"/>
      <c r="D451" s="205"/>
      <c r="E451" s="205"/>
      <c r="F451" s="296"/>
      <c r="G451" s="296"/>
      <c r="H451" s="296"/>
      <c r="I451" s="296"/>
      <c r="J451" s="296"/>
      <c r="K451" s="296"/>
      <c r="L451" s="296"/>
      <c r="M451" s="296"/>
      <c r="N451" s="296"/>
      <c r="O451" s="273"/>
      <c r="P451" s="274"/>
      <c r="Q451" s="273"/>
      <c r="R451" s="273"/>
      <c r="S451" s="146"/>
      <c r="T451" s="146"/>
      <c r="U451" s="146"/>
      <c r="V451" s="146"/>
      <c r="W451" s="146"/>
      <c r="X451" s="146"/>
      <c r="Y451" s="146"/>
      <c r="Z451" s="146"/>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row>
    <row r="452" spans="1:46">
      <c r="A452" s="146"/>
      <c r="B452" s="205"/>
      <c r="C452" s="205"/>
      <c r="D452" s="205"/>
      <c r="E452" s="205"/>
      <c r="F452" s="296"/>
      <c r="G452" s="296"/>
      <c r="H452" s="296"/>
      <c r="I452" s="296"/>
      <c r="J452" s="296"/>
      <c r="K452" s="296"/>
      <c r="L452" s="296"/>
      <c r="M452" s="296"/>
      <c r="N452" s="296"/>
      <c r="O452" s="273"/>
      <c r="P452" s="274"/>
      <c r="Q452" s="273"/>
      <c r="R452" s="273"/>
      <c r="S452" s="146"/>
      <c r="T452" s="146"/>
      <c r="U452" s="146"/>
      <c r="V452" s="146"/>
      <c r="W452" s="146"/>
      <c r="X452" s="146"/>
      <c r="Y452" s="146"/>
      <c r="Z452" s="146"/>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row>
    <row r="453" spans="1:46">
      <c r="A453" s="146"/>
      <c r="B453" s="205"/>
      <c r="C453" s="205"/>
      <c r="D453" s="205"/>
      <c r="E453" s="205"/>
      <c r="F453" s="296"/>
      <c r="G453" s="296"/>
      <c r="H453" s="296"/>
      <c r="I453" s="296"/>
      <c r="J453" s="296"/>
      <c r="K453" s="296"/>
      <c r="L453" s="296"/>
      <c r="M453" s="296"/>
      <c r="N453" s="296"/>
      <c r="O453" s="273"/>
      <c r="P453" s="274"/>
      <c r="Q453" s="273"/>
      <c r="R453" s="273"/>
      <c r="S453" s="146"/>
      <c r="T453" s="146"/>
      <c r="U453" s="146"/>
      <c r="V453" s="146"/>
      <c r="W453" s="146"/>
      <c r="X453" s="146"/>
      <c r="Y453" s="146"/>
      <c r="Z453" s="146"/>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row>
    <row r="454" spans="1:46">
      <c r="A454" s="146"/>
      <c r="B454" s="205"/>
      <c r="C454" s="205"/>
      <c r="D454" s="205"/>
      <c r="E454" s="205"/>
      <c r="F454" s="296"/>
      <c r="G454" s="296"/>
      <c r="H454" s="296"/>
      <c r="I454" s="296"/>
      <c r="J454" s="296"/>
      <c r="K454" s="296"/>
      <c r="L454" s="296"/>
      <c r="M454" s="296"/>
      <c r="N454" s="296"/>
      <c r="O454" s="273"/>
      <c r="P454" s="274"/>
      <c r="Q454" s="273"/>
      <c r="R454" s="273"/>
      <c r="S454" s="146"/>
      <c r="T454" s="146"/>
      <c r="U454" s="146"/>
      <c r="V454" s="146"/>
      <c r="W454" s="146"/>
      <c r="X454" s="146"/>
      <c r="Y454" s="146"/>
      <c r="Z454" s="146"/>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row>
    <row r="455" spans="1:46">
      <c r="A455" s="146"/>
      <c r="B455" s="205"/>
      <c r="C455" s="205"/>
      <c r="D455" s="205"/>
      <c r="E455" s="205"/>
      <c r="F455" s="296"/>
      <c r="G455" s="296"/>
      <c r="H455" s="296"/>
      <c r="I455" s="296"/>
      <c r="J455" s="296"/>
      <c r="K455" s="296"/>
      <c r="L455" s="296"/>
      <c r="M455" s="296"/>
      <c r="N455" s="296"/>
      <c r="O455" s="273"/>
      <c r="P455" s="274"/>
      <c r="Q455" s="273"/>
      <c r="R455" s="273"/>
      <c r="S455" s="146"/>
      <c r="T455" s="146"/>
      <c r="U455" s="146"/>
      <c r="V455" s="146"/>
      <c r="W455" s="146"/>
      <c r="X455" s="146"/>
      <c r="Y455" s="146"/>
      <c r="Z455" s="146"/>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row>
    <row r="456" spans="1:46">
      <c r="A456" s="146"/>
      <c r="B456" s="205"/>
      <c r="C456" s="205"/>
      <c r="D456" s="205"/>
      <c r="E456" s="205"/>
      <c r="F456" s="296"/>
      <c r="G456" s="296"/>
      <c r="H456" s="296"/>
      <c r="I456" s="296"/>
      <c r="J456" s="296"/>
      <c r="K456" s="296"/>
      <c r="L456" s="296"/>
      <c r="M456" s="296"/>
      <c r="N456" s="296"/>
      <c r="O456" s="273"/>
      <c r="P456" s="274"/>
      <c r="Q456" s="273"/>
      <c r="R456" s="273"/>
      <c r="S456" s="146"/>
      <c r="T456" s="146"/>
      <c r="U456" s="146"/>
      <c r="V456" s="146"/>
      <c r="W456" s="146"/>
      <c r="X456" s="146"/>
      <c r="Y456" s="146"/>
      <c r="Z456" s="14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row>
    <row r="457" spans="1:46">
      <c r="A457" s="146"/>
      <c r="B457" s="205"/>
      <c r="C457" s="205"/>
      <c r="D457" s="205"/>
      <c r="E457" s="205"/>
      <c r="F457" s="296"/>
      <c r="G457" s="296"/>
      <c r="H457" s="296"/>
      <c r="I457" s="296"/>
      <c r="J457" s="296"/>
      <c r="K457" s="296"/>
      <c r="L457" s="296"/>
      <c r="M457" s="296"/>
      <c r="N457" s="296"/>
      <c r="O457" s="273"/>
      <c r="P457" s="274"/>
      <c r="Q457" s="273"/>
      <c r="R457" s="273"/>
      <c r="S457" s="146"/>
      <c r="T457" s="146"/>
      <c r="U457" s="146"/>
      <c r="V457" s="146"/>
      <c r="W457" s="146"/>
      <c r="X457" s="146"/>
      <c r="Y457" s="146"/>
      <c r="Z457" s="146"/>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row>
    <row r="458" spans="1:46">
      <c r="A458" s="146"/>
      <c r="B458" s="205"/>
      <c r="C458" s="205"/>
      <c r="D458" s="205"/>
      <c r="E458" s="205"/>
      <c r="F458" s="296"/>
      <c r="G458" s="296"/>
      <c r="H458" s="296"/>
      <c r="I458" s="296"/>
      <c r="J458" s="296"/>
      <c r="K458" s="296"/>
      <c r="L458" s="296"/>
      <c r="M458" s="296"/>
      <c r="N458" s="296"/>
      <c r="O458" s="273"/>
      <c r="P458" s="274"/>
      <c r="Q458" s="273"/>
      <c r="R458" s="273"/>
      <c r="S458" s="146"/>
      <c r="T458" s="146"/>
      <c r="U458" s="146"/>
      <c r="V458" s="146"/>
      <c r="W458" s="146"/>
      <c r="X458" s="146"/>
      <c r="Y458" s="146"/>
      <c r="Z458" s="146"/>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row>
    <row r="459" spans="1:46">
      <c r="A459" s="146"/>
      <c r="B459" s="205"/>
      <c r="C459" s="205"/>
      <c r="D459" s="205"/>
      <c r="E459" s="205"/>
      <c r="F459" s="296"/>
      <c r="G459" s="296"/>
      <c r="H459" s="296"/>
      <c r="I459" s="296"/>
      <c r="J459" s="296"/>
      <c r="K459" s="296"/>
      <c r="L459" s="296"/>
      <c r="M459" s="296"/>
      <c r="N459" s="296"/>
      <c r="O459" s="273"/>
      <c r="P459" s="274"/>
      <c r="Q459" s="273"/>
      <c r="R459" s="273"/>
      <c r="S459" s="146"/>
      <c r="T459" s="146"/>
      <c r="U459" s="146"/>
      <c r="V459" s="146"/>
      <c r="W459" s="146"/>
      <c r="X459" s="146"/>
      <c r="Y459" s="146"/>
      <c r="Z459" s="146"/>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row>
    <row r="460" spans="1:46">
      <c r="A460" s="146"/>
      <c r="B460" s="205"/>
      <c r="C460" s="205"/>
      <c r="D460" s="205"/>
      <c r="E460" s="205"/>
      <c r="F460" s="296"/>
      <c r="G460" s="296"/>
      <c r="H460" s="296"/>
      <c r="I460" s="296"/>
      <c r="J460" s="296"/>
      <c r="K460" s="296"/>
      <c r="L460" s="296"/>
      <c r="M460" s="296"/>
      <c r="N460" s="296"/>
      <c r="O460" s="273"/>
      <c r="P460" s="274"/>
      <c r="Q460" s="273"/>
      <c r="R460" s="273"/>
      <c r="S460" s="146"/>
      <c r="T460" s="146"/>
      <c r="U460" s="146"/>
      <c r="V460" s="146"/>
      <c r="W460" s="146"/>
      <c r="X460" s="146"/>
      <c r="Y460" s="146"/>
      <c r="Z460" s="146"/>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row>
    <row r="461" spans="1:46">
      <c r="A461" s="146"/>
      <c r="B461" s="205"/>
      <c r="C461" s="205"/>
      <c r="D461" s="205"/>
      <c r="E461" s="205"/>
      <c r="F461" s="296"/>
      <c r="G461" s="296"/>
      <c r="H461" s="296"/>
      <c r="I461" s="296"/>
      <c r="J461" s="296"/>
      <c r="K461" s="296"/>
      <c r="L461" s="296"/>
      <c r="M461" s="296"/>
      <c r="N461" s="296"/>
      <c r="O461" s="273"/>
      <c r="P461" s="274"/>
      <c r="Q461" s="273"/>
      <c r="R461" s="273"/>
      <c r="S461" s="146"/>
      <c r="T461" s="146"/>
      <c r="U461" s="146"/>
      <c r="V461" s="146"/>
      <c r="W461" s="146"/>
      <c r="X461" s="146"/>
      <c r="Y461" s="146"/>
      <c r="Z461" s="146"/>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row>
    <row r="462" spans="1:46">
      <c r="A462" s="146"/>
      <c r="B462" s="205"/>
      <c r="C462" s="205"/>
      <c r="D462" s="205"/>
      <c r="E462" s="205"/>
      <c r="F462" s="296"/>
      <c r="G462" s="296"/>
      <c r="H462" s="296"/>
      <c r="I462" s="296"/>
      <c r="J462" s="296"/>
      <c r="K462" s="296"/>
      <c r="L462" s="296"/>
      <c r="M462" s="296"/>
      <c r="N462" s="296"/>
      <c r="O462" s="273"/>
      <c r="P462" s="274"/>
      <c r="Q462" s="273"/>
      <c r="R462" s="273"/>
      <c r="S462" s="146"/>
      <c r="T462" s="146"/>
      <c r="U462" s="146"/>
      <c r="V462" s="146"/>
      <c r="W462" s="146"/>
      <c r="X462" s="146"/>
      <c r="Y462" s="146"/>
      <c r="Z462" s="146"/>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row>
    <row r="463" spans="1:46">
      <c r="A463" s="146"/>
      <c r="B463" s="205"/>
      <c r="C463" s="205"/>
      <c r="D463" s="205"/>
      <c r="E463" s="205"/>
      <c r="F463" s="296"/>
      <c r="G463" s="296"/>
      <c r="H463" s="296"/>
      <c r="I463" s="296"/>
      <c r="J463" s="296"/>
      <c r="K463" s="296"/>
      <c r="L463" s="296"/>
      <c r="M463" s="296"/>
      <c r="N463" s="296"/>
      <c r="O463" s="273"/>
      <c r="P463" s="274"/>
      <c r="Q463" s="273"/>
      <c r="R463" s="273"/>
      <c r="S463" s="146"/>
      <c r="T463" s="146"/>
      <c r="U463" s="146"/>
      <c r="V463" s="146"/>
      <c r="W463" s="146"/>
      <c r="X463" s="146"/>
      <c r="Y463" s="146"/>
      <c r="Z463" s="146"/>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row>
    <row r="464" spans="1:46">
      <c r="A464" s="146"/>
      <c r="B464" s="205"/>
      <c r="C464" s="205"/>
      <c r="D464" s="205"/>
      <c r="E464" s="205"/>
      <c r="F464" s="296"/>
      <c r="G464" s="296"/>
      <c r="H464" s="296"/>
      <c r="I464" s="296"/>
      <c r="J464" s="296"/>
      <c r="K464" s="296"/>
      <c r="L464" s="296"/>
      <c r="M464" s="296"/>
      <c r="N464" s="296"/>
      <c r="O464" s="273"/>
      <c r="P464" s="274"/>
      <c r="Q464" s="273"/>
      <c r="R464" s="273"/>
      <c r="S464" s="146"/>
      <c r="T464" s="146"/>
      <c r="U464" s="146"/>
      <c r="V464" s="146"/>
      <c r="W464" s="146"/>
      <c r="X464" s="146"/>
      <c r="Y464" s="146"/>
      <c r="Z464" s="146"/>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row>
    <row r="465" spans="1:46">
      <c r="A465" s="146"/>
      <c r="B465" s="205"/>
      <c r="C465" s="205"/>
      <c r="D465" s="205"/>
      <c r="E465" s="205"/>
      <c r="F465" s="296"/>
      <c r="G465" s="296"/>
      <c r="H465" s="296"/>
      <c r="I465" s="296"/>
      <c r="J465" s="296"/>
      <c r="K465" s="296"/>
      <c r="L465" s="296"/>
      <c r="M465" s="296"/>
      <c r="N465" s="296"/>
      <c r="O465" s="273"/>
      <c r="P465" s="274"/>
      <c r="Q465" s="273"/>
      <c r="R465" s="273"/>
      <c r="S465" s="146"/>
      <c r="T465" s="146"/>
      <c r="U465" s="146"/>
      <c r="V465" s="146"/>
      <c r="W465" s="146"/>
      <c r="X465" s="146"/>
      <c r="Y465" s="146"/>
      <c r="Z465" s="146"/>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row>
    <row r="466" spans="1:46">
      <c r="A466" s="146"/>
      <c r="B466" s="205"/>
      <c r="C466" s="205"/>
      <c r="D466" s="205"/>
      <c r="E466" s="205"/>
      <c r="F466" s="296"/>
      <c r="G466" s="296"/>
      <c r="H466" s="296"/>
      <c r="I466" s="296"/>
      <c r="J466" s="296"/>
      <c r="K466" s="296"/>
      <c r="L466" s="296"/>
      <c r="M466" s="296"/>
      <c r="N466" s="296"/>
      <c r="O466" s="273"/>
      <c r="P466" s="274"/>
      <c r="Q466" s="273"/>
      <c r="R466" s="273"/>
      <c r="S466" s="146"/>
      <c r="T466" s="146"/>
      <c r="U466" s="146"/>
      <c r="V466" s="146"/>
      <c r="W466" s="146"/>
      <c r="X466" s="146"/>
      <c r="Y466" s="146"/>
      <c r="Z466" s="14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row>
    <row r="467" spans="1:46">
      <c r="A467" s="146"/>
      <c r="B467" s="205"/>
      <c r="C467" s="205"/>
      <c r="D467" s="205"/>
      <c r="E467" s="205"/>
      <c r="F467" s="296"/>
      <c r="G467" s="296"/>
      <c r="H467" s="296"/>
      <c r="I467" s="296"/>
      <c r="J467" s="296"/>
      <c r="K467" s="296"/>
      <c r="L467" s="296"/>
      <c r="M467" s="296"/>
      <c r="N467" s="296"/>
      <c r="O467" s="273"/>
      <c r="P467" s="274"/>
      <c r="Q467" s="273"/>
      <c r="R467" s="273"/>
      <c r="S467" s="146"/>
      <c r="T467" s="146"/>
      <c r="U467" s="146"/>
      <c r="V467" s="146"/>
      <c r="W467" s="146"/>
      <c r="X467" s="146"/>
      <c r="Y467" s="146"/>
      <c r="Z467" s="146"/>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row>
    <row r="468" spans="1:46">
      <c r="A468" s="146"/>
      <c r="B468" s="205"/>
      <c r="C468" s="205"/>
      <c r="D468" s="205"/>
      <c r="E468" s="205"/>
      <c r="F468" s="296"/>
      <c r="G468" s="296"/>
      <c r="H468" s="296"/>
      <c r="I468" s="296"/>
      <c r="J468" s="296"/>
      <c r="K468" s="296"/>
      <c r="L468" s="296"/>
      <c r="M468" s="296"/>
      <c r="N468" s="296"/>
      <c r="O468" s="273"/>
      <c r="P468" s="274"/>
      <c r="Q468" s="273"/>
      <c r="R468" s="273"/>
      <c r="S468" s="146"/>
      <c r="T468" s="146"/>
      <c r="U468" s="146"/>
      <c r="V468" s="146"/>
      <c r="W468" s="146"/>
      <c r="X468" s="146"/>
      <c r="Y468" s="146"/>
      <c r="Z468" s="146"/>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row>
    <row r="469" spans="1:46">
      <c r="A469" s="146"/>
      <c r="B469" s="205"/>
      <c r="C469" s="205"/>
      <c r="D469" s="205"/>
      <c r="E469" s="205"/>
      <c r="F469" s="296"/>
      <c r="G469" s="296"/>
      <c r="H469" s="296"/>
      <c r="I469" s="296"/>
      <c r="J469" s="296"/>
      <c r="K469" s="296"/>
      <c r="L469" s="296"/>
      <c r="M469" s="296"/>
      <c r="N469" s="296"/>
      <c r="O469" s="273"/>
      <c r="P469" s="274"/>
      <c r="Q469" s="273"/>
      <c r="R469" s="273"/>
      <c r="S469" s="146"/>
      <c r="T469" s="146"/>
      <c r="U469" s="146"/>
      <c r="V469" s="146"/>
      <c r="W469" s="146"/>
      <c r="X469" s="146"/>
      <c r="Y469" s="146"/>
      <c r="Z469" s="146"/>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row>
    <row r="470" spans="1:46">
      <c r="A470" s="146"/>
      <c r="B470" s="205"/>
      <c r="C470" s="205"/>
      <c r="D470" s="205"/>
      <c r="E470" s="205"/>
      <c r="F470" s="296"/>
      <c r="G470" s="296"/>
      <c r="H470" s="296"/>
      <c r="I470" s="296"/>
      <c r="J470" s="296"/>
      <c r="K470" s="296"/>
      <c r="L470" s="296"/>
      <c r="M470" s="296"/>
      <c r="N470" s="296"/>
      <c r="O470" s="273"/>
      <c r="P470" s="274"/>
      <c r="Q470" s="273"/>
      <c r="R470" s="273"/>
      <c r="S470" s="146"/>
      <c r="T470" s="146"/>
      <c r="U470" s="146"/>
      <c r="V470" s="146"/>
      <c r="W470" s="146"/>
      <c r="X470" s="146"/>
      <c r="Y470" s="146"/>
      <c r="Z470" s="146"/>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row>
    <row r="471" spans="1:46">
      <c r="A471" s="146"/>
      <c r="B471" s="205"/>
      <c r="C471" s="205"/>
      <c r="D471" s="205"/>
      <c r="E471" s="205"/>
      <c r="F471" s="296"/>
      <c r="G471" s="296"/>
      <c r="H471" s="296"/>
      <c r="I471" s="296"/>
      <c r="J471" s="296"/>
      <c r="K471" s="296"/>
      <c r="L471" s="296"/>
      <c r="M471" s="296"/>
      <c r="N471" s="296"/>
      <c r="O471" s="273"/>
      <c r="P471" s="274"/>
      <c r="Q471" s="273"/>
      <c r="R471" s="273"/>
      <c r="S471" s="146"/>
      <c r="T471" s="146"/>
      <c r="U471" s="146"/>
      <c r="V471" s="146"/>
      <c r="W471" s="146"/>
      <c r="X471" s="146"/>
      <c r="Y471" s="146"/>
      <c r="Z471" s="146"/>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row>
    <row r="472" spans="1:46">
      <c r="A472" s="146"/>
      <c r="B472" s="205"/>
      <c r="C472" s="205"/>
      <c r="D472" s="205"/>
      <c r="E472" s="205"/>
      <c r="F472" s="296"/>
      <c r="G472" s="296"/>
      <c r="H472" s="296"/>
      <c r="I472" s="296"/>
      <c r="J472" s="296"/>
      <c r="K472" s="296"/>
      <c r="L472" s="296"/>
      <c r="M472" s="296"/>
      <c r="N472" s="296"/>
      <c r="O472" s="273"/>
      <c r="P472" s="274"/>
      <c r="Q472" s="273"/>
      <c r="R472" s="273"/>
      <c r="S472" s="146"/>
      <c r="T472" s="146"/>
      <c r="U472" s="146"/>
      <c r="V472" s="146"/>
      <c r="W472" s="146"/>
      <c r="X472" s="146"/>
      <c r="Y472" s="146"/>
      <c r="Z472" s="146"/>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row>
    <row r="473" spans="1:46">
      <c r="A473" s="146"/>
      <c r="B473" s="205"/>
      <c r="C473" s="205"/>
      <c r="D473" s="205"/>
      <c r="E473" s="205"/>
      <c r="F473" s="296"/>
      <c r="G473" s="296"/>
      <c r="H473" s="296"/>
      <c r="I473" s="296"/>
      <c r="J473" s="296"/>
      <c r="K473" s="296"/>
      <c r="L473" s="296"/>
      <c r="M473" s="296"/>
      <c r="N473" s="296"/>
      <c r="O473" s="273"/>
      <c r="P473" s="274"/>
      <c r="Q473" s="273"/>
      <c r="R473" s="273"/>
      <c r="S473" s="146"/>
      <c r="T473" s="146"/>
      <c r="U473" s="146"/>
      <c r="V473" s="146"/>
      <c r="W473" s="146"/>
      <c r="X473" s="146"/>
      <c r="Y473" s="146"/>
      <c r="Z473" s="146"/>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row>
    <row r="474" spans="1:46">
      <c r="A474" s="146"/>
      <c r="B474" s="205"/>
      <c r="C474" s="205"/>
      <c r="D474" s="205"/>
      <c r="E474" s="205"/>
      <c r="F474" s="296"/>
      <c r="G474" s="296"/>
      <c r="H474" s="296"/>
      <c r="I474" s="296"/>
      <c r="J474" s="296"/>
      <c r="K474" s="296"/>
      <c r="L474" s="296"/>
      <c r="M474" s="296"/>
      <c r="N474" s="296"/>
      <c r="O474" s="273"/>
      <c r="P474" s="274"/>
      <c r="Q474" s="273"/>
      <c r="R474" s="273"/>
      <c r="S474" s="146"/>
      <c r="T474" s="146"/>
      <c r="U474" s="146"/>
      <c r="V474" s="146"/>
      <c r="W474" s="146"/>
      <c r="X474" s="146"/>
      <c r="Y474" s="146"/>
      <c r="Z474" s="146"/>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row>
    <row r="475" spans="1:46">
      <c r="A475" s="146"/>
      <c r="B475" s="205"/>
      <c r="C475" s="205"/>
      <c r="D475" s="205"/>
      <c r="E475" s="205"/>
      <c r="F475" s="296"/>
      <c r="G475" s="296"/>
      <c r="H475" s="296"/>
      <c r="I475" s="296"/>
      <c r="J475" s="296"/>
      <c r="K475" s="296"/>
      <c r="L475" s="296"/>
      <c r="M475" s="296"/>
      <c r="N475" s="296"/>
      <c r="O475" s="273"/>
      <c r="P475" s="274"/>
      <c r="Q475" s="273"/>
      <c r="R475" s="273"/>
      <c r="S475" s="146"/>
      <c r="T475" s="146"/>
      <c r="U475" s="146"/>
      <c r="V475" s="146"/>
      <c r="W475" s="146"/>
      <c r="X475" s="146"/>
      <c r="Y475" s="146"/>
      <c r="Z475" s="146"/>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row>
    <row r="476" spans="1:46">
      <c r="A476" s="146"/>
      <c r="B476" s="205"/>
      <c r="C476" s="205"/>
      <c r="D476" s="205"/>
      <c r="E476" s="205"/>
      <c r="F476" s="296"/>
      <c r="G476" s="296"/>
      <c r="H476" s="296"/>
      <c r="I476" s="296"/>
      <c r="J476" s="296"/>
      <c r="K476" s="296"/>
      <c r="L476" s="296"/>
      <c r="M476" s="296"/>
      <c r="N476" s="296"/>
      <c r="O476" s="273"/>
      <c r="P476" s="274"/>
      <c r="Q476" s="273"/>
      <c r="R476" s="273"/>
      <c r="S476" s="146"/>
      <c r="T476" s="146"/>
      <c r="U476" s="146"/>
      <c r="V476" s="146"/>
      <c r="W476" s="146"/>
      <c r="X476" s="146"/>
      <c r="Y476" s="146"/>
      <c r="Z476" s="14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row>
    <row r="477" spans="1:46">
      <c r="A477" s="146"/>
      <c r="B477" s="205"/>
      <c r="C477" s="205"/>
      <c r="D477" s="205"/>
      <c r="E477" s="205"/>
      <c r="F477" s="296"/>
      <c r="G477" s="296"/>
      <c r="H477" s="296"/>
      <c r="I477" s="296"/>
      <c r="J477" s="296"/>
      <c r="K477" s="296"/>
      <c r="L477" s="296"/>
      <c r="M477" s="296"/>
      <c r="N477" s="296"/>
      <c r="O477" s="273"/>
      <c r="P477" s="274"/>
      <c r="Q477" s="273"/>
      <c r="R477" s="273"/>
      <c r="S477" s="146"/>
      <c r="T477" s="146"/>
      <c r="U477" s="146"/>
      <c r="V477" s="146"/>
      <c r="W477" s="146"/>
      <c r="X477" s="146"/>
      <c r="Y477" s="146"/>
      <c r="Z477" s="146"/>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row>
    <row r="478" spans="1:46">
      <c r="A478" s="146"/>
      <c r="B478" s="205"/>
      <c r="C478" s="205"/>
      <c r="D478" s="205"/>
      <c r="E478" s="205"/>
      <c r="F478" s="296"/>
      <c r="G478" s="296"/>
      <c r="H478" s="296"/>
      <c r="I478" s="296"/>
      <c r="J478" s="296"/>
      <c r="K478" s="296"/>
      <c r="L478" s="296"/>
      <c r="M478" s="296"/>
      <c r="N478" s="296"/>
      <c r="O478" s="273"/>
      <c r="P478" s="274"/>
      <c r="Q478" s="273"/>
      <c r="R478" s="273"/>
      <c r="S478" s="146"/>
      <c r="T478" s="146"/>
      <c r="U478" s="146"/>
      <c r="V478" s="146"/>
      <c r="W478" s="146"/>
      <c r="X478" s="146"/>
      <c r="Y478" s="146"/>
      <c r="Z478" s="146"/>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row>
    <row r="479" spans="1:46">
      <c r="A479" s="146"/>
      <c r="B479" s="205"/>
      <c r="C479" s="205"/>
      <c r="D479" s="205"/>
      <c r="E479" s="205"/>
      <c r="F479" s="296"/>
      <c r="G479" s="296"/>
      <c r="H479" s="296"/>
      <c r="I479" s="296"/>
      <c r="J479" s="296"/>
      <c r="K479" s="296"/>
      <c r="L479" s="296"/>
      <c r="M479" s="296"/>
      <c r="N479" s="296"/>
      <c r="O479" s="273"/>
      <c r="P479" s="274"/>
      <c r="Q479" s="273"/>
      <c r="R479" s="273"/>
      <c r="S479" s="146"/>
      <c r="T479" s="146"/>
      <c r="U479" s="146"/>
      <c r="V479" s="146"/>
      <c r="W479" s="146"/>
      <c r="X479" s="146"/>
      <c r="Y479" s="146"/>
      <c r="Z479" s="146"/>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row>
    <row r="480" spans="1:46">
      <c r="A480" s="146"/>
      <c r="B480" s="205"/>
      <c r="C480" s="205"/>
      <c r="D480" s="205"/>
      <c r="E480" s="205"/>
      <c r="F480" s="296"/>
      <c r="G480" s="296"/>
      <c r="H480" s="296"/>
      <c r="I480" s="296"/>
      <c r="J480" s="296"/>
      <c r="K480" s="296"/>
      <c r="L480" s="296"/>
      <c r="M480" s="296"/>
      <c r="N480" s="296"/>
      <c r="O480" s="273"/>
      <c r="P480" s="274"/>
      <c r="Q480" s="273"/>
      <c r="R480" s="273"/>
      <c r="S480" s="146"/>
      <c r="T480" s="146"/>
      <c r="U480" s="146"/>
      <c r="V480" s="146"/>
      <c r="W480" s="146"/>
      <c r="X480" s="146"/>
      <c r="Y480" s="146"/>
      <c r="Z480" s="146"/>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row>
    <row r="481" spans="1:46">
      <c r="A481" s="146"/>
      <c r="B481" s="205"/>
      <c r="C481" s="205"/>
      <c r="D481" s="205"/>
      <c r="E481" s="205"/>
      <c r="F481" s="296"/>
      <c r="G481" s="296"/>
      <c r="H481" s="296"/>
      <c r="I481" s="296"/>
      <c r="J481" s="296"/>
      <c r="K481" s="296"/>
      <c r="L481" s="296"/>
      <c r="M481" s="296"/>
      <c r="N481" s="296"/>
      <c r="O481" s="273"/>
      <c r="P481" s="274"/>
      <c r="Q481" s="273"/>
      <c r="R481" s="273"/>
      <c r="S481" s="146"/>
      <c r="T481" s="146"/>
      <c r="U481" s="146"/>
      <c r="V481" s="146"/>
      <c r="W481" s="146"/>
      <c r="X481" s="146"/>
      <c r="Y481" s="146"/>
      <c r="Z481" s="146"/>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row>
    <row r="482" spans="1:46">
      <c r="A482" s="146"/>
      <c r="B482" s="205"/>
      <c r="C482" s="205"/>
      <c r="D482" s="205"/>
      <c r="E482" s="205"/>
      <c r="F482" s="296"/>
      <c r="G482" s="296"/>
      <c r="H482" s="296"/>
      <c r="I482" s="296"/>
      <c r="J482" s="296"/>
      <c r="K482" s="296"/>
      <c r="L482" s="296"/>
      <c r="M482" s="296"/>
      <c r="N482" s="296"/>
      <c r="O482" s="273"/>
      <c r="P482" s="274"/>
      <c r="Q482" s="273"/>
      <c r="R482" s="273"/>
      <c r="S482" s="146"/>
      <c r="T482" s="146"/>
      <c r="U482" s="146"/>
      <c r="V482" s="146"/>
      <c r="W482" s="146"/>
      <c r="X482" s="146"/>
      <c r="Y482" s="146"/>
      <c r="Z482" s="146"/>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row>
    <row r="483" spans="1:46">
      <c r="A483" s="146"/>
      <c r="B483" s="205"/>
      <c r="C483" s="205"/>
      <c r="D483" s="205"/>
      <c r="E483" s="205"/>
      <c r="F483" s="296"/>
      <c r="G483" s="296"/>
      <c r="H483" s="296"/>
      <c r="I483" s="296"/>
      <c r="J483" s="296"/>
      <c r="K483" s="296"/>
      <c r="L483" s="296"/>
      <c r="M483" s="296"/>
      <c r="N483" s="296"/>
      <c r="O483" s="273"/>
      <c r="P483" s="274"/>
      <c r="Q483" s="273"/>
      <c r="R483" s="273"/>
      <c r="S483" s="146"/>
      <c r="T483" s="146"/>
      <c r="U483" s="146"/>
      <c r="V483" s="146"/>
      <c r="W483" s="146"/>
      <c r="X483" s="146"/>
      <c r="Y483" s="146"/>
      <c r="Z483" s="146"/>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row>
    <row r="484" spans="1:46">
      <c r="A484" s="146"/>
      <c r="B484" s="205"/>
      <c r="C484" s="205"/>
      <c r="D484" s="205"/>
      <c r="E484" s="205"/>
      <c r="F484" s="296"/>
      <c r="G484" s="296"/>
      <c r="H484" s="296"/>
      <c r="I484" s="296"/>
      <c r="J484" s="296"/>
      <c r="K484" s="296"/>
      <c r="L484" s="296"/>
      <c r="M484" s="296"/>
      <c r="N484" s="296"/>
      <c r="O484" s="273"/>
      <c r="P484" s="274"/>
      <c r="Q484" s="273"/>
      <c r="R484" s="273"/>
      <c r="S484" s="146"/>
      <c r="T484" s="146"/>
      <c r="U484" s="146"/>
      <c r="V484" s="146"/>
      <c r="W484" s="146"/>
      <c r="X484" s="146"/>
      <c r="Y484" s="146"/>
      <c r="Z484" s="146"/>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row>
    <row r="485" spans="1:46">
      <c r="A485" s="146"/>
      <c r="B485" s="205"/>
      <c r="C485" s="205"/>
      <c r="D485" s="205"/>
      <c r="E485" s="205"/>
      <c r="F485" s="296"/>
      <c r="G485" s="296"/>
      <c r="H485" s="296"/>
      <c r="I485" s="296"/>
      <c r="J485" s="296"/>
      <c r="K485" s="296"/>
      <c r="L485" s="296"/>
      <c r="M485" s="296"/>
      <c r="N485" s="296"/>
      <c r="O485" s="273"/>
      <c r="P485" s="274"/>
      <c r="Q485" s="273"/>
      <c r="R485" s="273"/>
      <c r="S485" s="146"/>
      <c r="T485" s="146"/>
      <c r="U485" s="146"/>
      <c r="V485" s="146"/>
      <c r="W485" s="146"/>
      <c r="X485" s="146"/>
      <c r="Y485" s="146"/>
      <c r="Z485" s="146"/>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row>
    <row r="486" spans="1:46">
      <c r="A486" s="146"/>
      <c r="B486" s="205"/>
      <c r="C486" s="205"/>
      <c r="D486" s="205"/>
      <c r="E486" s="205"/>
      <c r="F486" s="296"/>
      <c r="G486" s="296"/>
      <c r="H486" s="296"/>
      <c r="I486" s="296"/>
      <c r="J486" s="296"/>
      <c r="K486" s="296"/>
      <c r="L486" s="296"/>
      <c r="M486" s="296"/>
      <c r="N486" s="296"/>
      <c r="O486" s="273"/>
      <c r="P486" s="274"/>
      <c r="Q486" s="273"/>
      <c r="R486" s="273"/>
      <c r="S486" s="146"/>
      <c r="T486" s="146"/>
      <c r="U486" s="146"/>
      <c r="V486" s="146"/>
      <c r="W486" s="146"/>
      <c r="X486" s="146"/>
      <c r="Y486" s="146"/>
      <c r="Z486" s="14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row>
    <row r="487" spans="1:46">
      <c r="A487" s="146"/>
      <c r="B487" s="205"/>
      <c r="C487" s="205"/>
      <c r="D487" s="205"/>
      <c r="E487" s="205"/>
      <c r="F487" s="296"/>
      <c r="G487" s="296"/>
      <c r="H487" s="296"/>
      <c r="I487" s="296"/>
      <c r="J487" s="296"/>
      <c r="K487" s="296"/>
      <c r="L487" s="296"/>
      <c r="M487" s="296"/>
      <c r="N487" s="296"/>
      <c r="O487" s="273"/>
      <c r="P487" s="274"/>
      <c r="Q487" s="273"/>
      <c r="R487" s="273"/>
      <c r="S487" s="146"/>
      <c r="T487" s="146"/>
      <c r="U487" s="146"/>
      <c r="V487" s="146"/>
      <c r="W487" s="146"/>
      <c r="X487" s="146"/>
      <c r="Y487" s="146"/>
      <c r="Z487" s="146"/>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row>
    <row r="488" spans="1:46">
      <c r="A488" s="146"/>
      <c r="B488" s="205"/>
      <c r="C488" s="205"/>
      <c r="D488" s="205"/>
      <c r="E488" s="205"/>
      <c r="F488" s="296"/>
      <c r="G488" s="296"/>
      <c r="H488" s="296"/>
      <c r="I488" s="296"/>
      <c r="J488" s="296"/>
      <c r="K488" s="296"/>
      <c r="L488" s="296"/>
      <c r="M488" s="296"/>
      <c r="N488" s="296"/>
      <c r="O488" s="273"/>
      <c r="P488" s="274"/>
      <c r="Q488" s="273"/>
      <c r="R488" s="273"/>
      <c r="S488" s="146"/>
      <c r="T488" s="146"/>
      <c r="U488" s="146"/>
      <c r="V488" s="146"/>
      <c r="W488" s="146"/>
      <c r="X488" s="146"/>
      <c r="Y488" s="146"/>
      <c r="Z488" s="146"/>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row>
    <row r="489" spans="1:46">
      <c r="A489" s="146"/>
      <c r="B489" s="205"/>
      <c r="C489" s="205"/>
      <c r="D489" s="205"/>
      <c r="E489" s="205"/>
      <c r="F489" s="296"/>
      <c r="G489" s="296"/>
      <c r="H489" s="296"/>
      <c r="I489" s="296"/>
      <c r="J489" s="296"/>
      <c r="K489" s="296"/>
      <c r="L489" s="296"/>
      <c r="M489" s="296"/>
      <c r="N489" s="296"/>
      <c r="O489" s="273"/>
      <c r="P489" s="274"/>
      <c r="Q489" s="273"/>
      <c r="R489" s="273"/>
      <c r="S489" s="146"/>
      <c r="T489" s="146"/>
      <c r="U489" s="146"/>
      <c r="V489" s="146"/>
      <c r="W489" s="146"/>
      <c r="X489" s="146"/>
      <c r="Y489" s="146"/>
      <c r="Z489" s="146"/>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row>
    <row r="490" spans="1:46">
      <c r="A490" s="146"/>
      <c r="B490" s="205"/>
      <c r="C490" s="205"/>
      <c r="D490" s="205"/>
      <c r="E490" s="205"/>
      <c r="F490" s="296"/>
      <c r="G490" s="296"/>
      <c r="H490" s="296"/>
      <c r="I490" s="296"/>
      <c r="J490" s="296"/>
      <c r="K490" s="296"/>
      <c r="L490" s="296"/>
      <c r="M490" s="296"/>
      <c r="N490" s="296"/>
      <c r="O490" s="273"/>
      <c r="P490" s="274"/>
      <c r="Q490" s="273"/>
      <c r="R490" s="273"/>
      <c r="S490" s="146"/>
      <c r="T490" s="146"/>
      <c r="U490" s="146"/>
      <c r="V490" s="146"/>
      <c r="W490" s="146"/>
      <c r="X490" s="146"/>
      <c r="Y490" s="146"/>
      <c r="Z490" s="146"/>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row>
    <row r="491" spans="1:46">
      <c r="A491" s="146"/>
      <c r="B491" s="205"/>
      <c r="C491" s="205"/>
      <c r="D491" s="205"/>
      <c r="E491" s="205"/>
      <c r="F491" s="296"/>
      <c r="G491" s="296"/>
      <c r="H491" s="296"/>
      <c r="I491" s="296"/>
      <c r="J491" s="296"/>
      <c r="K491" s="296"/>
      <c r="L491" s="296"/>
      <c r="M491" s="296"/>
      <c r="N491" s="296"/>
      <c r="O491" s="273"/>
      <c r="P491" s="274"/>
      <c r="Q491" s="273"/>
      <c r="R491" s="273"/>
      <c r="S491" s="146"/>
      <c r="T491" s="146"/>
      <c r="U491" s="146"/>
      <c r="V491" s="146"/>
      <c r="W491" s="146"/>
      <c r="X491" s="146"/>
      <c r="Y491" s="146"/>
      <c r="Z491" s="146"/>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row>
    <row r="492" spans="1:46">
      <c r="A492" s="146"/>
      <c r="B492" s="205"/>
      <c r="C492" s="205"/>
      <c r="D492" s="205"/>
      <c r="E492" s="205"/>
      <c r="F492" s="296"/>
      <c r="G492" s="296"/>
      <c r="H492" s="296"/>
      <c r="I492" s="296"/>
      <c r="J492" s="296"/>
      <c r="K492" s="296"/>
      <c r="L492" s="296"/>
      <c r="M492" s="296"/>
      <c r="N492" s="296"/>
      <c r="O492" s="273"/>
      <c r="P492" s="274"/>
      <c r="Q492" s="273"/>
      <c r="R492" s="273"/>
      <c r="S492" s="146"/>
      <c r="T492" s="146"/>
      <c r="U492" s="146"/>
      <c r="V492" s="146"/>
      <c r="W492" s="146"/>
      <c r="X492" s="146"/>
      <c r="Y492" s="146"/>
      <c r="Z492" s="146"/>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row>
    <row r="493" spans="1:46">
      <c r="A493" s="146"/>
      <c r="B493" s="205"/>
      <c r="C493" s="205"/>
      <c r="D493" s="205"/>
      <c r="E493" s="205"/>
      <c r="F493" s="296"/>
      <c r="G493" s="296"/>
      <c r="H493" s="296"/>
      <c r="I493" s="296"/>
      <c r="J493" s="296"/>
      <c r="K493" s="296"/>
      <c r="L493" s="296"/>
      <c r="M493" s="296"/>
      <c r="N493" s="296"/>
      <c r="O493" s="273"/>
      <c r="P493" s="274"/>
      <c r="Q493" s="273"/>
      <c r="R493" s="273"/>
      <c r="S493" s="146"/>
      <c r="T493" s="146"/>
      <c r="U493" s="146"/>
      <c r="V493" s="146"/>
      <c r="W493" s="146"/>
      <c r="X493" s="146"/>
      <c r="Y493" s="146"/>
      <c r="Z493" s="146"/>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row>
    <row r="494" spans="1:46">
      <c r="A494" s="146"/>
      <c r="B494" s="205"/>
      <c r="C494" s="205"/>
      <c r="D494" s="205"/>
      <c r="E494" s="205"/>
      <c r="F494" s="296"/>
      <c r="G494" s="296"/>
      <c r="H494" s="296"/>
      <c r="I494" s="296"/>
      <c r="J494" s="296"/>
      <c r="K494" s="296"/>
      <c r="L494" s="296"/>
      <c r="M494" s="296"/>
      <c r="N494" s="296"/>
      <c r="O494" s="273"/>
      <c r="P494" s="274"/>
      <c r="Q494" s="273"/>
      <c r="R494" s="273"/>
      <c r="S494" s="146"/>
      <c r="T494" s="146"/>
      <c r="U494" s="146"/>
      <c r="V494" s="146"/>
      <c r="W494" s="146"/>
      <c r="X494" s="146"/>
      <c r="Y494" s="146"/>
      <c r="Z494" s="146"/>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row>
    <row r="495" spans="1:46">
      <c r="A495" s="146"/>
      <c r="B495" s="205"/>
      <c r="C495" s="205"/>
      <c r="D495" s="205"/>
      <c r="E495" s="205"/>
      <c r="F495" s="296"/>
      <c r="G495" s="296"/>
      <c r="H495" s="296"/>
      <c r="I495" s="296"/>
      <c r="J495" s="296"/>
      <c r="K495" s="296"/>
      <c r="L495" s="296"/>
      <c r="M495" s="296"/>
      <c r="N495" s="296"/>
      <c r="O495" s="273"/>
      <c r="P495" s="274"/>
      <c r="Q495" s="273"/>
      <c r="R495" s="273"/>
      <c r="S495" s="146"/>
      <c r="T495" s="146"/>
      <c r="U495" s="146"/>
      <c r="V495" s="146"/>
      <c r="W495" s="146"/>
      <c r="X495" s="146"/>
      <c r="Y495" s="146"/>
      <c r="Z495" s="146"/>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row>
    <row r="496" spans="1:46">
      <c r="A496" s="146"/>
      <c r="B496" s="205"/>
      <c r="C496" s="205"/>
      <c r="D496" s="205"/>
      <c r="E496" s="205"/>
      <c r="F496" s="296"/>
      <c r="G496" s="296"/>
      <c r="H496" s="296"/>
      <c r="I496" s="296"/>
      <c r="J496" s="296"/>
      <c r="K496" s="296"/>
      <c r="L496" s="296"/>
      <c r="M496" s="296"/>
      <c r="N496" s="296"/>
      <c r="O496" s="273"/>
      <c r="P496" s="274"/>
      <c r="Q496" s="273"/>
      <c r="R496" s="273"/>
      <c r="S496" s="146"/>
      <c r="T496" s="146"/>
      <c r="U496" s="146"/>
      <c r="V496" s="146"/>
      <c r="W496" s="146"/>
      <c r="X496" s="146"/>
      <c r="Y496" s="146"/>
      <c r="Z496" s="14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row>
    <row r="497" spans="1:46">
      <c r="A497" s="146"/>
      <c r="B497" s="205"/>
      <c r="C497" s="205"/>
      <c r="D497" s="205"/>
      <c r="E497" s="205"/>
      <c r="F497" s="296"/>
      <c r="G497" s="296"/>
      <c r="H497" s="296"/>
      <c r="I497" s="296"/>
      <c r="J497" s="296"/>
      <c r="K497" s="296"/>
      <c r="L497" s="296"/>
      <c r="M497" s="296"/>
      <c r="N497" s="296"/>
      <c r="O497" s="273"/>
      <c r="P497" s="274"/>
      <c r="Q497" s="273"/>
      <c r="R497" s="273"/>
      <c r="S497" s="146"/>
      <c r="T497" s="146"/>
      <c r="U497" s="146"/>
      <c r="V497" s="146"/>
      <c r="W497" s="146"/>
      <c r="X497" s="146"/>
      <c r="Y497" s="146"/>
      <c r="Z497" s="146"/>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row>
    <row r="498" spans="1:46">
      <c r="A498" s="146"/>
      <c r="B498" s="205"/>
      <c r="C498" s="205"/>
      <c r="D498" s="205"/>
      <c r="E498" s="205"/>
      <c r="F498" s="296"/>
      <c r="G498" s="296"/>
      <c r="H498" s="296"/>
      <c r="I498" s="296"/>
      <c r="J498" s="296"/>
      <c r="K498" s="296"/>
      <c r="L498" s="296"/>
      <c r="M498" s="296"/>
      <c r="N498" s="296"/>
      <c r="O498" s="273"/>
      <c r="P498" s="274"/>
      <c r="Q498" s="273"/>
      <c r="R498" s="273"/>
      <c r="S498" s="146"/>
      <c r="T498" s="146"/>
      <c r="U498" s="146"/>
      <c r="V498" s="146"/>
      <c r="W498" s="146"/>
      <c r="X498" s="146"/>
      <c r="Y498" s="146"/>
      <c r="Z498" s="146"/>
      <c r="AA498" s="146"/>
      <c r="AB498" s="146"/>
      <c r="AC498" s="146"/>
      <c r="AD498" s="146"/>
      <c r="AE498" s="146"/>
      <c r="AF498" s="146"/>
      <c r="AG498" s="146"/>
      <c r="AH498" s="146"/>
      <c r="AI498" s="146"/>
      <c r="AJ498" s="146"/>
      <c r="AK498" s="146"/>
      <c r="AL498" s="146"/>
      <c r="AM498" s="146"/>
      <c r="AN498" s="146"/>
      <c r="AO498" s="146"/>
      <c r="AP498" s="146"/>
      <c r="AQ498" s="146"/>
      <c r="AR498" s="146"/>
    </row>
    <row r="499" spans="1:46">
      <c r="A499" s="146"/>
      <c r="B499" s="205"/>
      <c r="C499" s="205"/>
      <c r="D499" s="205"/>
      <c r="E499" s="205"/>
      <c r="F499" s="296"/>
      <c r="G499" s="296"/>
      <c r="H499" s="296"/>
      <c r="I499" s="296"/>
      <c r="J499" s="296"/>
      <c r="K499" s="296"/>
      <c r="L499" s="296"/>
      <c r="M499" s="296"/>
      <c r="N499" s="296"/>
      <c r="O499" s="273"/>
      <c r="P499" s="274"/>
      <c r="Q499" s="273"/>
      <c r="R499" s="273"/>
      <c r="S499" s="146"/>
      <c r="T499" s="146"/>
      <c r="U499" s="146"/>
      <c r="V499" s="146"/>
      <c r="W499" s="146"/>
      <c r="X499" s="146"/>
      <c r="Y499" s="146"/>
      <c r="Z499" s="146"/>
      <c r="AA499" s="146"/>
      <c r="AB499" s="146"/>
      <c r="AC499" s="146"/>
      <c r="AD499" s="146"/>
      <c r="AE499" s="146"/>
      <c r="AF499" s="146"/>
      <c r="AG499" s="146"/>
      <c r="AH499" s="146"/>
      <c r="AI499" s="146"/>
      <c r="AJ499" s="146"/>
      <c r="AK499" s="146"/>
      <c r="AL499" s="146"/>
      <c r="AM499" s="146"/>
      <c r="AN499" s="146"/>
      <c r="AO499" s="146"/>
      <c r="AP499" s="146"/>
      <c r="AQ499" s="146"/>
      <c r="AR499" s="146"/>
    </row>
    <row r="500" spans="1:46">
      <c r="A500" s="146"/>
      <c r="B500" s="205"/>
      <c r="C500" s="205"/>
      <c r="D500" s="205"/>
      <c r="E500" s="205"/>
      <c r="F500" s="296"/>
      <c r="G500" s="296"/>
      <c r="H500" s="296"/>
      <c r="I500" s="296"/>
      <c r="J500" s="296"/>
      <c r="K500" s="296"/>
      <c r="L500" s="296"/>
      <c r="M500" s="296"/>
      <c r="N500" s="296"/>
      <c r="O500" s="273"/>
      <c r="P500" s="274"/>
      <c r="Q500" s="273"/>
      <c r="R500" s="273"/>
      <c r="S500" s="146"/>
      <c r="T500" s="146"/>
      <c r="U500" s="146"/>
      <c r="V500" s="146"/>
      <c r="W500" s="146"/>
      <c r="X500" s="146"/>
      <c r="Y500" s="146"/>
      <c r="Z500" s="146"/>
      <c r="AA500" s="146"/>
      <c r="AB500" s="146"/>
      <c r="AC500" s="146"/>
      <c r="AD500" s="146"/>
      <c r="AE500" s="146"/>
      <c r="AF500" s="146"/>
      <c r="AG500" s="146"/>
      <c r="AH500" s="146"/>
      <c r="AI500" s="146"/>
      <c r="AJ500" s="146"/>
      <c r="AK500" s="146"/>
      <c r="AL500" s="146"/>
      <c r="AM500" s="146"/>
      <c r="AN500" s="146"/>
      <c r="AO500" s="146"/>
      <c r="AP500" s="146"/>
      <c r="AQ500" s="146"/>
      <c r="AR500" s="146"/>
    </row>
    <row r="501" spans="1:46">
      <c r="A501" s="146"/>
      <c r="B501" s="205"/>
      <c r="C501" s="205"/>
      <c r="D501" s="205"/>
      <c r="E501" s="205"/>
      <c r="F501" s="296"/>
      <c r="G501" s="296"/>
      <c r="H501" s="296"/>
      <c r="I501" s="296"/>
      <c r="J501" s="296"/>
      <c r="K501" s="296"/>
      <c r="L501" s="296"/>
      <c r="M501" s="296"/>
      <c r="N501" s="296"/>
      <c r="O501" s="273"/>
      <c r="P501" s="274"/>
      <c r="Q501" s="273"/>
      <c r="R501" s="273"/>
      <c r="S501" s="146"/>
      <c r="T501" s="146"/>
      <c r="U501" s="146"/>
      <c r="V501" s="146"/>
      <c r="W501" s="146"/>
      <c r="X501" s="146"/>
      <c r="Y501" s="146"/>
      <c r="Z501" s="146"/>
      <c r="AA501" s="146"/>
      <c r="AB501" s="146"/>
      <c r="AC501" s="146"/>
      <c r="AD501" s="146"/>
      <c r="AE501" s="146"/>
      <c r="AF501" s="146"/>
      <c r="AG501" s="146"/>
      <c r="AH501" s="146"/>
      <c r="AI501" s="146"/>
      <c r="AJ501" s="146"/>
      <c r="AK501" s="146"/>
      <c r="AL501" s="146"/>
      <c r="AM501" s="146"/>
      <c r="AN501" s="146"/>
      <c r="AO501" s="146"/>
      <c r="AP501" s="146"/>
      <c r="AQ501" s="146"/>
      <c r="AR501" s="146"/>
    </row>
  </sheetData>
  <sheetProtection password="9771" sheet="1" objects="1" scenarios="1" selectLockedCells="1"/>
  <mergeCells count="56">
    <mergeCell ref="B89:N92"/>
    <mergeCell ref="B3:J3"/>
    <mergeCell ref="B77:D77"/>
    <mergeCell ref="B69:L70"/>
    <mergeCell ref="B74:D74"/>
    <mergeCell ref="B75:D75"/>
    <mergeCell ref="B72:D72"/>
    <mergeCell ref="K45:M47"/>
    <mergeCell ref="B65:D65"/>
    <mergeCell ref="B66:D66"/>
    <mergeCell ref="AJ2:AO2"/>
    <mergeCell ref="L43:M43"/>
    <mergeCell ref="K55:L55"/>
    <mergeCell ref="R40:AD40"/>
    <mergeCell ref="S42:AE42"/>
    <mergeCell ref="B1:O2"/>
    <mergeCell ref="M6:N6"/>
    <mergeCell ref="M10:O11"/>
    <mergeCell ref="B15:I15"/>
    <mergeCell ref="M35:O36"/>
    <mergeCell ref="K54:L54"/>
    <mergeCell ref="F55:H55"/>
    <mergeCell ref="B36:L37"/>
    <mergeCell ref="B64:D64"/>
    <mergeCell ref="B59:L61"/>
    <mergeCell ref="E62:H62"/>
    <mergeCell ref="I62:L62"/>
    <mergeCell ref="B62:D62"/>
    <mergeCell ref="B5:K5"/>
    <mergeCell ref="M30:O31"/>
    <mergeCell ref="K52:L52"/>
    <mergeCell ref="M32:O33"/>
    <mergeCell ref="B7:K7"/>
    <mergeCell ref="B9:K9"/>
    <mergeCell ref="B11:K11"/>
    <mergeCell ref="G43:K44"/>
    <mergeCell ref="L17:O17"/>
    <mergeCell ref="B33:L34"/>
    <mergeCell ref="M8:O9"/>
    <mergeCell ref="J15:N15"/>
    <mergeCell ref="Q35:AB35"/>
    <mergeCell ref="Q36:AB36"/>
    <mergeCell ref="B81:N87"/>
    <mergeCell ref="I71:L71"/>
    <mergeCell ref="K56:L56"/>
    <mergeCell ref="B67:D67"/>
    <mergeCell ref="B68:D68"/>
    <mergeCell ref="B76:D76"/>
    <mergeCell ref="B63:D63"/>
    <mergeCell ref="B73:D73"/>
    <mergeCell ref="B71:D71"/>
    <mergeCell ref="E71:H71"/>
    <mergeCell ref="Z53:AF55"/>
    <mergeCell ref="F53:H53"/>
    <mergeCell ref="F54:H54"/>
    <mergeCell ref="K53:L53"/>
  </mergeCells>
  <phoneticPr fontId="2" type="noConversion"/>
  <conditionalFormatting sqref="S56:V56 U54:V55 U52:W53 T51:Y51 T50:Z50 T49:AA49 U48:AB48 W47:AC47 X46:AD46 Z45:AE45 Z44:AF44">
    <cfRule type="cellIs" dxfId="23" priority="1" stopIfTrue="1" operator="notEqual">
      <formula>0</formula>
    </cfRule>
  </conditionalFormatting>
  <conditionalFormatting sqref="V47 V7">
    <cfRule type="expression" dxfId="22" priority="2" stopIfTrue="1">
      <formula>NOT(ISBLANK(V7))</formula>
    </cfRule>
  </conditionalFormatting>
  <conditionalFormatting sqref="AC2 AE2 U8">
    <cfRule type="cellIs" dxfId="21" priority="3" stopIfTrue="1" operator="greaterThan">
      <formula>""""""</formula>
    </cfRule>
    <cfRule type="cellIs" dxfId="20" priority="4" stopIfTrue="1" operator="greaterThan">
      <formula>0</formula>
    </cfRule>
  </conditionalFormatting>
  <conditionalFormatting sqref="E73:L77">
    <cfRule type="cellIs" dxfId="19" priority="5" stopIfTrue="1" operator="equal">
      <formula>"YES"</formula>
    </cfRule>
  </conditionalFormatting>
  <conditionalFormatting sqref="B23:N23">
    <cfRule type="expression" dxfId="18" priority="6" stopIfTrue="1">
      <formula>$B$23="n/a"</formula>
    </cfRule>
  </conditionalFormatting>
  <conditionalFormatting sqref="B24:N24">
    <cfRule type="expression" dxfId="17" priority="7" stopIfTrue="1">
      <formula>$B$24="n/a"</formula>
    </cfRule>
  </conditionalFormatting>
  <conditionalFormatting sqref="B26:N26">
    <cfRule type="expression" dxfId="16" priority="8" stopIfTrue="1">
      <formula>$B$26="n/a"</formula>
    </cfRule>
  </conditionalFormatting>
  <conditionalFormatting sqref="B27:N27">
    <cfRule type="expression" dxfId="15" priority="9" stopIfTrue="1">
      <formula>$B$27="n/a"</formula>
    </cfRule>
  </conditionalFormatting>
  <conditionalFormatting sqref="B28:N28">
    <cfRule type="expression" dxfId="14" priority="10" stopIfTrue="1">
      <formula>$B$28="n/a"</formula>
    </cfRule>
  </conditionalFormatting>
  <conditionalFormatting sqref="B25:N25">
    <cfRule type="expression" dxfId="13" priority="11" stopIfTrue="1">
      <formula>$B$25="n/a"</formula>
    </cfRule>
  </conditionalFormatting>
  <conditionalFormatting sqref="M3">
    <cfRule type="expression" dxfId="12" priority="12" stopIfTrue="1">
      <formula>NOT(ISBLANK($M$4))</formula>
    </cfRule>
  </conditionalFormatting>
  <conditionalFormatting sqref="N3">
    <cfRule type="expression" dxfId="11" priority="13" stopIfTrue="1">
      <formula>NOT(ISBLANK($N$4))</formula>
    </cfRule>
  </conditionalFormatting>
  <conditionalFormatting sqref="B20:N20">
    <cfRule type="expression" dxfId="10" priority="14" stopIfTrue="1">
      <formula>$B$20="n/a"</formula>
    </cfRule>
  </conditionalFormatting>
  <conditionalFormatting sqref="B21:N21">
    <cfRule type="expression" dxfId="9" priority="15" stopIfTrue="1">
      <formula>$B$21="n/a"</formula>
    </cfRule>
  </conditionalFormatting>
  <conditionalFormatting sqref="B22:N22">
    <cfRule type="expression" dxfId="8" priority="16" stopIfTrue="1">
      <formula>$B$22="n/a"</formula>
    </cfRule>
  </conditionalFormatting>
  <conditionalFormatting sqref="L3">
    <cfRule type="expression" dxfId="7" priority="17" stopIfTrue="1">
      <formula>NOT(ISBLANK($L$4))</formula>
    </cfRule>
  </conditionalFormatting>
  <conditionalFormatting sqref="B31:L34 M32:O34 A32:A38">
    <cfRule type="expression" dxfId="6" priority="18" stopIfTrue="1">
      <formula>ISBLANK($L$14)</formula>
    </cfRule>
  </conditionalFormatting>
  <conditionalFormatting sqref="B18:N19">
    <cfRule type="expression" dxfId="5" priority="19" stopIfTrue="1">
      <formula>$B$19="n/a"</formula>
    </cfRule>
  </conditionalFormatting>
  <conditionalFormatting sqref="S16:V16 U14:V15 U13:W13 U12:X12 T11:Y11 T10:Z10 T9:AA9 V8:AB8 W7:AC7 X6:AD6 Z5:AE5 Z4:AF4">
    <cfRule type="cellIs" dxfId="4" priority="20" stopIfTrue="1" operator="greaterThan">
      <formula>""""""</formula>
    </cfRule>
    <cfRule type="cellIs" dxfId="3" priority="21" stopIfTrue="1" operator="greaterThan">
      <formula>0</formula>
    </cfRule>
  </conditionalFormatting>
  <conditionalFormatting sqref="K45:M47 I53:L55">
    <cfRule type="expression" dxfId="2" priority="22" stopIfTrue="1">
      <formula>$G$45=1</formula>
    </cfRule>
  </conditionalFormatting>
  <conditionalFormatting sqref="B35:O38">
    <cfRule type="expression" dxfId="1" priority="23" stopIfTrue="1">
      <formula>$G$46="NO"</formula>
    </cfRule>
  </conditionalFormatting>
  <pageMargins left="0.75" right="0.75" top="1" bottom="1" header="0.5" footer="0.5"/>
  <pageSetup scale="60" orientation="portrait" horizontalDpi="1200" verticalDpi="1200" r:id="rId1"/>
  <headerFooter alignWithMargins="0"/>
  <rowBreaks count="2" manualBreakCount="2">
    <brk id="38" max="16383" man="1"/>
    <brk id="97" max="16383" man="1"/>
  </rowBreaks>
  <colBreaks count="1" manualBreakCount="1">
    <brk id="35" max="1048575" man="1"/>
  </colBreaks>
  <drawing r:id="rId2"/>
</worksheet>
</file>

<file path=xl/worksheets/sheet2.xml><?xml version="1.0" encoding="utf-8"?>
<worksheet xmlns="http://schemas.openxmlformats.org/spreadsheetml/2006/main" xmlns:r="http://schemas.openxmlformats.org/officeDocument/2006/relationships">
  <sheetPr codeName="Sheet7" enableFormatConditionsCalculation="0">
    <tabColor indexed="10"/>
  </sheetPr>
  <dimension ref="A1:CP63"/>
  <sheetViews>
    <sheetView topLeftCell="A22" workbookViewId="0">
      <selection activeCell="AK35" sqref="AK35"/>
    </sheetView>
  </sheetViews>
  <sheetFormatPr defaultRowHeight="15.6"/>
  <cols>
    <col min="1" max="1" width="13.6640625" style="32" bestFit="1" customWidth="1"/>
    <col min="2" max="2" width="8.6640625" style="17" bestFit="1" customWidth="1"/>
    <col min="3" max="3" width="9" style="17" bestFit="1" customWidth="1"/>
    <col min="4" max="4" width="8.6640625" style="17" bestFit="1" customWidth="1"/>
    <col min="5" max="5" width="9" style="17" bestFit="1" customWidth="1"/>
    <col min="6" max="6" width="8.88671875" style="1"/>
    <col min="7" max="8" width="12.109375" style="16" customWidth="1"/>
    <col min="9" max="9" width="10.6640625" style="17" customWidth="1"/>
    <col min="10" max="10" width="10.5546875" style="2" customWidth="1"/>
    <col min="11" max="11" width="12.6640625" style="2" bestFit="1" customWidth="1"/>
    <col min="12" max="13" width="5.33203125" style="2" bestFit="1" customWidth="1"/>
    <col min="14" max="14" width="6" style="2" bestFit="1" customWidth="1"/>
    <col min="15" max="15" width="5.44140625" style="2" bestFit="1" customWidth="1"/>
    <col min="16" max="16" width="6.33203125" style="2" bestFit="1" customWidth="1"/>
    <col min="17" max="17" width="5.33203125" style="2" bestFit="1" customWidth="1"/>
    <col min="18" max="18" width="4.88671875" style="2" bestFit="1" customWidth="1"/>
    <col min="19" max="19" width="5.6640625" style="2" bestFit="1" customWidth="1"/>
    <col min="20" max="20" width="5.5546875" style="2" bestFit="1" customWidth="1"/>
    <col min="21" max="21" width="5.33203125" style="2" bestFit="1" customWidth="1"/>
    <col min="22" max="22" width="5.6640625" style="2" bestFit="1" customWidth="1"/>
    <col min="23" max="23" width="5.5546875" style="2" bestFit="1" customWidth="1"/>
    <col min="24" max="24" width="5.5546875" style="49" customWidth="1"/>
    <col min="25" max="35" width="5.5546875" style="2" customWidth="1"/>
    <col min="36" max="36" width="7.6640625" style="2" bestFit="1" customWidth="1"/>
    <col min="37" max="16384" width="8.88671875" style="1"/>
  </cols>
  <sheetData>
    <row r="1" spans="1:94" ht="16.2" thickBot="1">
      <c r="A1" s="30" t="s">
        <v>56</v>
      </c>
      <c r="G1" s="16" t="str">
        <f>IF(ISBLANK('User Interface (Start Here!)'!L4),"No impact A13C, A16","Impacts of A13C and A16")</f>
        <v>Impacts of A13C and A16</v>
      </c>
      <c r="I1" s="17" t="s">
        <v>76</v>
      </c>
      <c r="L1" s="505" t="s">
        <v>78</v>
      </c>
      <c r="M1" s="505"/>
      <c r="N1" s="505"/>
      <c r="O1" s="505"/>
      <c r="P1" s="505"/>
      <c r="Q1" s="505"/>
      <c r="R1" s="505"/>
      <c r="S1" s="505"/>
      <c r="T1" s="505"/>
      <c r="U1" s="505"/>
      <c r="V1" s="505"/>
      <c r="W1" s="505"/>
      <c r="X1" s="506" t="s">
        <v>79</v>
      </c>
      <c r="Y1" s="506"/>
      <c r="Z1" s="506"/>
      <c r="AA1" s="506"/>
      <c r="AB1" s="506"/>
      <c r="AC1" s="506"/>
      <c r="AD1" s="506"/>
      <c r="AE1" s="506"/>
      <c r="AF1" s="506"/>
      <c r="AG1" s="506"/>
      <c r="AH1" s="506"/>
      <c r="AI1" s="506"/>
    </row>
    <row r="2" spans="1:94" ht="16.8" thickTop="1" thickBot="1">
      <c r="A2" s="25" t="s">
        <v>1</v>
      </c>
      <c r="B2" s="18" t="s">
        <v>27</v>
      </c>
      <c r="C2" s="18" t="s">
        <v>2</v>
      </c>
      <c r="D2" s="21" t="s">
        <v>27</v>
      </c>
      <c r="E2" s="21" t="s">
        <v>2</v>
      </c>
      <c r="G2" s="18" t="str">
        <f>IF(ISBLANK('User Interface (Start Here!)'!$L4),commercial!B2,commercial!C2)</f>
        <v>A17ALT2</v>
      </c>
      <c r="H2" s="21" t="str">
        <f>IF(ISBLANK('User Interface (Start Here!)'!$L4),commercial!D2,commercial!E2)</f>
        <v>A17ALT2</v>
      </c>
      <c r="I2" s="40" t="s">
        <v>73</v>
      </c>
      <c r="J2" s="28" t="s">
        <v>74</v>
      </c>
      <c r="K2" s="28" t="s">
        <v>75</v>
      </c>
      <c r="L2" s="28">
        <v>1</v>
      </c>
      <c r="M2" s="28">
        <v>2</v>
      </c>
      <c r="N2" s="28">
        <v>3</v>
      </c>
      <c r="O2" s="28">
        <v>4</v>
      </c>
      <c r="P2" s="28">
        <v>5</v>
      </c>
      <c r="Q2" s="28">
        <v>6</v>
      </c>
      <c r="R2" s="28">
        <v>7</v>
      </c>
      <c r="S2" s="28">
        <v>8</v>
      </c>
      <c r="T2" s="28">
        <v>9</v>
      </c>
      <c r="U2" s="28">
        <v>10</v>
      </c>
      <c r="V2" s="28">
        <v>11</v>
      </c>
      <c r="W2" s="28">
        <v>12</v>
      </c>
      <c r="X2" s="48">
        <v>1</v>
      </c>
      <c r="Y2" s="28">
        <v>2</v>
      </c>
      <c r="Z2" s="28">
        <v>3</v>
      </c>
      <c r="AA2" s="28">
        <v>4</v>
      </c>
      <c r="AB2" s="28">
        <v>5</v>
      </c>
      <c r="AC2" s="28">
        <v>6</v>
      </c>
      <c r="AD2" s="28">
        <v>7</v>
      </c>
      <c r="AE2" s="28">
        <v>8</v>
      </c>
      <c r="AF2" s="28">
        <v>9</v>
      </c>
      <c r="AG2" s="28">
        <v>10</v>
      </c>
      <c r="AH2" s="28">
        <v>11</v>
      </c>
      <c r="AI2" s="28">
        <v>12</v>
      </c>
      <c r="AJ2" s="28" t="s">
        <v>77</v>
      </c>
      <c r="AL2" s="1" t="s">
        <v>33</v>
      </c>
      <c r="AM2" s="1" t="s">
        <v>34</v>
      </c>
      <c r="AP2" s="1" t="s">
        <v>39</v>
      </c>
      <c r="BA2" s="1" t="s">
        <v>33</v>
      </c>
      <c r="BB2" s="1" t="s">
        <v>34</v>
      </c>
      <c r="BE2" s="1" t="s">
        <v>40</v>
      </c>
      <c r="BO2" s="1" t="s">
        <v>33</v>
      </c>
      <c r="BP2" s="1" t="s">
        <v>53</v>
      </c>
      <c r="CD2" s="1" t="s">
        <v>33</v>
      </c>
      <c r="CE2" s="1" t="str">
        <f>BP2</f>
        <v>A17_RedSnap_ALT2</v>
      </c>
      <c r="CH2" s="1" t="s">
        <v>40</v>
      </c>
    </row>
    <row r="3" spans="1:94" ht="16.2" thickTop="1">
      <c r="A3" s="28">
        <v>2479</v>
      </c>
      <c r="B3" s="29">
        <v>0</v>
      </c>
      <c r="C3" s="29">
        <v>0</v>
      </c>
      <c r="D3" s="22">
        <v>0</v>
      </c>
      <c r="E3" s="22">
        <v>0</v>
      </c>
      <c r="G3" s="29">
        <f>IF(ISBLANK('User Interface (Start Here!)'!$L$4),commercial!B3,commercial!C3)</f>
        <v>0</v>
      </c>
      <c r="H3" s="22">
        <f>IF(ISBLANK('User Interface (Start Here!)'!$L$4),commercial!D3,commercial!E3)</f>
        <v>0</v>
      </c>
      <c r="I3" s="40">
        <f>(G3+H3)*'User Interface (Start Here!)'!$L$10</f>
        <v>0</v>
      </c>
      <c r="J3" s="2">
        <f>IF(VLOOKUP(A3,'User Interface (Start Here!)'!$DO$2:$DP$73,2,FALSE)&lt;&gt;0,1,0)</f>
        <v>0</v>
      </c>
      <c r="K3" s="41">
        <f>IF(AND(J3=1,ISBLANK('User Interface (Start Here!)'!$L$14),ISBLANK('User Interface (Start Here!)'!$M$14),ISBLANK('User Interface (Start Here!)'!$N$14)),100%*'User Interface (Start Here!)'!$L$30,IF(J3=1,VLOOKUP(A3,'Bathymetric Closures'!$A$2:$C$57,3,FALSE)*'User Interface (Start Here!)'!$L$30,0%))</f>
        <v>0</v>
      </c>
      <c r="L3" s="50">
        <f>IF(ISBLANK('User Interface (Start Here!)'!$L5),$I3*VLOOKUP($A3,$BA$5:$BM$60,L$2+1,FALSE),$I3*VLOOKUP($A3,$CD$6:$CP$60,L$2+1,FALSE))</f>
        <v>0</v>
      </c>
      <c r="M3" s="50">
        <f>IF(ISBLANK('User Interface (Start Here!)'!$L5),$I3*VLOOKUP($A3,$BA$5:$BM$60,M$2+1,FALSE),$I3*VLOOKUP($A3,$CD$6:$CP$60,M$2+1,FALSE))</f>
        <v>0</v>
      </c>
      <c r="N3" s="50">
        <f>IF(ISBLANK('User Interface (Start Here!)'!$L5),$I3*VLOOKUP($A3,$BA$5:$BM$60,N$2+1,FALSE),$I3*VLOOKUP($A3,$CD$6:$CP$60,N$2+1,FALSE))</f>
        <v>0</v>
      </c>
      <c r="O3" s="50">
        <f>IF(ISBLANK('User Interface (Start Here!)'!$L5),$I3*VLOOKUP($A3,$BA$5:$BM$60,O$2+1,FALSE),$I3*VLOOKUP($A3,$CD$6:$CP$60,O$2+1,FALSE))</f>
        <v>0</v>
      </c>
      <c r="P3" s="50">
        <f>IF(ISBLANK('User Interface (Start Here!)'!$L5),$I3*VLOOKUP($A3,$BA$5:$BM$60,P$2+1,FALSE),$I3*VLOOKUP($A3,$CD$6:$CP$60,P$2+1,FALSE))</f>
        <v>0</v>
      </c>
      <c r="Q3" s="50">
        <f>IF(ISBLANK('User Interface (Start Here!)'!$L5),$I3*VLOOKUP($A3,$BA$5:$BM$60,Q$2+1,FALSE),$I3*VLOOKUP($A3,$CD$6:$CP$60,Q$2+1,FALSE))</f>
        <v>0</v>
      </c>
      <c r="R3" s="50">
        <f>IF(ISBLANK('User Interface (Start Here!)'!$L5),$I3*VLOOKUP($A3,$BA$5:$BM$60,R$2+1,FALSE),$I3*VLOOKUP($A3,$CD$6:$CP$60,R$2+1,FALSE))</f>
        <v>0</v>
      </c>
      <c r="S3" s="50">
        <f>IF(ISBLANK('User Interface (Start Here!)'!$L5),$I3*VLOOKUP($A3,$BA$5:$BM$60,S$2+1,FALSE),$I3*VLOOKUP($A3,$CD$6:$CP$60,S$2+1,FALSE))</f>
        <v>0</v>
      </c>
      <c r="T3" s="50">
        <f>IF(ISBLANK('User Interface (Start Here!)'!$L5),$I3*VLOOKUP($A3,$BA$5:$BM$60,T$2+1,FALSE),$I3*VLOOKUP($A3,$CD$6:$CP$60,T$2+1,FALSE))</f>
        <v>0</v>
      </c>
      <c r="U3" s="50">
        <f>IF(ISBLANK('User Interface (Start Here!)'!$L5),$I3*VLOOKUP($A3,$BA$5:$BM$60,U$2+1,FALSE),$I3*VLOOKUP($A3,$CD$6:$CP$60,U$2+1,FALSE))</f>
        <v>0</v>
      </c>
      <c r="V3" s="50">
        <f>IF(ISBLANK('User Interface (Start Here!)'!$L5),$I3*VLOOKUP($A3,$BA$5:$BM$60,V$2+1,FALSE),$I3*VLOOKUP($A3,$CD$6:$CP$60,V$2+1,FALSE))</f>
        <v>0</v>
      </c>
      <c r="W3" s="50">
        <f>IF(ISBLANK('User Interface (Start Here!)'!$L5),$I3*VLOOKUP($A3,$BA$5:$BM$60,W$2+1,FALSE),$I3*VLOOKUP($A3,$CD$6:$CP$60,W$2+1,FALSE))</f>
        <v>0</v>
      </c>
      <c r="X3" s="51">
        <f>IF($J3&lt;&gt;1,L3,IF(VLOOKUP($A3,'User Interface (Start Here!)'!$B$18:$N$28,X$2+1,FALSE)&lt;&gt;100%,L3-VLOOKUP($A3,'User Interface (Start Here!)'!$B$18:$N$28,X$2+1,FALSE)/'User Interface (Start Here!)'!$L$35*$K3*L3,L3-VLOOKUP($A3,'User Interface (Start Here!)'!$B$18:$N$28,X$2+1,FALSE)*$K3*L3))</f>
        <v>0</v>
      </c>
      <c r="Y3" s="52">
        <f>IF($J3&lt;&gt;1,M3,IF(VLOOKUP($A3,'User Interface (Start Here!)'!$B$18:$N$28,Y$2+1,FALSE)&lt;&gt;100%,M3-VLOOKUP($A3,'User Interface (Start Here!)'!$B$18:$N$28,Y$2+1,FALSE)/'User Interface (Start Here!)'!$L$35*$K3*M3,M3-VLOOKUP($A3,'User Interface (Start Here!)'!$B$18:$N$28,Y$2+1,FALSE)*$K3*M3))</f>
        <v>0</v>
      </c>
      <c r="Z3" s="52">
        <f>IF($J3&lt;&gt;1,N3,IF(VLOOKUP($A3,'User Interface (Start Here!)'!$B$18:$N$28,Z$2+1,FALSE)&lt;&gt;100%,N3-VLOOKUP($A3,'User Interface (Start Here!)'!$B$18:$N$28,Z$2+1,FALSE)/'User Interface (Start Here!)'!$L$35*$K3*N3,N3-VLOOKUP($A3,'User Interface (Start Here!)'!$B$18:$N$28,Z$2+1,FALSE)*$K3*N3))</f>
        <v>0</v>
      </c>
      <c r="AA3" s="52">
        <f>IF($J3&lt;&gt;1,O3,IF(VLOOKUP($A3,'User Interface (Start Here!)'!$B$18:$N$28,AA$2+1,FALSE)&lt;&gt;100%,O3-VLOOKUP($A3,'User Interface (Start Here!)'!$B$18:$N$28,AA$2+1,FALSE)/'User Interface (Start Here!)'!$L$35*$K3*O3,O3-VLOOKUP($A3,'User Interface (Start Here!)'!$B$18:$N$28,AA$2+1,FALSE)*$K3*O3))</f>
        <v>0</v>
      </c>
      <c r="AB3" s="52">
        <f>IF($J3&lt;&gt;1,P3,IF(VLOOKUP($A3,'User Interface (Start Here!)'!$B$18:$N$28,AB$2+1,FALSE)&lt;&gt;100%,P3-VLOOKUP($A3,'User Interface (Start Here!)'!$B$18:$N$28,AB$2+1,FALSE)/'User Interface (Start Here!)'!$L$35*$K3*P3,P3-VLOOKUP($A3,'User Interface (Start Here!)'!$B$18:$N$28,AB$2+1,FALSE)*$K3*P3))</f>
        <v>0</v>
      </c>
      <c r="AC3" s="52">
        <f>IF($J3&lt;&gt;1,Q3,IF(VLOOKUP($A3,'User Interface (Start Here!)'!$B$18:$N$28,AC$2+1,FALSE)&lt;&gt;100%,Q3-VLOOKUP($A3,'User Interface (Start Here!)'!$B$18:$N$28,AC$2+1,FALSE)/'User Interface (Start Here!)'!$L$35*$K3*Q3,Q3-VLOOKUP($A3,'User Interface (Start Here!)'!$B$18:$N$28,AC$2+1,FALSE)*$K3*Q3))</f>
        <v>0</v>
      </c>
      <c r="AD3" s="52">
        <f>IF($J3&lt;&gt;1,R3,IF(VLOOKUP($A3,'User Interface (Start Here!)'!$B$18:$N$28,AD$2+1,FALSE)&lt;&gt;100%,R3-VLOOKUP($A3,'User Interface (Start Here!)'!$B$18:$N$28,AD$2+1,FALSE)/'User Interface (Start Here!)'!$L$35*$K3*R3,R3-VLOOKUP($A3,'User Interface (Start Here!)'!$B$18:$N$28,AD$2+1,FALSE)*$K3*R3))</f>
        <v>0</v>
      </c>
      <c r="AE3" s="52">
        <f>IF($J3&lt;&gt;1,S3,IF(VLOOKUP($A3,'User Interface (Start Here!)'!$B$18:$N$28,AE$2+1,FALSE)&lt;&gt;100%,S3-VLOOKUP($A3,'User Interface (Start Here!)'!$B$18:$N$28,AE$2+1,FALSE)/'User Interface (Start Here!)'!$L$35*$K3*S3,S3-VLOOKUP($A3,'User Interface (Start Here!)'!$B$18:$N$28,AE$2+1,FALSE)*$K3*S3))</f>
        <v>0</v>
      </c>
      <c r="AF3" s="52">
        <f>IF($J3&lt;&gt;1,T3,IF(VLOOKUP($A3,'User Interface (Start Here!)'!$B$18:$N$28,AF$2+1,FALSE)&lt;&gt;100%,T3-VLOOKUP($A3,'User Interface (Start Here!)'!$B$18:$N$28,AF$2+1,FALSE)/'User Interface (Start Here!)'!$L$35*$K3*T3,T3-VLOOKUP($A3,'User Interface (Start Here!)'!$B$18:$N$28,AF$2+1,FALSE)*$K3*T3))</f>
        <v>0</v>
      </c>
      <c r="AG3" s="52">
        <f>IF($J3&lt;&gt;1,U3,IF(VLOOKUP($A3,'User Interface (Start Here!)'!$B$18:$N$28,AG$2+1,FALSE)&lt;&gt;100%,U3-VLOOKUP($A3,'User Interface (Start Here!)'!$B$18:$N$28,AG$2+1,FALSE)/'User Interface (Start Here!)'!$L$35*$K3*U3,U3-VLOOKUP($A3,'User Interface (Start Here!)'!$B$18:$N$28,AG$2+1,FALSE)*$K3*U3))</f>
        <v>0</v>
      </c>
      <c r="AH3" s="52">
        <f>IF($J3&lt;&gt;1,V3,IF(VLOOKUP($A3,'User Interface (Start Here!)'!$B$18:$N$28,AH$2+1,FALSE)&lt;&gt;100%,V3-VLOOKUP($A3,'User Interface (Start Here!)'!$B$18:$N$28,AH$2+1,FALSE)/'User Interface (Start Here!)'!$L$35*$K3*V3,V3-VLOOKUP($A3,'User Interface (Start Here!)'!$B$18:$N$28,AH$2+1,FALSE)*$K3*V3))</f>
        <v>0</v>
      </c>
      <c r="AI3" s="52">
        <f>IF($J3&lt;&gt;1,W3,IF(VLOOKUP($A3,'User Interface (Start Here!)'!$B$18:$N$28,AI$2+1,FALSE)&lt;&gt;100%,W3-VLOOKUP($A3,'User Interface (Start Here!)'!$B$18:$N$28,AI$2+1,FALSE)/'User Interface (Start Here!)'!$L$35*$K3*W3,W3-VLOOKUP($A3,'User Interface (Start Here!)'!$B$18:$N$28,AI$2+1,FALSE)*$K3*W3))</f>
        <v>0</v>
      </c>
      <c r="AJ3" s="42">
        <f>SUM(X3:AI3)</f>
        <v>0</v>
      </c>
      <c r="AL3" s="1" t="s">
        <v>38</v>
      </c>
      <c r="BA3" s="1" t="s">
        <v>38</v>
      </c>
      <c r="CD3" s="1" t="s">
        <v>55</v>
      </c>
    </row>
    <row r="4" spans="1:94">
      <c r="A4" s="28">
        <v>2480</v>
      </c>
      <c r="B4" s="29">
        <v>0.78819977670187436</v>
      </c>
      <c r="C4" s="29">
        <v>0.39095516512247047</v>
      </c>
      <c r="D4" s="22">
        <v>0.18739398178942687</v>
      </c>
      <c r="E4" s="22">
        <v>9.2949335002353334E-2</v>
      </c>
      <c r="G4" s="29">
        <f>IF(ISBLANK('User Interface (Start Here!)'!$L$4),commercial!B4,commercial!C4)</f>
        <v>0.39095516512247047</v>
      </c>
      <c r="H4" s="22">
        <f>IF(ISBLANK('User Interface (Start Here!)'!$L$4),commercial!D4,commercial!E4)</f>
        <v>9.2949335002353334E-2</v>
      </c>
      <c r="I4" s="40">
        <f>(G4+H4)*'User Interface (Start Here!)'!$L$10</f>
        <v>0.4355140501123414</v>
      </c>
      <c r="J4" s="2">
        <f>IF(VLOOKUP(A4,'User Interface (Start Here!)'!$DO$2:$DP$73,2,FALSE)&lt;&gt;0,1,0)</f>
        <v>0</v>
      </c>
      <c r="K4" s="41">
        <f>IF(AND(J4=1,ISBLANK('User Interface (Start Here!)'!$L$14),ISBLANK('User Interface (Start Here!)'!$M$14),ISBLANK('User Interface (Start Here!)'!$N$14)),100%*'User Interface (Start Here!)'!$L$30,IF(J4=1,VLOOKUP(A4,'Bathymetric Closures'!$A$2:$C$57,3,FALSE)*'User Interface (Start Here!)'!$L$30,0%))</f>
        <v>0</v>
      </c>
      <c r="L4" s="50">
        <f>IF(ISBLANK('User Interface (Start Here!)'!$L8),$I4*VLOOKUP($A4,$BA$5:$BM$60,L$2+1,FALSE),$I4*VLOOKUP($A4,$CD$6:$CP$60,L$2+1,FALSE))</f>
        <v>2.786823218957828E-2</v>
      </c>
      <c r="M4" s="50">
        <f>IF(ISBLANK('User Interface (Start Here!)'!$L8),$I4*VLOOKUP($A4,$BA$5:$BM$60,M$2+1,FALSE),$I4*VLOOKUP($A4,$CD$6:$CP$60,M$2+1,FALSE))</f>
        <v>0.10787702786819296</v>
      </c>
      <c r="N4" s="50">
        <f>IF(ISBLANK('User Interface (Start Here!)'!$L8),$I4*VLOOKUP($A4,$BA$5:$BM$60,N$2+1,FALSE),$I4*VLOOKUP($A4,$CD$6:$CP$60,N$2+1,FALSE))</f>
        <v>0.15484524434577471</v>
      </c>
      <c r="O4" s="50">
        <f>IF(ISBLANK('User Interface (Start Here!)'!$L8),$I4*VLOOKUP($A4,$BA$5:$BM$60,O$2+1,FALSE),$I4*VLOOKUP($A4,$CD$6:$CP$60,O$2+1,FALSE))</f>
        <v>0</v>
      </c>
      <c r="P4" s="50">
        <f>IF(ISBLANK('User Interface (Start Here!)'!$L8),$I4*VLOOKUP($A4,$BA$5:$BM$60,P$2+1,FALSE),$I4*VLOOKUP($A4,$CD$6:$CP$60,P$2+1,FALSE))</f>
        <v>5.0342612986652033E-2</v>
      </c>
      <c r="Q4" s="50">
        <f>IF(ISBLANK('User Interface (Start Here!)'!$L8),$I4*VLOOKUP($A4,$BA$5:$BM$60,Q$2+1,FALSE),$I4*VLOOKUP($A4,$CD$6:$CP$60,Q$2+1,FALSE))</f>
        <v>9.4392399293402561E-3</v>
      </c>
      <c r="R4" s="50">
        <f>IF(ISBLANK('User Interface (Start Here!)'!$L8),$I4*VLOOKUP($A4,$BA$5:$BM$60,R$2+1,FALSE),$I4*VLOOKUP($A4,$CD$6:$CP$60,R$2+1,FALSE))</f>
        <v>1.1000532685762253E-2</v>
      </c>
      <c r="S4" s="50">
        <f>IF(ISBLANK('User Interface (Start Here!)'!$L8),$I4*VLOOKUP($A4,$BA$5:$BM$60,S$2+1,FALSE),$I4*VLOOKUP($A4,$CD$6:$CP$60,S$2+1,FALSE))</f>
        <v>8.0907770857397247E-3</v>
      </c>
      <c r="T4" s="50">
        <f>IF(ISBLANK('User Interface (Start Here!)'!$L8),$I4*VLOOKUP($A4,$BA$5:$BM$60,T$2+1,FALSE),$I4*VLOOKUP($A4,$CD$6:$CP$60,T$2+1,FALSE))</f>
        <v>6.2454482088942026E-2</v>
      </c>
      <c r="U4" s="50">
        <f>IF(ISBLANK('User Interface (Start Here!)'!$L8),$I4*VLOOKUP($A4,$BA$5:$BM$60,U$2+1,FALSE),$I4*VLOOKUP($A4,$CD$6:$CP$60,U$2+1,FALSE))</f>
        <v>3.5959009323591074E-3</v>
      </c>
      <c r="V4" s="50">
        <f>IF(ISBLANK('User Interface (Start Here!)'!$L8),$I4*VLOOKUP($A4,$BA$5:$BM$60,V$2+1,FALSE),$I4*VLOOKUP($A4,$CD$6:$CP$60,V$2+1,FALSE))</f>
        <v>0</v>
      </c>
      <c r="W4" s="50">
        <f>IF(ISBLANK('User Interface (Start Here!)'!$L8),$I4*VLOOKUP($A4,$BA$5:$BM$60,W$2+1,FALSE),$I4*VLOOKUP($A4,$CD$6:$CP$60,W$2+1,FALSE))</f>
        <v>0</v>
      </c>
      <c r="X4" s="51">
        <f>IF($J4&lt;&gt;1,L4,IF(VLOOKUP($A4,'User Interface (Start Here!)'!$B$18:$N$28,X$2+1,FALSE)&lt;&gt;100%,L4-VLOOKUP($A4,'User Interface (Start Here!)'!$B$18:$N$28,X$2+1,FALSE)/'User Interface (Start Here!)'!$L$35*$K4*L4,L4-VLOOKUP($A4,'User Interface (Start Here!)'!$B$18:$N$28,X$2+1,FALSE)*$K4*L4))</f>
        <v>2.786823218957828E-2</v>
      </c>
      <c r="Y4" s="52">
        <f>IF($J4&lt;&gt;1,M4,IF(VLOOKUP($A4,'User Interface (Start Here!)'!$B$18:$N$28,Y$2+1,FALSE)&lt;&gt;100%,M4-VLOOKUP($A4,'User Interface (Start Here!)'!$B$18:$N$28,Y$2+1,FALSE)/'User Interface (Start Here!)'!$L$35*$K4*M4,M4-VLOOKUP($A4,'User Interface (Start Here!)'!$B$18:$N$28,Y$2+1,FALSE)*$K4*M4))</f>
        <v>0.10787702786819296</v>
      </c>
      <c r="Z4" s="52">
        <f>IF($J4&lt;&gt;1,N4,IF(VLOOKUP($A4,'User Interface (Start Here!)'!$B$18:$N$28,Z$2+1,FALSE)&lt;&gt;100%,N4-VLOOKUP($A4,'User Interface (Start Here!)'!$B$18:$N$28,Z$2+1,FALSE)/'User Interface (Start Here!)'!$L$35*$K4*N4,N4-VLOOKUP($A4,'User Interface (Start Here!)'!$B$18:$N$28,Z$2+1,FALSE)*$K4*N4))</f>
        <v>0.15484524434577471</v>
      </c>
      <c r="AA4" s="52">
        <f>IF($J4&lt;&gt;1,O4,IF(VLOOKUP($A4,'User Interface (Start Here!)'!$B$18:$N$28,AA$2+1,FALSE)&lt;&gt;100%,O4-VLOOKUP($A4,'User Interface (Start Here!)'!$B$18:$N$28,AA$2+1,FALSE)/'User Interface (Start Here!)'!$L$35*$K4*O4,O4-VLOOKUP($A4,'User Interface (Start Here!)'!$B$18:$N$28,AA$2+1,FALSE)*$K4*O4))</f>
        <v>0</v>
      </c>
      <c r="AB4" s="52">
        <f>IF($J4&lt;&gt;1,P4,IF(VLOOKUP($A4,'User Interface (Start Here!)'!$B$18:$N$28,AB$2+1,FALSE)&lt;&gt;100%,P4-VLOOKUP($A4,'User Interface (Start Here!)'!$B$18:$N$28,AB$2+1,FALSE)/'User Interface (Start Here!)'!$L$35*$K4*P4,P4-VLOOKUP($A4,'User Interface (Start Here!)'!$B$18:$N$28,AB$2+1,FALSE)*$K4*P4))</f>
        <v>5.0342612986652033E-2</v>
      </c>
      <c r="AC4" s="52">
        <f>IF($J4&lt;&gt;1,Q4,IF(VLOOKUP($A4,'User Interface (Start Here!)'!$B$18:$N$28,AC$2+1,FALSE)&lt;&gt;100%,Q4-VLOOKUP($A4,'User Interface (Start Here!)'!$B$18:$N$28,AC$2+1,FALSE)/'User Interface (Start Here!)'!$L$35*$K4*Q4,Q4-VLOOKUP($A4,'User Interface (Start Here!)'!$B$18:$N$28,AC$2+1,FALSE)*$K4*Q4))</f>
        <v>9.4392399293402561E-3</v>
      </c>
      <c r="AD4" s="52">
        <f>IF($J4&lt;&gt;1,R4,IF(VLOOKUP($A4,'User Interface (Start Here!)'!$B$18:$N$28,AD$2+1,FALSE)&lt;&gt;100%,R4-VLOOKUP($A4,'User Interface (Start Here!)'!$B$18:$N$28,AD$2+1,FALSE)/'User Interface (Start Here!)'!$L$35*$K4*R4,R4-VLOOKUP($A4,'User Interface (Start Here!)'!$B$18:$N$28,AD$2+1,FALSE)*$K4*R4))</f>
        <v>1.1000532685762253E-2</v>
      </c>
      <c r="AE4" s="52">
        <f>IF($J4&lt;&gt;1,S4,IF(VLOOKUP($A4,'User Interface (Start Here!)'!$B$18:$N$28,AE$2+1,FALSE)&lt;&gt;100%,S4-VLOOKUP($A4,'User Interface (Start Here!)'!$B$18:$N$28,AE$2+1,FALSE)/'User Interface (Start Here!)'!$L$35*$K4*S4,S4-VLOOKUP($A4,'User Interface (Start Here!)'!$B$18:$N$28,AE$2+1,FALSE)*$K4*S4))</f>
        <v>8.0907770857397247E-3</v>
      </c>
      <c r="AF4" s="52">
        <f>IF($J4&lt;&gt;1,T4,IF(VLOOKUP($A4,'User Interface (Start Here!)'!$B$18:$N$28,AF$2+1,FALSE)&lt;&gt;100%,T4-VLOOKUP($A4,'User Interface (Start Here!)'!$B$18:$N$28,AF$2+1,FALSE)/'User Interface (Start Here!)'!$L$35*$K4*T4,T4-VLOOKUP($A4,'User Interface (Start Here!)'!$B$18:$N$28,AF$2+1,FALSE)*$K4*T4))</f>
        <v>6.2454482088942026E-2</v>
      </c>
      <c r="AG4" s="52">
        <f>IF($J4&lt;&gt;1,U4,IF(VLOOKUP($A4,'User Interface (Start Here!)'!$B$18:$N$28,AG$2+1,FALSE)&lt;&gt;100%,U4-VLOOKUP($A4,'User Interface (Start Here!)'!$B$18:$N$28,AG$2+1,FALSE)/'User Interface (Start Here!)'!$L$35*$K4*U4,U4-VLOOKUP($A4,'User Interface (Start Here!)'!$B$18:$N$28,AG$2+1,FALSE)*$K4*U4))</f>
        <v>3.5959009323591074E-3</v>
      </c>
      <c r="AH4" s="52">
        <f>IF($J4&lt;&gt;1,V4,IF(VLOOKUP($A4,'User Interface (Start Here!)'!$B$18:$N$28,AH$2+1,FALSE)&lt;&gt;100%,V4-VLOOKUP($A4,'User Interface (Start Here!)'!$B$18:$N$28,AH$2+1,FALSE)/'User Interface (Start Here!)'!$L$35*$K4*V4,V4-VLOOKUP($A4,'User Interface (Start Here!)'!$B$18:$N$28,AH$2+1,FALSE)*$K4*V4))</f>
        <v>0</v>
      </c>
      <c r="AI4" s="52">
        <f>IF($J4&lt;&gt;1,W4,IF(VLOOKUP($A4,'User Interface (Start Here!)'!$B$18:$N$28,AI$2+1,FALSE)&lt;&gt;100%,W4-VLOOKUP($A4,'User Interface (Start Here!)'!$B$18:$N$28,AI$2+1,FALSE)/'User Interface (Start Here!)'!$L$35*$K4*W4,W4-VLOOKUP($A4,'User Interface (Start Here!)'!$B$18:$N$28,AI$2+1,FALSE)*$K4*W4))</f>
        <v>0</v>
      </c>
      <c r="AJ4" s="42">
        <f t="shared" ref="AJ4:AJ53" si="0">SUM(X4:AI4)</f>
        <v>0.4355140501123414</v>
      </c>
      <c r="AL4" s="1" t="s">
        <v>35</v>
      </c>
      <c r="AM4" s="1" t="s">
        <v>36</v>
      </c>
      <c r="BA4" s="1" t="s">
        <v>35</v>
      </c>
      <c r="BB4" s="1" t="s">
        <v>36</v>
      </c>
      <c r="BO4" s="1" t="s">
        <v>54</v>
      </c>
      <c r="BP4" s="1" t="s">
        <v>36</v>
      </c>
      <c r="CD4" s="1" t="str">
        <f>BO4</f>
        <v>Sum of zdiscard3764</v>
      </c>
      <c r="CE4" s="1" t="s">
        <v>36</v>
      </c>
    </row>
    <row r="5" spans="1:94">
      <c r="A5" s="28">
        <v>2481</v>
      </c>
      <c r="B5" s="29">
        <v>0.88936484044063402</v>
      </c>
      <c r="C5" s="29">
        <v>0.34215440952641785</v>
      </c>
      <c r="D5" s="22">
        <v>0.21144590957772647</v>
      </c>
      <c r="E5" s="22">
        <v>8.134698725272195E-2</v>
      </c>
      <c r="G5" s="29">
        <f>IF(ISBLANK('User Interface (Start Here!)'!$L$4),commercial!B5,commercial!C5)</f>
        <v>0.34215440952641785</v>
      </c>
      <c r="H5" s="22">
        <f>IF(ISBLANK('User Interface (Start Here!)'!$L$4),commercial!D5,commercial!E5)</f>
        <v>8.134698725272195E-2</v>
      </c>
      <c r="I5" s="40">
        <f>(G5+H5)*'User Interface (Start Here!)'!$L$10</f>
        <v>0.38115125710122583</v>
      </c>
      <c r="J5" s="2">
        <f>IF(VLOOKUP(A5,'User Interface (Start Here!)'!$DO$2:$DP$73,2,FALSE)&lt;&gt;0,1,0)</f>
        <v>0</v>
      </c>
      <c r="K5" s="41">
        <f>IF(AND(J5=1,ISBLANK('User Interface (Start Here!)'!$L$14),ISBLANK('User Interface (Start Here!)'!$M$14),ISBLANK('User Interface (Start Here!)'!$N$14)),100%*'User Interface (Start Here!)'!$L$30,IF(J5=1,VLOOKUP(A5,'Bathymetric Closures'!$A$2:$C$57,3,FALSE)*'User Interface (Start Here!)'!$L$30,0%))</f>
        <v>0</v>
      </c>
      <c r="L5" s="50">
        <f>IF(ISBLANK('User Interface (Start Here!)'!$L9),$I5*VLOOKUP($A5,$BA$5:$BM$60,L$2+1,FALSE),$I5*VLOOKUP($A5,$CD$6:$CP$60,L$2+1,FALSE))</f>
        <v>1.2470346872447535E-3</v>
      </c>
      <c r="M5" s="50">
        <f>IF(ISBLANK('User Interface (Start Here!)'!$L9),$I5*VLOOKUP($A5,$BA$5:$BM$60,M$2+1,FALSE),$I5*VLOOKUP($A5,$CD$6:$CP$60,M$2+1,FALSE))</f>
        <v>0.14697194522262888</v>
      </c>
      <c r="N5" s="50">
        <f>IF(ISBLANK('User Interface (Start Here!)'!$L9),$I5*VLOOKUP($A5,$BA$5:$BM$60,N$2+1,FALSE),$I5*VLOOKUP($A5,$CD$6:$CP$60,N$2+1,FALSE))</f>
        <v>2.2268476550767406E-2</v>
      </c>
      <c r="O5" s="50">
        <f>IF(ISBLANK('User Interface (Start Here!)'!$L9),$I5*VLOOKUP($A5,$BA$5:$BM$60,O$2+1,FALSE),$I5*VLOOKUP($A5,$CD$6:$CP$60,O$2+1,FALSE))</f>
        <v>1.7102189996499477E-2</v>
      </c>
      <c r="P5" s="50">
        <f>IF(ISBLANK('User Interface (Start Here!)'!$L9),$I5*VLOOKUP($A5,$BA$5:$BM$60,P$2+1,FALSE),$I5*VLOOKUP($A5,$CD$6:$CP$60,P$2+1,FALSE))</f>
        <v>9.7981296831029518E-3</v>
      </c>
      <c r="Q5" s="50">
        <f>IF(ISBLANK('User Interface (Start Here!)'!$L9),$I5*VLOOKUP($A5,$BA$5:$BM$60,Q$2+1,FALSE),$I5*VLOOKUP($A5,$CD$6:$CP$60,Q$2+1,FALSE))</f>
        <v>5.9273468588368225E-2</v>
      </c>
      <c r="R5" s="50">
        <f>IF(ISBLANK('User Interface (Start Here!)'!$L9),$I5*VLOOKUP($A5,$BA$5:$BM$60,R$2+1,FALSE),$I5*VLOOKUP($A5,$CD$6:$CP$60,R$2+1,FALSE))</f>
        <v>4.8115958716680986E-2</v>
      </c>
      <c r="S5" s="50">
        <f>IF(ISBLANK('User Interface (Start Here!)'!$L9),$I5*VLOOKUP($A5,$BA$5:$BM$60,S$2+1,FALSE),$I5*VLOOKUP($A5,$CD$6:$CP$60,S$2+1,FALSE))</f>
        <v>3.5308575462183349E-2</v>
      </c>
      <c r="T5" s="50">
        <f>IF(ISBLANK('User Interface (Start Here!)'!$L9),$I5*VLOOKUP($A5,$BA$5:$BM$60,T$2+1,FALSE),$I5*VLOOKUP($A5,$CD$6:$CP$60,T$2+1,FALSE))</f>
        <v>0</v>
      </c>
      <c r="U5" s="50">
        <f>IF(ISBLANK('User Interface (Start Here!)'!$L9),$I5*VLOOKUP($A5,$BA$5:$BM$60,U$2+1,FALSE),$I5*VLOOKUP($A5,$CD$6:$CP$60,U$2+1,FALSE))</f>
        <v>3.9640295694041441E-2</v>
      </c>
      <c r="V5" s="50">
        <f>IF(ISBLANK('User Interface (Start Here!)'!$L9),$I5*VLOOKUP($A5,$BA$5:$BM$60,V$2+1,FALSE),$I5*VLOOKUP($A5,$CD$6:$CP$60,V$2+1,FALSE))</f>
        <v>1.4251824997082898E-3</v>
      </c>
      <c r="W5" s="50">
        <f>IF(ISBLANK('User Interface (Start Here!)'!$L9),$I5*VLOOKUP($A5,$BA$5:$BM$60,W$2+1,FALSE),$I5*VLOOKUP($A5,$CD$6:$CP$60,W$2+1,FALSE))</f>
        <v>0</v>
      </c>
      <c r="X5" s="51">
        <f>IF($J5&lt;&gt;1,L5,IF(VLOOKUP($A5,'User Interface (Start Here!)'!$B$18:$N$28,X$2+1,FALSE)&lt;&gt;100%,L5-VLOOKUP($A5,'User Interface (Start Here!)'!$B$18:$N$28,X$2+1,FALSE)/'User Interface (Start Here!)'!$L$35*$K5*L5,L5-VLOOKUP($A5,'User Interface (Start Here!)'!$B$18:$N$28,X$2+1,FALSE)*$K5*L5))</f>
        <v>1.2470346872447535E-3</v>
      </c>
      <c r="Y5" s="52">
        <f>IF($J5&lt;&gt;1,M5,IF(VLOOKUP($A5,'User Interface (Start Here!)'!$B$18:$N$28,Y$2+1,FALSE)&lt;&gt;100%,M5-VLOOKUP($A5,'User Interface (Start Here!)'!$B$18:$N$28,Y$2+1,FALSE)/'User Interface (Start Here!)'!$L$35*$K5*M5,M5-VLOOKUP($A5,'User Interface (Start Here!)'!$B$18:$N$28,Y$2+1,FALSE)*$K5*M5))</f>
        <v>0.14697194522262888</v>
      </c>
      <c r="Z5" s="52">
        <f>IF($J5&lt;&gt;1,N5,IF(VLOOKUP($A5,'User Interface (Start Here!)'!$B$18:$N$28,Z$2+1,FALSE)&lt;&gt;100%,N5-VLOOKUP($A5,'User Interface (Start Here!)'!$B$18:$N$28,Z$2+1,FALSE)/'User Interface (Start Here!)'!$L$35*$K5*N5,N5-VLOOKUP($A5,'User Interface (Start Here!)'!$B$18:$N$28,Z$2+1,FALSE)*$K5*N5))</f>
        <v>2.2268476550767406E-2</v>
      </c>
      <c r="AA5" s="52">
        <f>IF($J5&lt;&gt;1,O5,IF(VLOOKUP($A5,'User Interface (Start Here!)'!$B$18:$N$28,AA$2+1,FALSE)&lt;&gt;100%,O5-VLOOKUP($A5,'User Interface (Start Here!)'!$B$18:$N$28,AA$2+1,FALSE)/'User Interface (Start Here!)'!$L$35*$K5*O5,O5-VLOOKUP($A5,'User Interface (Start Here!)'!$B$18:$N$28,AA$2+1,FALSE)*$K5*O5))</f>
        <v>1.7102189996499477E-2</v>
      </c>
      <c r="AB5" s="52">
        <f>IF($J5&lt;&gt;1,P5,IF(VLOOKUP($A5,'User Interface (Start Here!)'!$B$18:$N$28,AB$2+1,FALSE)&lt;&gt;100%,P5-VLOOKUP($A5,'User Interface (Start Here!)'!$B$18:$N$28,AB$2+1,FALSE)/'User Interface (Start Here!)'!$L$35*$K5*P5,P5-VLOOKUP($A5,'User Interface (Start Here!)'!$B$18:$N$28,AB$2+1,FALSE)*$K5*P5))</f>
        <v>9.7981296831029518E-3</v>
      </c>
      <c r="AC5" s="52">
        <f>IF($J5&lt;&gt;1,Q5,IF(VLOOKUP($A5,'User Interface (Start Here!)'!$B$18:$N$28,AC$2+1,FALSE)&lt;&gt;100%,Q5-VLOOKUP($A5,'User Interface (Start Here!)'!$B$18:$N$28,AC$2+1,FALSE)/'User Interface (Start Here!)'!$L$35*$K5*Q5,Q5-VLOOKUP($A5,'User Interface (Start Here!)'!$B$18:$N$28,AC$2+1,FALSE)*$K5*Q5))</f>
        <v>5.9273468588368225E-2</v>
      </c>
      <c r="AD5" s="52">
        <f>IF($J5&lt;&gt;1,R5,IF(VLOOKUP($A5,'User Interface (Start Here!)'!$B$18:$N$28,AD$2+1,FALSE)&lt;&gt;100%,R5-VLOOKUP($A5,'User Interface (Start Here!)'!$B$18:$N$28,AD$2+1,FALSE)/'User Interface (Start Here!)'!$L$35*$K5*R5,R5-VLOOKUP($A5,'User Interface (Start Here!)'!$B$18:$N$28,AD$2+1,FALSE)*$K5*R5))</f>
        <v>4.8115958716680986E-2</v>
      </c>
      <c r="AE5" s="52">
        <f>IF($J5&lt;&gt;1,S5,IF(VLOOKUP($A5,'User Interface (Start Here!)'!$B$18:$N$28,AE$2+1,FALSE)&lt;&gt;100%,S5-VLOOKUP($A5,'User Interface (Start Here!)'!$B$18:$N$28,AE$2+1,FALSE)/'User Interface (Start Here!)'!$L$35*$K5*S5,S5-VLOOKUP($A5,'User Interface (Start Here!)'!$B$18:$N$28,AE$2+1,FALSE)*$K5*S5))</f>
        <v>3.5308575462183349E-2</v>
      </c>
      <c r="AF5" s="52">
        <f>IF($J5&lt;&gt;1,T5,IF(VLOOKUP($A5,'User Interface (Start Here!)'!$B$18:$N$28,AF$2+1,FALSE)&lt;&gt;100%,T5-VLOOKUP($A5,'User Interface (Start Here!)'!$B$18:$N$28,AF$2+1,FALSE)/'User Interface (Start Here!)'!$L$35*$K5*T5,T5-VLOOKUP($A5,'User Interface (Start Here!)'!$B$18:$N$28,AF$2+1,FALSE)*$K5*T5))</f>
        <v>0</v>
      </c>
      <c r="AG5" s="52">
        <f>IF($J5&lt;&gt;1,U5,IF(VLOOKUP($A5,'User Interface (Start Here!)'!$B$18:$N$28,AG$2+1,FALSE)&lt;&gt;100%,U5-VLOOKUP($A5,'User Interface (Start Here!)'!$B$18:$N$28,AG$2+1,FALSE)/'User Interface (Start Here!)'!$L$35*$K5*U5,U5-VLOOKUP($A5,'User Interface (Start Here!)'!$B$18:$N$28,AG$2+1,FALSE)*$K5*U5))</f>
        <v>3.9640295694041441E-2</v>
      </c>
      <c r="AH5" s="52">
        <f>IF($J5&lt;&gt;1,V5,IF(VLOOKUP($A5,'User Interface (Start Here!)'!$B$18:$N$28,AH$2+1,FALSE)&lt;&gt;100%,V5-VLOOKUP($A5,'User Interface (Start Here!)'!$B$18:$N$28,AH$2+1,FALSE)/'User Interface (Start Here!)'!$L$35*$K5*V5,V5-VLOOKUP($A5,'User Interface (Start Here!)'!$B$18:$N$28,AH$2+1,FALSE)*$K5*V5))</f>
        <v>1.4251824997082898E-3</v>
      </c>
      <c r="AI5" s="52">
        <f>IF($J5&lt;&gt;1,W5,IF(VLOOKUP($A5,'User Interface (Start Here!)'!$B$18:$N$28,AI$2+1,FALSE)&lt;&gt;100%,W5-VLOOKUP($A5,'User Interface (Start Here!)'!$B$18:$N$28,AI$2+1,FALSE)/'User Interface (Start Here!)'!$L$35*$K5*W5,W5-VLOOKUP($A5,'User Interface (Start Here!)'!$B$18:$N$28,AI$2+1,FALSE)*$K5*W5))</f>
        <v>0</v>
      </c>
      <c r="AJ5" s="42">
        <f t="shared" si="0"/>
        <v>0.38115125710122577</v>
      </c>
      <c r="AL5" s="1" t="s">
        <v>37</v>
      </c>
      <c r="AM5" s="1">
        <v>1</v>
      </c>
      <c r="AN5" s="1">
        <v>2</v>
      </c>
      <c r="AO5" s="1">
        <v>3</v>
      </c>
      <c r="AP5" s="1">
        <v>4</v>
      </c>
      <c r="AQ5" s="1">
        <v>5</v>
      </c>
      <c r="AR5" s="1">
        <v>6</v>
      </c>
      <c r="AS5" s="1">
        <v>7</v>
      </c>
      <c r="AT5" s="1">
        <v>8</v>
      </c>
      <c r="AU5" s="1">
        <v>9</v>
      </c>
      <c r="AV5" s="1">
        <v>10</v>
      </c>
      <c r="AW5" s="1">
        <v>11</v>
      </c>
      <c r="AX5" s="1">
        <v>12</v>
      </c>
      <c r="AY5" s="1" t="s">
        <v>24</v>
      </c>
      <c r="BA5" s="1" t="s">
        <v>37</v>
      </c>
      <c r="BB5" s="1">
        <v>1</v>
      </c>
      <c r="BC5" s="1">
        <v>2</v>
      </c>
      <c r="BD5" s="1">
        <v>3</v>
      </c>
      <c r="BE5" s="1">
        <v>4</v>
      </c>
      <c r="BF5" s="1">
        <v>5</v>
      </c>
      <c r="BG5" s="1">
        <v>6</v>
      </c>
      <c r="BH5" s="1">
        <v>7</v>
      </c>
      <c r="BI5" s="1">
        <v>8</v>
      </c>
      <c r="BJ5" s="1">
        <v>9</v>
      </c>
      <c r="BK5" s="1">
        <v>10</v>
      </c>
      <c r="BL5" s="1">
        <v>11</v>
      </c>
      <c r="BM5" s="1">
        <v>12</v>
      </c>
      <c r="BO5" s="1" t="s">
        <v>37</v>
      </c>
      <c r="BP5" s="1">
        <v>1</v>
      </c>
      <c r="BQ5" s="1">
        <v>2</v>
      </c>
      <c r="BR5" s="1">
        <v>3</v>
      </c>
      <c r="BS5" s="1">
        <v>4</v>
      </c>
      <c r="BT5" s="1">
        <v>5</v>
      </c>
      <c r="BU5" s="1">
        <v>6</v>
      </c>
      <c r="BV5" s="1">
        <v>7</v>
      </c>
      <c r="BW5" s="1">
        <v>8</v>
      </c>
      <c r="BX5" s="1">
        <v>9</v>
      </c>
      <c r="BY5" s="1">
        <v>10</v>
      </c>
      <c r="BZ5" s="1">
        <v>11</v>
      </c>
      <c r="CA5" s="1">
        <v>12</v>
      </c>
      <c r="CB5" s="1" t="s">
        <v>24</v>
      </c>
      <c r="CD5" s="1" t="s">
        <v>37</v>
      </c>
      <c r="CE5" s="1">
        <v>1</v>
      </c>
      <c r="CF5" s="1">
        <v>2</v>
      </c>
      <c r="CG5" s="1">
        <v>3</v>
      </c>
      <c r="CH5" s="1">
        <v>4</v>
      </c>
      <c r="CI5" s="1">
        <v>5</v>
      </c>
      <c r="CJ5" s="1">
        <v>6</v>
      </c>
      <c r="CK5" s="1">
        <v>7</v>
      </c>
      <c r="CL5" s="1">
        <v>8</v>
      </c>
      <c r="CM5" s="1">
        <v>9</v>
      </c>
      <c r="CN5" s="1">
        <v>10</v>
      </c>
      <c r="CO5" s="1">
        <v>11</v>
      </c>
      <c r="CP5" s="1">
        <v>12</v>
      </c>
    </row>
    <row r="6" spans="1:94">
      <c r="A6" s="28">
        <v>2482</v>
      </c>
      <c r="B6" s="29">
        <v>1.2865868536066949</v>
      </c>
      <c r="C6" s="29">
        <v>0.54091392641873803</v>
      </c>
      <c r="D6" s="22">
        <v>0.30588518360679667</v>
      </c>
      <c r="E6" s="22">
        <v>0.12860193249623303</v>
      </c>
      <c r="G6" s="29">
        <f>IF(ISBLANK('User Interface (Start Here!)'!$L$4),commercial!B6,commercial!C6)</f>
        <v>0.54091392641873803</v>
      </c>
      <c r="H6" s="22">
        <f>IF(ISBLANK('User Interface (Start Here!)'!$L$4),commercial!D6,commercial!E6)</f>
        <v>0.12860193249623303</v>
      </c>
      <c r="I6" s="40">
        <f>(G6+H6)*'User Interface (Start Here!)'!$L$10</f>
        <v>0.60256427302347393</v>
      </c>
      <c r="J6" s="2">
        <f>IF(VLOOKUP(A6,'User Interface (Start Here!)'!$DO$2:$DP$73,2,FALSE)&lt;&gt;0,1,0)</f>
        <v>0</v>
      </c>
      <c r="K6" s="41">
        <f>IF(AND(J6=1,ISBLANK('User Interface (Start Here!)'!$L$14),ISBLANK('User Interface (Start Here!)'!$M$14),ISBLANK('User Interface (Start Here!)'!$N$14)),100%*'User Interface (Start Here!)'!$L$30,IF(J6=1,VLOOKUP(A6,'Bathymetric Closures'!$A$2:$C$57,3,FALSE)*'User Interface (Start Here!)'!$L$30,0%))</f>
        <v>0</v>
      </c>
      <c r="L6" s="50">
        <f>IF(ISBLANK('User Interface (Start Here!)'!$L10),$I6*VLOOKUP($A6,$BA$5:$BM$60,L$2+1,FALSE),$I6*VLOOKUP($A6,$CD$6:$CP$60,L$2+1,FALSE))</f>
        <v>8.2437777573074744E-2</v>
      </c>
      <c r="M6" s="50">
        <f>IF(ISBLANK('User Interface (Start Here!)'!$L10),$I6*VLOOKUP($A6,$BA$5:$BM$60,M$2+1,FALSE),$I6*VLOOKUP($A6,$CD$6:$CP$60,M$2+1,FALSE))</f>
        <v>1.3270471511763252E-2</v>
      </c>
      <c r="N6" s="50">
        <f>IF(ISBLANK('User Interface (Start Here!)'!$L10),$I6*VLOOKUP($A6,$BA$5:$BM$60,N$2+1,FALSE),$I6*VLOOKUP($A6,$CD$6:$CP$60,N$2+1,FALSE))</f>
        <v>1.6962075383942728E-2</v>
      </c>
      <c r="O6" s="50">
        <f>IF(ISBLANK('User Interface (Start Here!)'!$L10),$I6*VLOOKUP($A6,$BA$5:$BM$60,O$2+1,FALSE),$I6*VLOOKUP($A6,$CD$6:$CP$60,O$2+1,FALSE))</f>
        <v>0.12868336011406789</v>
      </c>
      <c r="P6" s="50">
        <f>IF(ISBLANK('User Interface (Start Here!)'!$L10),$I6*VLOOKUP($A6,$BA$5:$BM$60,P$2+1,FALSE),$I6*VLOOKUP($A6,$CD$6:$CP$60,P$2+1,FALSE))</f>
        <v>0.21113320165675614</v>
      </c>
      <c r="Q6" s="50">
        <f>IF(ISBLANK('User Interface (Start Here!)'!$L10),$I6*VLOOKUP($A6,$BA$5:$BM$60,Q$2+1,FALSE),$I6*VLOOKUP($A6,$CD$6:$CP$60,Q$2+1,FALSE))</f>
        <v>0</v>
      </c>
      <c r="R6" s="50">
        <f>IF(ISBLANK('User Interface (Start Here!)'!$L10),$I6*VLOOKUP($A6,$BA$5:$BM$60,R$2+1,FALSE),$I6*VLOOKUP($A6,$CD$6:$CP$60,R$2+1,FALSE))</f>
        <v>1.3510000171650944E-3</v>
      </c>
      <c r="S6" s="50">
        <f>IF(ISBLANK('User Interface (Start Here!)'!$L10),$I6*VLOOKUP($A6,$BA$5:$BM$60,S$2+1,FALSE),$I6*VLOOKUP($A6,$CD$6:$CP$60,S$2+1,FALSE))</f>
        <v>2.0991473113813497E-2</v>
      </c>
      <c r="T6" s="50">
        <f>IF(ISBLANK('User Interface (Start Here!)'!$L10),$I6*VLOOKUP($A6,$BA$5:$BM$60,T$2+1,FALSE),$I6*VLOOKUP($A6,$CD$6:$CP$60,T$2+1,FALSE))</f>
        <v>0</v>
      </c>
      <c r="U6" s="50">
        <f>IF(ISBLANK('User Interface (Start Here!)'!$L10),$I6*VLOOKUP($A6,$BA$5:$BM$60,U$2+1,FALSE),$I6*VLOOKUP($A6,$CD$6:$CP$60,U$2+1,FALSE))</f>
        <v>2.8540149941034661E-2</v>
      </c>
      <c r="V6" s="50">
        <f>IF(ISBLANK('User Interface (Start Here!)'!$L10),$I6*VLOOKUP($A6,$BA$5:$BM$60,V$2+1,FALSE),$I6*VLOOKUP($A6,$CD$6:$CP$60,V$2+1,FALSE))</f>
        <v>8.7934969701874935E-2</v>
      </c>
      <c r="W6" s="50">
        <f>IF(ISBLANK('User Interface (Start Here!)'!$L10),$I6*VLOOKUP($A6,$BA$5:$BM$60,W$2+1,FALSE),$I6*VLOOKUP($A6,$CD$6:$CP$60,W$2+1,FALSE))</f>
        <v>1.1259794009980941E-2</v>
      </c>
      <c r="X6" s="51">
        <f>IF($J6&lt;&gt;1,L6,IF(VLOOKUP($A6,'User Interface (Start Here!)'!$B$18:$N$28,X$2+1,FALSE)&lt;&gt;100%,L6-VLOOKUP($A6,'User Interface (Start Here!)'!$B$18:$N$28,X$2+1,FALSE)/'User Interface (Start Here!)'!$L$35*$K6*L6,L6-VLOOKUP($A6,'User Interface (Start Here!)'!$B$18:$N$28,X$2+1,FALSE)*$K6*L6))</f>
        <v>8.2437777573074744E-2</v>
      </c>
      <c r="Y6" s="52">
        <f>IF($J6&lt;&gt;1,M6,IF(VLOOKUP($A6,'User Interface (Start Here!)'!$B$18:$N$28,Y$2+1,FALSE)&lt;&gt;100%,M6-VLOOKUP($A6,'User Interface (Start Here!)'!$B$18:$N$28,Y$2+1,FALSE)/'User Interface (Start Here!)'!$L$35*$K6*M6,M6-VLOOKUP($A6,'User Interface (Start Here!)'!$B$18:$N$28,Y$2+1,FALSE)*$K6*M6))</f>
        <v>1.3270471511763252E-2</v>
      </c>
      <c r="Z6" s="52">
        <f>IF($J6&lt;&gt;1,N6,IF(VLOOKUP($A6,'User Interface (Start Here!)'!$B$18:$N$28,Z$2+1,FALSE)&lt;&gt;100%,N6-VLOOKUP($A6,'User Interface (Start Here!)'!$B$18:$N$28,Z$2+1,FALSE)/'User Interface (Start Here!)'!$L$35*$K6*N6,N6-VLOOKUP($A6,'User Interface (Start Here!)'!$B$18:$N$28,Z$2+1,FALSE)*$K6*N6))</f>
        <v>1.6962075383942728E-2</v>
      </c>
      <c r="AA6" s="52">
        <f>IF($J6&lt;&gt;1,O6,IF(VLOOKUP($A6,'User Interface (Start Here!)'!$B$18:$N$28,AA$2+1,FALSE)&lt;&gt;100%,O6-VLOOKUP($A6,'User Interface (Start Here!)'!$B$18:$N$28,AA$2+1,FALSE)/'User Interface (Start Here!)'!$L$35*$K6*O6,O6-VLOOKUP($A6,'User Interface (Start Here!)'!$B$18:$N$28,AA$2+1,FALSE)*$K6*O6))</f>
        <v>0.12868336011406789</v>
      </c>
      <c r="AB6" s="52">
        <f>IF($J6&lt;&gt;1,P6,IF(VLOOKUP($A6,'User Interface (Start Here!)'!$B$18:$N$28,AB$2+1,FALSE)&lt;&gt;100%,P6-VLOOKUP($A6,'User Interface (Start Here!)'!$B$18:$N$28,AB$2+1,FALSE)/'User Interface (Start Here!)'!$L$35*$K6*P6,P6-VLOOKUP($A6,'User Interface (Start Here!)'!$B$18:$N$28,AB$2+1,FALSE)*$K6*P6))</f>
        <v>0.21113320165675614</v>
      </c>
      <c r="AC6" s="52">
        <f>IF($J6&lt;&gt;1,Q6,IF(VLOOKUP($A6,'User Interface (Start Here!)'!$B$18:$N$28,AC$2+1,FALSE)&lt;&gt;100%,Q6-VLOOKUP($A6,'User Interface (Start Here!)'!$B$18:$N$28,AC$2+1,FALSE)/'User Interface (Start Here!)'!$L$35*$K6*Q6,Q6-VLOOKUP($A6,'User Interface (Start Here!)'!$B$18:$N$28,AC$2+1,FALSE)*$K6*Q6))</f>
        <v>0</v>
      </c>
      <c r="AD6" s="52">
        <f>IF($J6&lt;&gt;1,R6,IF(VLOOKUP($A6,'User Interface (Start Here!)'!$B$18:$N$28,AD$2+1,FALSE)&lt;&gt;100%,R6-VLOOKUP($A6,'User Interface (Start Here!)'!$B$18:$N$28,AD$2+1,FALSE)/'User Interface (Start Here!)'!$L$35*$K6*R6,R6-VLOOKUP($A6,'User Interface (Start Here!)'!$B$18:$N$28,AD$2+1,FALSE)*$K6*R6))</f>
        <v>1.3510000171650944E-3</v>
      </c>
      <c r="AE6" s="52">
        <f>IF($J6&lt;&gt;1,S6,IF(VLOOKUP($A6,'User Interface (Start Here!)'!$B$18:$N$28,AE$2+1,FALSE)&lt;&gt;100%,S6-VLOOKUP($A6,'User Interface (Start Here!)'!$B$18:$N$28,AE$2+1,FALSE)/'User Interface (Start Here!)'!$L$35*$K6*S6,S6-VLOOKUP($A6,'User Interface (Start Here!)'!$B$18:$N$28,AE$2+1,FALSE)*$K6*S6))</f>
        <v>2.0991473113813497E-2</v>
      </c>
      <c r="AF6" s="52">
        <f>IF($J6&lt;&gt;1,T6,IF(VLOOKUP($A6,'User Interface (Start Here!)'!$B$18:$N$28,AF$2+1,FALSE)&lt;&gt;100%,T6-VLOOKUP($A6,'User Interface (Start Here!)'!$B$18:$N$28,AF$2+1,FALSE)/'User Interface (Start Here!)'!$L$35*$K6*T6,T6-VLOOKUP($A6,'User Interface (Start Here!)'!$B$18:$N$28,AF$2+1,FALSE)*$K6*T6))</f>
        <v>0</v>
      </c>
      <c r="AG6" s="52">
        <f>IF($J6&lt;&gt;1,U6,IF(VLOOKUP($A6,'User Interface (Start Here!)'!$B$18:$N$28,AG$2+1,FALSE)&lt;&gt;100%,U6-VLOOKUP($A6,'User Interface (Start Here!)'!$B$18:$N$28,AG$2+1,FALSE)/'User Interface (Start Here!)'!$L$35*$K6*U6,U6-VLOOKUP($A6,'User Interface (Start Here!)'!$B$18:$N$28,AG$2+1,FALSE)*$K6*U6))</f>
        <v>2.8540149941034661E-2</v>
      </c>
      <c r="AH6" s="52">
        <f>IF($J6&lt;&gt;1,V6,IF(VLOOKUP($A6,'User Interface (Start Here!)'!$B$18:$N$28,AH$2+1,FALSE)&lt;&gt;100%,V6-VLOOKUP($A6,'User Interface (Start Here!)'!$B$18:$N$28,AH$2+1,FALSE)/'User Interface (Start Here!)'!$L$35*$K6*V6,V6-VLOOKUP($A6,'User Interface (Start Here!)'!$B$18:$N$28,AH$2+1,FALSE)*$K6*V6))</f>
        <v>8.7934969701874935E-2</v>
      </c>
      <c r="AI6" s="52">
        <f>IF($J6&lt;&gt;1,W6,IF(VLOOKUP($A6,'User Interface (Start Here!)'!$B$18:$N$28,AI$2+1,FALSE)&lt;&gt;100%,W6-VLOOKUP($A6,'User Interface (Start Here!)'!$B$18:$N$28,AI$2+1,FALSE)/'User Interface (Start Here!)'!$L$35*$K6*W6,W6-VLOOKUP($A6,'User Interface (Start Here!)'!$B$18:$N$28,AI$2+1,FALSE)*$K6*W6))</f>
        <v>1.1259794009980941E-2</v>
      </c>
      <c r="AJ6" s="42">
        <f t="shared" si="0"/>
        <v>0.60256427302347393</v>
      </c>
      <c r="AL6" s="1">
        <v>2479</v>
      </c>
      <c r="AM6" s="1">
        <v>0</v>
      </c>
      <c r="AN6" s="1">
        <v>0</v>
      </c>
      <c r="AO6" s="1">
        <v>0</v>
      </c>
      <c r="AP6" s="1">
        <v>0</v>
      </c>
      <c r="AQ6" s="1">
        <v>0</v>
      </c>
      <c r="AR6" s="1">
        <v>0</v>
      </c>
      <c r="AS6" s="1">
        <v>0</v>
      </c>
      <c r="AT6" s="1">
        <v>0</v>
      </c>
      <c r="AW6" s="1">
        <v>0</v>
      </c>
      <c r="AX6" s="1">
        <v>0</v>
      </c>
      <c r="AY6" s="1">
        <v>0</v>
      </c>
      <c r="BA6" s="1">
        <v>2479</v>
      </c>
      <c r="BB6" s="31">
        <f>IF($AY6&lt;&gt;0,AM6/$AY6,0)</f>
        <v>0</v>
      </c>
      <c r="BC6" s="31">
        <f t="shared" ref="BC6:BM21" si="1">IF($AY6&lt;&gt;0,AN6/$AY6,0)</f>
        <v>0</v>
      </c>
      <c r="BD6" s="31">
        <f t="shared" si="1"/>
        <v>0</v>
      </c>
      <c r="BE6" s="31">
        <f t="shared" si="1"/>
        <v>0</v>
      </c>
      <c r="BF6" s="31">
        <f t="shared" si="1"/>
        <v>0</v>
      </c>
      <c r="BG6" s="31">
        <f t="shared" si="1"/>
        <v>0</v>
      </c>
      <c r="BH6" s="31">
        <f t="shared" si="1"/>
        <v>0</v>
      </c>
      <c r="BI6" s="31">
        <f t="shared" si="1"/>
        <v>0</v>
      </c>
      <c r="BJ6" s="31">
        <f t="shared" si="1"/>
        <v>0</v>
      </c>
      <c r="BK6" s="31">
        <f t="shared" si="1"/>
        <v>0</v>
      </c>
      <c r="BL6" s="31">
        <f t="shared" si="1"/>
        <v>0</v>
      </c>
      <c r="BM6" s="31">
        <f t="shared" si="1"/>
        <v>0</v>
      </c>
      <c r="BO6" s="1">
        <v>2479</v>
      </c>
      <c r="BP6" s="1">
        <v>0</v>
      </c>
      <c r="BQ6" s="1">
        <v>0</v>
      </c>
      <c r="BR6" s="1">
        <v>0</v>
      </c>
      <c r="BS6" s="1">
        <v>0</v>
      </c>
      <c r="BT6" s="1">
        <v>0</v>
      </c>
      <c r="BU6" s="1">
        <v>0</v>
      </c>
      <c r="BV6" s="1">
        <v>0</v>
      </c>
      <c r="BW6" s="1">
        <v>0</v>
      </c>
      <c r="BZ6" s="1">
        <v>0</v>
      </c>
      <c r="CA6" s="1">
        <v>0</v>
      </c>
      <c r="CB6" s="1">
        <v>0</v>
      </c>
      <c r="CD6" s="1">
        <v>2479</v>
      </c>
      <c r="CE6" s="31">
        <f>IF($CB6&lt;&gt;0,BP6/$CB6,0)</f>
        <v>0</v>
      </c>
      <c r="CF6" s="31">
        <f t="shared" ref="CF6:CF60" si="2">IF($CB6&lt;&gt;0,BQ6/$CB6,0)</f>
        <v>0</v>
      </c>
      <c r="CG6" s="31">
        <f t="shared" ref="CG6:CG60" si="3">IF($CB6&lt;&gt;0,BR6/$CB6,0)</f>
        <v>0</v>
      </c>
      <c r="CH6" s="31">
        <f t="shared" ref="CH6:CH60" si="4">IF($CB6&lt;&gt;0,BS6/$CB6,0)</f>
        <v>0</v>
      </c>
      <c r="CI6" s="31">
        <f t="shared" ref="CI6:CI60" si="5">IF($CB6&lt;&gt;0,BT6/$CB6,0)</f>
        <v>0</v>
      </c>
      <c r="CJ6" s="31">
        <f t="shared" ref="CJ6:CJ60" si="6">IF($CB6&lt;&gt;0,BU6/$CB6,0)</f>
        <v>0</v>
      </c>
      <c r="CK6" s="31">
        <f t="shared" ref="CK6:CK60" si="7">IF($CB6&lt;&gt;0,BV6/$CB6,0)</f>
        <v>0</v>
      </c>
      <c r="CL6" s="31">
        <f t="shared" ref="CL6:CL60" si="8">IF($CB6&lt;&gt;0,BW6/$CB6,0)</f>
        <v>0</v>
      </c>
      <c r="CM6" s="31">
        <f t="shared" ref="CM6:CM60" si="9">IF($CB6&lt;&gt;0,BX6/$CB6,0)</f>
        <v>0</v>
      </c>
      <c r="CN6" s="31">
        <f t="shared" ref="CN6:CN60" si="10">IF($CB6&lt;&gt;0,BY6/$CB6,0)</f>
        <v>0</v>
      </c>
      <c r="CO6" s="31">
        <f t="shared" ref="CO6:CO60" si="11">IF($CB6&lt;&gt;0,BZ6/$CB6,0)</f>
        <v>0</v>
      </c>
      <c r="CP6" s="31">
        <f t="shared" ref="CP6:CP60" si="12">IF($CB6&lt;&gt;0,CA6/$CB6,0)</f>
        <v>0</v>
      </c>
    </row>
    <row r="7" spans="1:94">
      <c r="A7" s="28">
        <v>2579</v>
      </c>
      <c r="B7" s="29">
        <v>7.4368110189148476E-2</v>
      </c>
      <c r="C7" s="29">
        <v>0</v>
      </c>
      <c r="D7" s="22">
        <v>1.768096959480684E-2</v>
      </c>
      <c r="E7" s="22">
        <v>0</v>
      </c>
      <c r="G7" s="29">
        <f>IF(ISBLANK('User Interface (Start Here!)'!$L$4),commercial!B7,commercial!C7)</f>
        <v>0</v>
      </c>
      <c r="H7" s="22">
        <f>IF(ISBLANK('User Interface (Start Here!)'!$L$4),commercial!D7,commercial!E7)</f>
        <v>0</v>
      </c>
      <c r="I7" s="40">
        <f>(G7+H7)*'User Interface (Start Here!)'!$L$10</f>
        <v>0</v>
      </c>
      <c r="J7" s="2">
        <f>IF(VLOOKUP(A7,'User Interface (Start Here!)'!$DO$2:$DP$73,2,FALSE)&lt;&gt;0,1,0)</f>
        <v>0</v>
      </c>
      <c r="K7" s="41">
        <f>IF(AND(J7=1,ISBLANK('User Interface (Start Here!)'!$L$14),ISBLANK('User Interface (Start Here!)'!$M$14),ISBLANK('User Interface (Start Here!)'!$N$14)),100%*'User Interface (Start Here!)'!$L$30,IF(J7=1,VLOOKUP(A7,'Bathymetric Closures'!$A$2:$C$57,3,FALSE)*'User Interface (Start Here!)'!$L$30,0%))</f>
        <v>0</v>
      </c>
      <c r="L7" s="50">
        <f>IF(ISBLANK('User Interface (Start Here!)'!$L11),$I7*VLOOKUP($A7,$BA$5:$BM$60,L$2+1,FALSE),$I7*VLOOKUP($A7,$CD$6:$CP$60,L$2+1,FALSE))</f>
        <v>0</v>
      </c>
      <c r="M7" s="50">
        <f>IF(ISBLANK('User Interface (Start Here!)'!$L11),$I7*VLOOKUP($A7,$BA$5:$BM$60,M$2+1,FALSE),$I7*VLOOKUP($A7,$CD$6:$CP$60,M$2+1,FALSE))</f>
        <v>0</v>
      </c>
      <c r="N7" s="50">
        <f>IF(ISBLANK('User Interface (Start Here!)'!$L11),$I7*VLOOKUP($A7,$BA$5:$BM$60,N$2+1,FALSE),$I7*VLOOKUP($A7,$CD$6:$CP$60,N$2+1,FALSE))</f>
        <v>0</v>
      </c>
      <c r="O7" s="50">
        <f>IF(ISBLANK('User Interface (Start Here!)'!$L11),$I7*VLOOKUP($A7,$BA$5:$BM$60,O$2+1,FALSE),$I7*VLOOKUP($A7,$CD$6:$CP$60,O$2+1,FALSE))</f>
        <v>0</v>
      </c>
      <c r="P7" s="50">
        <f>IF(ISBLANK('User Interface (Start Here!)'!$L11),$I7*VLOOKUP($A7,$BA$5:$BM$60,P$2+1,FALSE),$I7*VLOOKUP($A7,$CD$6:$CP$60,P$2+1,FALSE))</f>
        <v>0</v>
      </c>
      <c r="Q7" s="50">
        <f>IF(ISBLANK('User Interface (Start Here!)'!$L11),$I7*VLOOKUP($A7,$BA$5:$BM$60,Q$2+1,FALSE),$I7*VLOOKUP($A7,$CD$6:$CP$60,Q$2+1,FALSE))</f>
        <v>0</v>
      </c>
      <c r="R7" s="50">
        <f>IF(ISBLANK('User Interface (Start Here!)'!$L11),$I7*VLOOKUP($A7,$BA$5:$BM$60,R$2+1,FALSE),$I7*VLOOKUP($A7,$CD$6:$CP$60,R$2+1,FALSE))</f>
        <v>0</v>
      </c>
      <c r="S7" s="50">
        <f>IF(ISBLANK('User Interface (Start Here!)'!$L11),$I7*VLOOKUP($A7,$BA$5:$BM$60,S$2+1,FALSE),$I7*VLOOKUP($A7,$CD$6:$CP$60,S$2+1,FALSE))</f>
        <v>0</v>
      </c>
      <c r="T7" s="50">
        <f>IF(ISBLANK('User Interface (Start Here!)'!$L11),$I7*VLOOKUP($A7,$BA$5:$BM$60,T$2+1,FALSE),$I7*VLOOKUP($A7,$CD$6:$CP$60,T$2+1,FALSE))</f>
        <v>0</v>
      </c>
      <c r="U7" s="50">
        <f>IF(ISBLANK('User Interface (Start Here!)'!$L11),$I7*VLOOKUP($A7,$BA$5:$BM$60,U$2+1,FALSE),$I7*VLOOKUP($A7,$CD$6:$CP$60,U$2+1,FALSE))</f>
        <v>0</v>
      </c>
      <c r="V7" s="50">
        <f>IF(ISBLANK('User Interface (Start Here!)'!$L11),$I7*VLOOKUP($A7,$BA$5:$BM$60,V$2+1,FALSE),$I7*VLOOKUP($A7,$CD$6:$CP$60,V$2+1,FALSE))</f>
        <v>0</v>
      </c>
      <c r="W7" s="50">
        <f>IF(ISBLANK('User Interface (Start Here!)'!$L11),$I7*VLOOKUP($A7,$BA$5:$BM$60,W$2+1,FALSE),$I7*VLOOKUP($A7,$CD$6:$CP$60,W$2+1,FALSE))</f>
        <v>0</v>
      </c>
      <c r="X7" s="51">
        <f>IF($J7&lt;&gt;1,L7,IF(VLOOKUP($A7,'User Interface (Start Here!)'!$B$18:$N$28,X$2+1,FALSE)&lt;&gt;100%,L7-VLOOKUP($A7,'User Interface (Start Here!)'!$B$18:$N$28,X$2+1,FALSE)/'User Interface (Start Here!)'!$L$35*$K7*L7,L7-VLOOKUP($A7,'User Interface (Start Here!)'!$B$18:$N$28,X$2+1,FALSE)*$K7*L7))</f>
        <v>0</v>
      </c>
      <c r="Y7" s="52">
        <f>IF($J7&lt;&gt;1,M7,IF(VLOOKUP($A7,'User Interface (Start Here!)'!$B$18:$N$28,Y$2+1,FALSE)&lt;&gt;100%,M7-VLOOKUP($A7,'User Interface (Start Here!)'!$B$18:$N$28,Y$2+1,FALSE)/'User Interface (Start Here!)'!$L$35*$K7*M7,M7-VLOOKUP($A7,'User Interface (Start Here!)'!$B$18:$N$28,Y$2+1,FALSE)*$K7*M7))</f>
        <v>0</v>
      </c>
      <c r="Z7" s="52">
        <f>IF($J7&lt;&gt;1,N7,IF(VLOOKUP($A7,'User Interface (Start Here!)'!$B$18:$N$28,Z$2+1,FALSE)&lt;&gt;100%,N7-VLOOKUP($A7,'User Interface (Start Here!)'!$B$18:$N$28,Z$2+1,FALSE)/'User Interface (Start Here!)'!$L$35*$K7*N7,N7-VLOOKUP($A7,'User Interface (Start Here!)'!$B$18:$N$28,Z$2+1,FALSE)*$K7*N7))</f>
        <v>0</v>
      </c>
      <c r="AA7" s="52">
        <f>IF($J7&lt;&gt;1,O7,IF(VLOOKUP($A7,'User Interface (Start Here!)'!$B$18:$N$28,AA$2+1,FALSE)&lt;&gt;100%,O7-VLOOKUP($A7,'User Interface (Start Here!)'!$B$18:$N$28,AA$2+1,FALSE)/'User Interface (Start Here!)'!$L$35*$K7*O7,O7-VLOOKUP($A7,'User Interface (Start Here!)'!$B$18:$N$28,AA$2+1,FALSE)*$K7*O7))</f>
        <v>0</v>
      </c>
      <c r="AB7" s="52">
        <f>IF($J7&lt;&gt;1,P7,IF(VLOOKUP($A7,'User Interface (Start Here!)'!$B$18:$N$28,AB$2+1,FALSE)&lt;&gt;100%,P7-VLOOKUP($A7,'User Interface (Start Here!)'!$B$18:$N$28,AB$2+1,FALSE)/'User Interface (Start Here!)'!$L$35*$K7*P7,P7-VLOOKUP($A7,'User Interface (Start Here!)'!$B$18:$N$28,AB$2+1,FALSE)*$K7*P7))</f>
        <v>0</v>
      </c>
      <c r="AC7" s="52">
        <f>IF($J7&lt;&gt;1,Q7,IF(VLOOKUP($A7,'User Interface (Start Here!)'!$B$18:$N$28,AC$2+1,FALSE)&lt;&gt;100%,Q7-VLOOKUP($A7,'User Interface (Start Here!)'!$B$18:$N$28,AC$2+1,FALSE)/'User Interface (Start Here!)'!$L$35*$K7*Q7,Q7-VLOOKUP($A7,'User Interface (Start Here!)'!$B$18:$N$28,AC$2+1,FALSE)*$K7*Q7))</f>
        <v>0</v>
      </c>
      <c r="AD7" s="52">
        <f>IF($J7&lt;&gt;1,R7,IF(VLOOKUP($A7,'User Interface (Start Here!)'!$B$18:$N$28,AD$2+1,FALSE)&lt;&gt;100%,R7-VLOOKUP($A7,'User Interface (Start Here!)'!$B$18:$N$28,AD$2+1,FALSE)/'User Interface (Start Here!)'!$L$35*$K7*R7,R7-VLOOKUP($A7,'User Interface (Start Here!)'!$B$18:$N$28,AD$2+1,FALSE)*$K7*R7))</f>
        <v>0</v>
      </c>
      <c r="AE7" s="52">
        <f>IF($J7&lt;&gt;1,S7,IF(VLOOKUP($A7,'User Interface (Start Here!)'!$B$18:$N$28,AE$2+1,FALSE)&lt;&gt;100%,S7-VLOOKUP($A7,'User Interface (Start Here!)'!$B$18:$N$28,AE$2+1,FALSE)/'User Interface (Start Here!)'!$L$35*$K7*S7,S7-VLOOKUP($A7,'User Interface (Start Here!)'!$B$18:$N$28,AE$2+1,FALSE)*$K7*S7))</f>
        <v>0</v>
      </c>
      <c r="AF7" s="52">
        <f>IF($J7&lt;&gt;1,T7,IF(VLOOKUP($A7,'User Interface (Start Here!)'!$B$18:$N$28,AF$2+1,FALSE)&lt;&gt;100%,T7-VLOOKUP($A7,'User Interface (Start Here!)'!$B$18:$N$28,AF$2+1,FALSE)/'User Interface (Start Here!)'!$L$35*$K7*T7,T7-VLOOKUP($A7,'User Interface (Start Here!)'!$B$18:$N$28,AF$2+1,FALSE)*$K7*T7))</f>
        <v>0</v>
      </c>
      <c r="AG7" s="52">
        <f>IF($J7&lt;&gt;1,U7,IF(VLOOKUP($A7,'User Interface (Start Here!)'!$B$18:$N$28,AG$2+1,FALSE)&lt;&gt;100%,U7-VLOOKUP($A7,'User Interface (Start Here!)'!$B$18:$N$28,AG$2+1,FALSE)/'User Interface (Start Here!)'!$L$35*$K7*U7,U7-VLOOKUP($A7,'User Interface (Start Here!)'!$B$18:$N$28,AG$2+1,FALSE)*$K7*U7))</f>
        <v>0</v>
      </c>
      <c r="AH7" s="52">
        <f>IF($J7&lt;&gt;1,V7,IF(VLOOKUP($A7,'User Interface (Start Here!)'!$B$18:$N$28,AH$2+1,FALSE)&lt;&gt;100%,V7-VLOOKUP($A7,'User Interface (Start Here!)'!$B$18:$N$28,AH$2+1,FALSE)/'User Interface (Start Here!)'!$L$35*$K7*V7,V7-VLOOKUP($A7,'User Interface (Start Here!)'!$B$18:$N$28,AH$2+1,FALSE)*$K7*V7))</f>
        <v>0</v>
      </c>
      <c r="AI7" s="52">
        <f>IF($J7&lt;&gt;1,W7,IF(VLOOKUP($A7,'User Interface (Start Here!)'!$B$18:$N$28,AI$2+1,FALSE)&lt;&gt;100%,W7-VLOOKUP($A7,'User Interface (Start Here!)'!$B$18:$N$28,AI$2+1,FALSE)/'User Interface (Start Here!)'!$L$35*$K7*W7,W7-VLOOKUP($A7,'User Interface (Start Here!)'!$B$18:$N$28,AI$2+1,FALSE)*$K7*W7))</f>
        <v>0</v>
      </c>
      <c r="AJ7" s="42">
        <f t="shared" si="0"/>
        <v>0</v>
      </c>
      <c r="AL7" s="1">
        <v>2480</v>
      </c>
      <c r="AM7" s="1">
        <v>8.2139999866485597E-2</v>
      </c>
      <c r="AN7" s="1">
        <v>0.42471999959647655</v>
      </c>
      <c r="AO7" s="1">
        <v>0.38238699978590007</v>
      </c>
      <c r="AP7" s="1">
        <v>0.152</v>
      </c>
      <c r="AQ7" s="1">
        <v>0.15531999976933</v>
      </c>
      <c r="AR7" s="1">
        <v>0.5373099999427795</v>
      </c>
      <c r="AS7" s="1">
        <v>0.10988999985158443</v>
      </c>
      <c r="AT7" s="1">
        <v>1.9979999959468843E-2</v>
      </c>
      <c r="AU7" s="1">
        <v>0.15422999995946884</v>
      </c>
      <c r="AV7" s="1">
        <v>8.8799999952316293E-3</v>
      </c>
      <c r="AW7" s="1">
        <v>0.11654999998211861</v>
      </c>
      <c r="AX7" s="1">
        <v>7.7699999958276752E-3</v>
      </c>
      <c r="AY7" s="1">
        <v>2.1511769987046718</v>
      </c>
      <c r="BA7" s="1">
        <v>2480</v>
      </c>
      <c r="BB7" s="31">
        <f t="shared" ref="BB7:BB60" si="13">IF($AY7&lt;&gt;0,AM7/$AY7,0)</f>
        <v>3.8183747741792555E-2</v>
      </c>
      <c r="BC7" s="31">
        <f t="shared" si="1"/>
        <v>0.19743610119121816</v>
      </c>
      <c r="BD7" s="31">
        <f t="shared" si="1"/>
        <v>0.17775710693083546</v>
      </c>
      <c r="BE7" s="31">
        <f t="shared" si="1"/>
        <v>7.0658992770714163E-2</v>
      </c>
      <c r="BF7" s="31">
        <f t="shared" si="1"/>
        <v>7.2202333821371145E-2</v>
      </c>
      <c r="BG7" s="31">
        <f t="shared" si="1"/>
        <v>0.24977489079992951</v>
      </c>
      <c r="BH7" s="31">
        <f t="shared" si="1"/>
        <v>5.1083662533466349E-2</v>
      </c>
      <c r="BI7" s="31">
        <f t="shared" si="1"/>
        <v>9.2879386361511725E-3</v>
      </c>
      <c r="BJ7" s="31">
        <f t="shared" si="1"/>
        <v>7.1695634553706283E-2</v>
      </c>
      <c r="BK7" s="31">
        <f t="shared" si="1"/>
        <v>4.127972733335615E-3</v>
      </c>
      <c r="BL7" s="31">
        <f t="shared" si="1"/>
        <v>5.4179642145810884E-2</v>
      </c>
      <c r="BM7" s="31">
        <f t="shared" si="1"/>
        <v>3.6119761416686632E-3</v>
      </c>
      <c r="BO7" s="1">
        <v>2480</v>
      </c>
      <c r="BP7" s="1">
        <v>6.8819999873638155E-2</v>
      </c>
      <c r="BQ7" s="1">
        <v>0.26639999960362915</v>
      </c>
      <c r="BR7" s="1">
        <v>0.38238699978590013</v>
      </c>
      <c r="BS7" s="1">
        <v>0</v>
      </c>
      <c r="BT7" s="1">
        <v>0.12431999976933002</v>
      </c>
      <c r="BU7" s="1">
        <v>2.330999994277954E-2</v>
      </c>
      <c r="BV7" s="1">
        <v>2.7165578817275056E-2</v>
      </c>
      <c r="BW7" s="1">
        <v>1.9979999959468843E-2</v>
      </c>
      <c r="BX7" s="1">
        <v>0.15422999995946884</v>
      </c>
      <c r="BY7" s="1">
        <v>8.8799999952316293E-3</v>
      </c>
      <c r="BZ7" s="1">
        <v>0</v>
      </c>
      <c r="CA7" s="1">
        <v>0</v>
      </c>
      <c r="CB7" s="1">
        <v>1.0754925777067215</v>
      </c>
      <c r="CD7" s="1">
        <v>2480</v>
      </c>
      <c r="CE7" s="31">
        <f t="shared" ref="CE7:CE60" si="14">IF($CB7&lt;&gt;0,BP7/$CB7,0)</f>
        <v>6.3989283887373169E-2</v>
      </c>
      <c r="CF7" s="31">
        <f t="shared" si="2"/>
        <v>0.24770045384383338</v>
      </c>
      <c r="CG7" s="31">
        <f t="shared" si="3"/>
        <v>0.35554592166620613</v>
      </c>
      <c r="CH7" s="31">
        <f t="shared" si="4"/>
        <v>0</v>
      </c>
      <c r="CI7" s="31">
        <f t="shared" si="5"/>
        <v>0.11559354508463296</v>
      </c>
      <c r="CJ7" s="31">
        <f t="shared" si="6"/>
        <v>2.1673789690379433E-2</v>
      </c>
      <c r="CK7" s="31">
        <f t="shared" si="7"/>
        <v>2.5258732026956769E-2</v>
      </c>
      <c r="CL7" s="31">
        <f t="shared" si="8"/>
        <v>1.8577534028242484E-2</v>
      </c>
      <c r="CM7" s="31">
        <f t="shared" si="9"/>
        <v>0.14340405796972983</v>
      </c>
      <c r="CN7" s="31">
        <f t="shared" si="10"/>
        <v>8.2566818026457243E-3</v>
      </c>
      <c r="CO7" s="31">
        <f t="shared" si="11"/>
        <v>0</v>
      </c>
      <c r="CP7" s="31">
        <f t="shared" si="12"/>
        <v>0</v>
      </c>
    </row>
    <row r="8" spans="1:94">
      <c r="A8" s="28">
        <v>2580</v>
      </c>
      <c r="B8" s="29">
        <v>0.27201583062798523</v>
      </c>
      <c r="C8" s="29">
        <v>2.4010722567122292E-2</v>
      </c>
      <c r="D8" s="22">
        <v>6.4671585958107611E-2</v>
      </c>
      <c r="E8" s="22">
        <v>5.7085335983242183E-3</v>
      </c>
      <c r="G8" s="29">
        <f>IF(ISBLANK('User Interface (Start Here!)'!$L$4),commercial!B8,commercial!C8)</f>
        <v>2.4010722567122292E-2</v>
      </c>
      <c r="H8" s="22">
        <f>IF(ISBLANK('User Interface (Start Here!)'!$L$4),commercial!D8,commercial!E8)</f>
        <v>5.7085335983242183E-3</v>
      </c>
      <c r="I8" s="40">
        <f>(G8+H8)*'User Interface (Start Here!)'!$L$10</f>
        <v>2.6747330548901861E-2</v>
      </c>
      <c r="J8" s="2">
        <f>IF(VLOOKUP(A8,'User Interface (Start Here!)'!$DO$2:$DP$73,2,FALSE)&lt;&gt;0,1,0)</f>
        <v>0</v>
      </c>
      <c r="K8" s="41">
        <f>IF(AND(J8=1,ISBLANK('User Interface (Start Here!)'!$L$14),ISBLANK('User Interface (Start Here!)'!$M$14),ISBLANK('User Interface (Start Here!)'!$N$14)),100%*'User Interface (Start Here!)'!$L$30,IF(J8=1,VLOOKUP(A8,'Bathymetric Closures'!$A$2:$C$57,3,FALSE)*'User Interface (Start Here!)'!$L$30,0%))</f>
        <v>0</v>
      </c>
      <c r="L8" s="50">
        <f>IF(ISBLANK('User Interface (Start Here!)'!$L12),$I8*VLOOKUP($A8,$BA$5:$BM$60,L$2+1,FALSE),$I8*VLOOKUP($A8,$CD$6:$CP$60,L$2+1,FALSE))</f>
        <v>3.6204839085310153E-4</v>
      </c>
      <c r="M8" s="50">
        <f>IF(ISBLANK('User Interface (Start Here!)'!$L12),$I8*VLOOKUP($A8,$BA$5:$BM$60,M$2+1,FALSE),$I8*VLOOKUP($A8,$CD$6:$CP$60,M$2+1,FALSE))</f>
        <v>1.4884211623960842E-3</v>
      </c>
      <c r="N8" s="50">
        <f>IF(ISBLANK('User Interface (Start Here!)'!$L12),$I8*VLOOKUP($A8,$BA$5:$BM$60,N$2+1,FALSE),$I8*VLOOKUP($A8,$CD$6:$CP$60,N$2+1,FALSE))</f>
        <v>0</v>
      </c>
      <c r="O8" s="50">
        <f>IF(ISBLANK('User Interface (Start Here!)'!$L12),$I8*VLOOKUP($A8,$BA$5:$BM$60,O$2+1,FALSE),$I8*VLOOKUP($A8,$CD$6:$CP$60,O$2+1,FALSE))</f>
        <v>3.2182079186942361E-4</v>
      </c>
      <c r="P8" s="50">
        <f>IF(ISBLANK('User Interface (Start Here!)'!$L12),$I8*VLOOKUP($A8,$BA$5:$BM$60,P$2+1,FALSE),$I8*VLOOKUP($A8,$CD$6:$CP$60,P$2+1,FALSE))</f>
        <v>1.5523830432455711E-2</v>
      </c>
      <c r="Q8" s="50">
        <f>IF(ISBLANK('User Interface (Start Here!)'!$L12),$I8*VLOOKUP($A8,$BA$5:$BM$60,Q$2+1,FALSE),$I8*VLOOKUP($A8,$CD$6:$CP$60,Q$2+1,FALSE))</f>
        <v>0</v>
      </c>
      <c r="R8" s="50">
        <f>IF(ISBLANK('User Interface (Start Here!)'!$L12),$I8*VLOOKUP($A8,$BA$5:$BM$60,R$2+1,FALSE),$I8*VLOOKUP($A8,$CD$6:$CP$60,R$2+1,FALSE))</f>
        <v>0</v>
      </c>
      <c r="S8" s="50">
        <f>IF(ISBLANK('User Interface (Start Here!)'!$L12),$I8*VLOOKUP($A8,$BA$5:$BM$60,S$2+1,FALSE),$I8*VLOOKUP($A8,$CD$6:$CP$60,S$2+1,FALSE))</f>
        <v>2.413655939020677E-3</v>
      </c>
      <c r="T8" s="50">
        <f>IF(ISBLANK('User Interface (Start Here!)'!$L12),$I8*VLOOKUP($A8,$BA$5:$BM$60,T$2+1,FALSE),$I8*VLOOKUP($A8,$CD$6:$CP$60,T$2+1,FALSE))</f>
        <v>2.4136559390206772E-4</v>
      </c>
      <c r="U8" s="50">
        <f>IF(ISBLANK('User Interface (Start Here!)'!$L12),$I8*VLOOKUP($A8,$BA$5:$BM$60,U$2+1,FALSE),$I8*VLOOKUP($A8,$CD$6:$CP$60,U$2+1,FALSE))</f>
        <v>0</v>
      </c>
      <c r="V8" s="50">
        <f>IF(ISBLANK('User Interface (Start Here!)'!$L12),$I8*VLOOKUP($A8,$BA$5:$BM$60,V$2+1,FALSE),$I8*VLOOKUP($A8,$CD$6:$CP$60,V$2+1,FALSE))</f>
        <v>6.0341398475516929E-3</v>
      </c>
      <c r="W8" s="50">
        <f>IF(ISBLANK('User Interface (Start Here!)'!$L12),$I8*VLOOKUP($A8,$BA$5:$BM$60,W$2+1,FALSE),$I8*VLOOKUP($A8,$CD$6:$CP$60,W$2+1,FALSE))</f>
        <v>3.6204839085310153E-4</v>
      </c>
      <c r="X8" s="51">
        <f>IF($J8&lt;&gt;1,L8,IF(VLOOKUP($A8,'User Interface (Start Here!)'!$B$18:$N$28,X$2+1,FALSE)&lt;&gt;100%,L8-VLOOKUP($A8,'User Interface (Start Here!)'!$B$18:$N$28,X$2+1,FALSE)/'User Interface (Start Here!)'!$L$35*$K8*L8,L8-VLOOKUP($A8,'User Interface (Start Here!)'!$B$18:$N$28,X$2+1,FALSE)*$K8*L8))</f>
        <v>3.6204839085310153E-4</v>
      </c>
      <c r="Y8" s="52">
        <f>IF($J8&lt;&gt;1,M8,IF(VLOOKUP($A8,'User Interface (Start Here!)'!$B$18:$N$28,Y$2+1,FALSE)&lt;&gt;100%,M8-VLOOKUP($A8,'User Interface (Start Here!)'!$B$18:$N$28,Y$2+1,FALSE)/'User Interface (Start Here!)'!$L$35*$K8*M8,M8-VLOOKUP($A8,'User Interface (Start Here!)'!$B$18:$N$28,Y$2+1,FALSE)*$K8*M8))</f>
        <v>1.4884211623960842E-3</v>
      </c>
      <c r="Z8" s="52">
        <f>IF($J8&lt;&gt;1,N8,IF(VLOOKUP($A8,'User Interface (Start Here!)'!$B$18:$N$28,Z$2+1,FALSE)&lt;&gt;100%,N8-VLOOKUP($A8,'User Interface (Start Here!)'!$B$18:$N$28,Z$2+1,FALSE)/'User Interface (Start Here!)'!$L$35*$K8*N8,N8-VLOOKUP($A8,'User Interface (Start Here!)'!$B$18:$N$28,Z$2+1,FALSE)*$K8*N8))</f>
        <v>0</v>
      </c>
      <c r="AA8" s="52">
        <f>IF($J8&lt;&gt;1,O8,IF(VLOOKUP($A8,'User Interface (Start Here!)'!$B$18:$N$28,AA$2+1,FALSE)&lt;&gt;100%,O8-VLOOKUP($A8,'User Interface (Start Here!)'!$B$18:$N$28,AA$2+1,FALSE)/'User Interface (Start Here!)'!$L$35*$K8*O8,O8-VLOOKUP($A8,'User Interface (Start Here!)'!$B$18:$N$28,AA$2+1,FALSE)*$K8*O8))</f>
        <v>3.2182079186942361E-4</v>
      </c>
      <c r="AB8" s="52">
        <f>IF($J8&lt;&gt;1,P8,IF(VLOOKUP($A8,'User Interface (Start Here!)'!$B$18:$N$28,AB$2+1,FALSE)&lt;&gt;100%,P8-VLOOKUP($A8,'User Interface (Start Here!)'!$B$18:$N$28,AB$2+1,FALSE)/'User Interface (Start Here!)'!$L$35*$K8*P8,P8-VLOOKUP($A8,'User Interface (Start Here!)'!$B$18:$N$28,AB$2+1,FALSE)*$K8*P8))</f>
        <v>1.5523830432455711E-2</v>
      </c>
      <c r="AC8" s="52">
        <f>IF($J8&lt;&gt;1,Q8,IF(VLOOKUP($A8,'User Interface (Start Here!)'!$B$18:$N$28,AC$2+1,FALSE)&lt;&gt;100%,Q8-VLOOKUP($A8,'User Interface (Start Here!)'!$B$18:$N$28,AC$2+1,FALSE)/'User Interface (Start Here!)'!$L$35*$K8*Q8,Q8-VLOOKUP($A8,'User Interface (Start Here!)'!$B$18:$N$28,AC$2+1,FALSE)*$K8*Q8))</f>
        <v>0</v>
      </c>
      <c r="AD8" s="52">
        <f>IF($J8&lt;&gt;1,R8,IF(VLOOKUP($A8,'User Interface (Start Here!)'!$B$18:$N$28,AD$2+1,FALSE)&lt;&gt;100%,R8-VLOOKUP($A8,'User Interface (Start Here!)'!$B$18:$N$28,AD$2+1,FALSE)/'User Interface (Start Here!)'!$L$35*$K8*R8,R8-VLOOKUP($A8,'User Interface (Start Here!)'!$B$18:$N$28,AD$2+1,FALSE)*$K8*R8))</f>
        <v>0</v>
      </c>
      <c r="AE8" s="52">
        <f>IF($J8&lt;&gt;1,S8,IF(VLOOKUP($A8,'User Interface (Start Here!)'!$B$18:$N$28,AE$2+1,FALSE)&lt;&gt;100%,S8-VLOOKUP($A8,'User Interface (Start Here!)'!$B$18:$N$28,AE$2+1,FALSE)/'User Interface (Start Here!)'!$L$35*$K8*S8,S8-VLOOKUP($A8,'User Interface (Start Here!)'!$B$18:$N$28,AE$2+1,FALSE)*$K8*S8))</f>
        <v>2.413655939020677E-3</v>
      </c>
      <c r="AF8" s="52">
        <f>IF($J8&lt;&gt;1,T8,IF(VLOOKUP($A8,'User Interface (Start Here!)'!$B$18:$N$28,AF$2+1,FALSE)&lt;&gt;100%,T8-VLOOKUP($A8,'User Interface (Start Here!)'!$B$18:$N$28,AF$2+1,FALSE)/'User Interface (Start Here!)'!$L$35*$K8*T8,T8-VLOOKUP($A8,'User Interface (Start Here!)'!$B$18:$N$28,AF$2+1,FALSE)*$K8*T8))</f>
        <v>2.4136559390206772E-4</v>
      </c>
      <c r="AG8" s="52">
        <f>IF($J8&lt;&gt;1,U8,IF(VLOOKUP($A8,'User Interface (Start Here!)'!$B$18:$N$28,AG$2+1,FALSE)&lt;&gt;100%,U8-VLOOKUP($A8,'User Interface (Start Here!)'!$B$18:$N$28,AG$2+1,FALSE)/'User Interface (Start Here!)'!$L$35*$K8*U8,U8-VLOOKUP($A8,'User Interface (Start Here!)'!$B$18:$N$28,AG$2+1,FALSE)*$K8*U8))</f>
        <v>0</v>
      </c>
      <c r="AH8" s="52">
        <f>IF($J8&lt;&gt;1,V8,IF(VLOOKUP($A8,'User Interface (Start Here!)'!$B$18:$N$28,AH$2+1,FALSE)&lt;&gt;100%,V8-VLOOKUP($A8,'User Interface (Start Here!)'!$B$18:$N$28,AH$2+1,FALSE)/'User Interface (Start Here!)'!$L$35*$K8*V8,V8-VLOOKUP($A8,'User Interface (Start Here!)'!$B$18:$N$28,AH$2+1,FALSE)*$K8*V8))</f>
        <v>6.0341398475516929E-3</v>
      </c>
      <c r="AI8" s="52">
        <f>IF($J8&lt;&gt;1,W8,IF(VLOOKUP($A8,'User Interface (Start Here!)'!$B$18:$N$28,AI$2+1,FALSE)&lt;&gt;100%,W8-VLOOKUP($A8,'User Interface (Start Here!)'!$B$18:$N$28,AI$2+1,FALSE)/'User Interface (Start Here!)'!$L$35*$K8*W8,W8-VLOOKUP($A8,'User Interface (Start Here!)'!$B$18:$N$28,AI$2+1,FALSE)*$K8*W8))</f>
        <v>3.6204839085310153E-4</v>
      </c>
      <c r="AJ8" s="42">
        <f t="shared" si="0"/>
        <v>2.6747330548901858E-2</v>
      </c>
      <c r="AL8" s="1">
        <v>2481</v>
      </c>
      <c r="AM8" s="1">
        <v>7.7699999958276752E-3</v>
      </c>
      <c r="AN8" s="1">
        <v>0.91574999913573274</v>
      </c>
      <c r="AO8" s="1">
        <v>0.1387499998807907</v>
      </c>
      <c r="AP8" s="1">
        <v>0.10655999994277954</v>
      </c>
      <c r="AQ8" s="1">
        <v>6.1049999952316282E-2</v>
      </c>
      <c r="AR8" s="1">
        <v>0.36931999999284748</v>
      </c>
      <c r="AS8" s="1">
        <v>0.29979999983310707</v>
      </c>
      <c r="AT8" s="1">
        <v>0.22</v>
      </c>
      <c r="AU8" s="1">
        <v>0</v>
      </c>
      <c r="AV8" s="1">
        <v>0.24698999997973442</v>
      </c>
      <c r="AW8" s="1">
        <v>8.8799999952316293E-3</v>
      </c>
      <c r="AX8" s="1">
        <v>0</v>
      </c>
      <c r="AY8" s="1">
        <v>2.3748699987083679</v>
      </c>
      <c r="BA8" s="1">
        <v>2481</v>
      </c>
      <c r="BB8" s="31">
        <f t="shared" si="13"/>
        <v>3.2717580330938463E-3</v>
      </c>
      <c r="BC8" s="31">
        <f t="shared" si="1"/>
        <v>0.38560005374348327</v>
      </c>
      <c r="BD8" s="31">
        <f t="shared" si="1"/>
        <v>5.8424250572137987E-2</v>
      </c>
      <c r="BE8" s="31">
        <f t="shared" si="1"/>
        <v>4.486982445385846E-2</v>
      </c>
      <c r="BF8" s="31">
        <f t="shared" si="1"/>
        <v>2.5706670253748561E-2</v>
      </c>
      <c r="BG8" s="31">
        <f t="shared" si="1"/>
        <v>0.15551167019403644</v>
      </c>
      <c r="BH8" s="31">
        <f t="shared" si="1"/>
        <v>0.12623848884198324</v>
      </c>
      <c r="BI8" s="31">
        <f t="shared" si="1"/>
        <v>9.2636649635412668E-2</v>
      </c>
      <c r="BJ8" s="31">
        <f t="shared" si="1"/>
        <v>0</v>
      </c>
      <c r="BK8" s="31">
        <f t="shared" si="1"/>
        <v>0.10400148223442381</v>
      </c>
      <c r="BL8" s="31">
        <f t="shared" si="1"/>
        <v>3.7391520378215388E-3</v>
      </c>
      <c r="BM8" s="31">
        <f t="shared" si="1"/>
        <v>0</v>
      </c>
      <c r="BO8" s="1">
        <v>2481</v>
      </c>
      <c r="BP8" s="1">
        <v>7.7699999958276752E-3</v>
      </c>
      <c r="BQ8" s="1">
        <v>0.3907199998795986</v>
      </c>
      <c r="BR8" s="1">
        <v>0</v>
      </c>
      <c r="BS8" s="1">
        <v>0</v>
      </c>
      <c r="BT8" s="1">
        <v>0</v>
      </c>
      <c r="BU8" s="1">
        <v>1.3319999992847442E-2</v>
      </c>
      <c r="BV8" s="1">
        <v>0.19979999983310698</v>
      </c>
      <c r="BW8" s="1">
        <v>0.05</v>
      </c>
      <c r="BX8" s="1">
        <v>0</v>
      </c>
      <c r="BY8" s="1">
        <v>0.24698999997973442</v>
      </c>
      <c r="BZ8" s="1">
        <v>8.8799999952316293E-3</v>
      </c>
      <c r="CA8" s="1">
        <v>0</v>
      </c>
      <c r="CB8" s="1">
        <v>0.91747999967634675</v>
      </c>
      <c r="CD8" s="1">
        <v>2481</v>
      </c>
      <c r="CE8" s="31">
        <f t="shared" si="14"/>
        <v>8.4688494556487831E-3</v>
      </c>
      <c r="CF8" s="31">
        <f t="shared" si="2"/>
        <v>0.42586214415293006</v>
      </c>
      <c r="CG8" s="31">
        <f t="shared" si="3"/>
        <v>0</v>
      </c>
      <c r="CH8" s="31">
        <f t="shared" si="4"/>
        <v>0</v>
      </c>
      <c r="CI8" s="31">
        <f t="shared" si="5"/>
        <v>0</v>
      </c>
      <c r="CJ8" s="31">
        <f t="shared" si="6"/>
        <v>1.4518027638255056E-2</v>
      </c>
      <c r="CK8" s="31">
        <f t="shared" si="7"/>
        <v>0.21777041450886023</v>
      </c>
      <c r="CL8" s="31">
        <f t="shared" si="8"/>
        <v>5.4497100773464452E-2</v>
      </c>
      <c r="CM8" s="31">
        <f t="shared" si="9"/>
        <v>0</v>
      </c>
      <c r="CN8" s="31">
        <f t="shared" si="10"/>
        <v>0.26920477837867141</v>
      </c>
      <c r="CO8" s="31">
        <f t="shared" si="11"/>
        <v>9.6786850921700383E-3</v>
      </c>
      <c r="CP8" s="31">
        <f t="shared" si="12"/>
        <v>0</v>
      </c>
    </row>
    <row r="9" spans="1:94">
      <c r="A9" s="28">
        <v>2679</v>
      </c>
      <c r="B9" s="29">
        <v>0.20297418695240696</v>
      </c>
      <c r="C9" s="29">
        <v>3.1760410564846561E-2</v>
      </c>
      <c r="D9" s="22">
        <v>4.8256980295833959E-2</v>
      </c>
      <c r="E9" s="22">
        <v>7.5510168550386812E-3</v>
      </c>
      <c r="G9" s="29">
        <f>IF(ISBLANK('User Interface (Start Here!)'!$L$4),commercial!B9,commercial!C9)</f>
        <v>3.1760410564846561E-2</v>
      </c>
      <c r="H9" s="22">
        <f>IF(ISBLANK('User Interface (Start Here!)'!$L$4),commercial!D9,commercial!E9)</f>
        <v>7.5510168550386812E-3</v>
      </c>
      <c r="I9" s="40">
        <f>(G9+H9)*'User Interface (Start Here!)'!$L$10</f>
        <v>3.5380284677896716E-2</v>
      </c>
      <c r="J9" s="2">
        <f>IF(VLOOKUP(A9,'User Interface (Start Here!)'!$DO$2:$DP$73,2,FALSE)&lt;&gt;0,1,0)</f>
        <v>0</v>
      </c>
      <c r="K9" s="41">
        <f>IF(AND(J9=1,ISBLANK('User Interface (Start Here!)'!$L$14),ISBLANK('User Interface (Start Here!)'!$M$14),ISBLANK('User Interface (Start Here!)'!$N$14)),100%*'User Interface (Start Here!)'!$L$30,IF(J9=1,VLOOKUP(A9,'Bathymetric Closures'!$A$2:$C$57,3,FALSE)*'User Interface (Start Here!)'!$L$30,0%))</f>
        <v>0</v>
      </c>
      <c r="L9" s="50">
        <f>IF(ISBLANK('User Interface (Start Here!)'!#REF!),$I9*VLOOKUP($A9,$BA$5:$BM$60,L$2+1,FALSE),$I9*VLOOKUP($A9,$CD$6:$CP$60,L$2+1,FALSE))</f>
        <v>5.4639465755946621E-3</v>
      </c>
      <c r="M9" s="50">
        <f>IF(ISBLANK('User Interface (Start Here!)'!#REF!),$I9*VLOOKUP($A9,$BA$5:$BM$60,M$2+1,FALSE),$I9*VLOOKUP($A9,$CD$6:$CP$60,M$2+1,FALSE))</f>
        <v>0</v>
      </c>
      <c r="N9" s="50">
        <f>IF(ISBLANK('User Interface (Start Here!)'!#REF!),$I9*VLOOKUP($A9,$BA$5:$BM$60,N$2+1,FALSE),$I9*VLOOKUP($A9,$CD$6:$CP$60,N$2+1,FALSE))</f>
        <v>0</v>
      </c>
      <c r="O9" s="50">
        <f>IF(ISBLANK('User Interface (Start Here!)'!#REF!),$I9*VLOOKUP($A9,$BA$5:$BM$60,O$2+1,FALSE),$I9*VLOOKUP($A9,$CD$6:$CP$60,O$2+1,FALSE))</f>
        <v>0</v>
      </c>
      <c r="P9" s="50">
        <f>IF(ISBLANK('User Interface (Start Here!)'!#REF!),$I9*VLOOKUP($A9,$BA$5:$BM$60,P$2+1,FALSE),$I9*VLOOKUP($A9,$CD$6:$CP$60,P$2+1,FALSE))</f>
        <v>7.2852620946803337E-3</v>
      </c>
      <c r="Q9" s="50">
        <f>IF(ISBLANK('User Interface (Start Here!)'!#REF!),$I9*VLOOKUP($A9,$BA$5:$BM$60,Q$2+1,FALSE),$I9*VLOOKUP($A9,$CD$6:$CP$60,Q$2+1,FALSE))</f>
        <v>1.1383222020263782E-2</v>
      </c>
      <c r="R9" s="50">
        <f>IF(ISBLANK('User Interface (Start Here!)'!#REF!),$I9*VLOOKUP($A9,$BA$5:$BM$60,R$2+1,FALSE),$I9*VLOOKUP($A9,$CD$6:$CP$60,R$2+1,FALSE))</f>
        <v>1.0017235388590213E-2</v>
      </c>
      <c r="S9" s="50">
        <f>IF(ISBLANK('User Interface (Start Here!)'!#REF!),$I9*VLOOKUP($A9,$BA$5:$BM$60,S$2+1,FALSE),$I9*VLOOKUP($A9,$CD$6:$CP$60,S$2+1,FALSE))</f>
        <v>0</v>
      </c>
      <c r="T9" s="50">
        <f>IF(ISBLANK('User Interface (Start Here!)'!#REF!),$I9*VLOOKUP($A9,$BA$5:$BM$60,T$2+1,FALSE),$I9*VLOOKUP($A9,$CD$6:$CP$60,T$2+1,FALSE))</f>
        <v>0</v>
      </c>
      <c r="U9" s="50">
        <f>IF(ISBLANK('User Interface (Start Here!)'!#REF!),$I9*VLOOKUP($A9,$BA$5:$BM$60,U$2+1,FALSE),$I9*VLOOKUP($A9,$CD$6:$CP$60,U$2+1,FALSE))</f>
        <v>1.2306185987677218E-3</v>
      </c>
      <c r="V9" s="50">
        <f>IF(ISBLANK('User Interface (Start Here!)'!#REF!),$I9*VLOOKUP($A9,$BA$5:$BM$60,V$2+1,FALSE),$I9*VLOOKUP($A9,$CD$6:$CP$60,V$2+1,FALSE))</f>
        <v>0</v>
      </c>
      <c r="W9" s="50">
        <f>IF(ISBLANK('User Interface (Start Here!)'!#REF!),$I9*VLOOKUP($A9,$BA$5:$BM$60,W$2+1,FALSE),$I9*VLOOKUP($A9,$CD$6:$CP$60,W$2+1,FALSE))</f>
        <v>0</v>
      </c>
      <c r="X9" s="51">
        <f>IF($J9&lt;&gt;1,L9,IF(VLOOKUP($A9,'User Interface (Start Here!)'!$B$18:$N$28,X$2+1,FALSE)&lt;&gt;100%,L9-VLOOKUP($A9,'User Interface (Start Here!)'!$B$18:$N$28,X$2+1,FALSE)/'User Interface (Start Here!)'!$L$35*$K9*L9,L9-VLOOKUP($A9,'User Interface (Start Here!)'!$B$18:$N$28,X$2+1,FALSE)*$K9*L9))</f>
        <v>5.4639465755946621E-3</v>
      </c>
      <c r="Y9" s="52">
        <f>IF($J9&lt;&gt;1,M9,IF(VLOOKUP($A9,'User Interface (Start Here!)'!$B$18:$N$28,Y$2+1,FALSE)&lt;&gt;100%,M9-VLOOKUP($A9,'User Interface (Start Here!)'!$B$18:$N$28,Y$2+1,FALSE)/'User Interface (Start Here!)'!$L$35*$K9*M9,M9-VLOOKUP($A9,'User Interface (Start Here!)'!$B$18:$N$28,Y$2+1,FALSE)*$K9*M9))</f>
        <v>0</v>
      </c>
      <c r="Z9" s="52">
        <f>IF($J9&lt;&gt;1,N9,IF(VLOOKUP($A9,'User Interface (Start Here!)'!$B$18:$N$28,Z$2+1,FALSE)&lt;&gt;100%,N9-VLOOKUP($A9,'User Interface (Start Here!)'!$B$18:$N$28,Z$2+1,FALSE)/'User Interface (Start Here!)'!$L$35*$K9*N9,N9-VLOOKUP($A9,'User Interface (Start Here!)'!$B$18:$N$28,Z$2+1,FALSE)*$K9*N9))</f>
        <v>0</v>
      </c>
      <c r="AA9" s="52">
        <f>IF($J9&lt;&gt;1,O9,IF(VLOOKUP($A9,'User Interface (Start Here!)'!$B$18:$N$28,AA$2+1,FALSE)&lt;&gt;100%,O9-VLOOKUP($A9,'User Interface (Start Here!)'!$B$18:$N$28,AA$2+1,FALSE)/'User Interface (Start Here!)'!$L$35*$K9*O9,O9-VLOOKUP($A9,'User Interface (Start Here!)'!$B$18:$N$28,AA$2+1,FALSE)*$K9*O9))</f>
        <v>0</v>
      </c>
      <c r="AB9" s="52">
        <f>IF($J9&lt;&gt;1,P9,IF(VLOOKUP($A9,'User Interface (Start Here!)'!$B$18:$N$28,AB$2+1,FALSE)&lt;&gt;100%,P9-VLOOKUP($A9,'User Interface (Start Here!)'!$B$18:$N$28,AB$2+1,FALSE)/'User Interface (Start Here!)'!$L$35*$K9*P9,P9-VLOOKUP($A9,'User Interface (Start Here!)'!$B$18:$N$28,AB$2+1,FALSE)*$K9*P9))</f>
        <v>7.2852620946803337E-3</v>
      </c>
      <c r="AC9" s="52">
        <f>IF($J9&lt;&gt;1,Q9,IF(VLOOKUP($A9,'User Interface (Start Here!)'!$B$18:$N$28,AC$2+1,FALSE)&lt;&gt;100%,Q9-VLOOKUP($A9,'User Interface (Start Here!)'!$B$18:$N$28,AC$2+1,FALSE)/'User Interface (Start Here!)'!$L$35*$K9*Q9,Q9-VLOOKUP($A9,'User Interface (Start Here!)'!$B$18:$N$28,AC$2+1,FALSE)*$K9*Q9))</f>
        <v>1.1383222020263782E-2</v>
      </c>
      <c r="AD9" s="52">
        <f>IF($J9&lt;&gt;1,R9,IF(VLOOKUP($A9,'User Interface (Start Here!)'!$B$18:$N$28,AD$2+1,FALSE)&lt;&gt;100%,R9-VLOOKUP($A9,'User Interface (Start Here!)'!$B$18:$N$28,AD$2+1,FALSE)/'User Interface (Start Here!)'!$L$35*$K9*R9,R9-VLOOKUP($A9,'User Interface (Start Here!)'!$B$18:$N$28,AD$2+1,FALSE)*$K9*R9))</f>
        <v>1.0017235388590213E-2</v>
      </c>
      <c r="AE9" s="52">
        <f>IF($J9&lt;&gt;1,S9,IF(VLOOKUP($A9,'User Interface (Start Here!)'!$B$18:$N$28,AE$2+1,FALSE)&lt;&gt;100%,S9-VLOOKUP($A9,'User Interface (Start Here!)'!$B$18:$N$28,AE$2+1,FALSE)/'User Interface (Start Here!)'!$L$35*$K9*S9,S9-VLOOKUP($A9,'User Interface (Start Here!)'!$B$18:$N$28,AE$2+1,FALSE)*$K9*S9))</f>
        <v>0</v>
      </c>
      <c r="AF9" s="52">
        <f>IF($J9&lt;&gt;1,T9,IF(VLOOKUP($A9,'User Interface (Start Here!)'!$B$18:$N$28,AF$2+1,FALSE)&lt;&gt;100%,T9-VLOOKUP($A9,'User Interface (Start Here!)'!$B$18:$N$28,AF$2+1,FALSE)/'User Interface (Start Here!)'!$L$35*$K9*T9,T9-VLOOKUP($A9,'User Interface (Start Here!)'!$B$18:$N$28,AF$2+1,FALSE)*$K9*T9))</f>
        <v>0</v>
      </c>
      <c r="AG9" s="52">
        <f>IF($J9&lt;&gt;1,U9,IF(VLOOKUP($A9,'User Interface (Start Here!)'!$B$18:$N$28,AG$2+1,FALSE)&lt;&gt;100%,U9-VLOOKUP($A9,'User Interface (Start Here!)'!$B$18:$N$28,AG$2+1,FALSE)/'User Interface (Start Here!)'!$L$35*$K9*U9,U9-VLOOKUP($A9,'User Interface (Start Here!)'!$B$18:$N$28,AG$2+1,FALSE)*$K9*U9))</f>
        <v>1.2306185987677218E-3</v>
      </c>
      <c r="AH9" s="52">
        <f>IF($J9&lt;&gt;1,V9,IF(VLOOKUP($A9,'User Interface (Start Here!)'!$B$18:$N$28,AH$2+1,FALSE)&lt;&gt;100%,V9-VLOOKUP($A9,'User Interface (Start Here!)'!$B$18:$N$28,AH$2+1,FALSE)/'User Interface (Start Here!)'!$L$35*$K9*V9,V9-VLOOKUP($A9,'User Interface (Start Here!)'!$B$18:$N$28,AH$2+1,FALSE)*$K9*V9))</f>
        <v>0</v>
      </c>
      <c r="AI9" s="52">
        <f>IF($J9&lt;&gt;1,W9,IF(VLOOKUP($A9,'User Interface (Start Here!)'!$B$18:$N$28,AI$2+1,FALSE)&lt;&gt;100%,W9-VLOOKUP($A9,'User Interface (Start Here!)'!$B$18:$N$28,AI$2+1,FALSE)/'User Interface (Start Here!)'!$L$35*$K9*W9,W9-VLOOKUP($A9,'User Interface (Start Here!)'!$B$18:$N$28,AI$2+1,FALSE)*$K9*W9))</f>
        <v>0</v>
      </c>
      <c r="AJ9" s="42">
        <f t="shared" si="0"/>
        <v>3.5380284677896709E-2</v>
      </c>
      <c r="AL9" s="1">
        <v>2482</v>
      </c>
      <c r="AM9" s="1">
        <v>0.20499999999999999</v>
      </c>
      <c r="AN9" s="1">
        <v>3.9E-2</v>
      </c>
      <c r="AO9" s="1">
        <v>4.2179999947547911E-2</v>
      </c>
      <c r="AP9" s="1">
        <v>1.4566399993896486</v>
      </c>
      <c r="AQ9" s="1">
        <v>0.52502999976277354</v>
      </c>
      <c r="AR9" s="1">
        <v>0</v>
      </c>
      <c r="AS9" s="1">
        <v>1.1099999994039536E-2</v>
      </c>
      <c r="AT9" s="1">
        <v>5.2199999988079074E-2</v>
      </c>
      <c r="AU9" s="1">
        <v>0.54611999893188479</v>
      </c>
      <c r="AV9" s="1">
        <v>0.42068999910354621</v>
      </c>
      <c r="AW9" s="1">
        <v>0.23966999959945678</v>
      </c>
      <c r="AX9" s="1">
        <v>2.8000000000000001E-2</v>
      </c>
      <c r="AY9" s="1">
        <v>3.5656299967169756</v>
      </c>
      <c r="BA9" s="1">
        <v>2482</v>
      </c>
      <c r="BB9" s="31">
        <f t="shared" si="13"/>
        <v>5.7493346249821782E-2</v>
      </c>
      <c r="BC9" s="31">
        <f t="shared" si="1"/>
        <v>1.0937758554844145E-2</v>
      </c>
      <c r="BD9" s="31">
        <f t="shared" si="1"/>
        <v>1.1829606545374814E-2</v>
      </c>
      <c r="BE9" s="31">
        <f t="shared" si="1"/>
        <v>0.40852247729877689</v>
      </c>
      <c r="BF9" s="31">
        <f t="shared" si="1"/>
        <v>0.14724747106295116</v>
      </c>
      <c r="BG9" s="31">
        <f t="shared" si="1"/>
        <v>0</v>
      </c>
      <c r="BH9" s="31">
        <f t="shared" si="1"/>
        <v>3.1130543562455358E-3</v>
      </c>
      <c r="BI9" s="31">
        <f t="shared" si="1"/>
        <v>1.4639769139294261E-2</v>
      </c>
      <c r="BJ9" s="31">
        <f t="shared" si="1"/>
        <v>0.15316227410996661</v>
      </c>
      <c r="BK9" s="31">
        <f t="shared" si="1"/>
        <v>0.11798475991364585</v>
      </c>
      <c r="BL9" s="31">
        <f t="shared" si="1"/>
        <v>6.7216733037396184E-2</v>
      </c>
      <c r="BM9" s="31">
        <f t="shared" si="1"/>
        <v>7.8527497316829755E-3</v>
      </c>
      <c r="BO9" s="1">
        <v>2482</v>
      </c>
      <c r="BP9" s="1">
        <v>0.20499999999999999</v>
      </c>
      <c r="BQ9" s="1">
        <v>3.3000000000000002E-2</v>
      </c>
      <c r="BR9" s="1">
        <v>4.2179999947547911E-2</v>
      </c>
      <c r="BS9" s="1">
        <v>0.32</v>
      </c>
      <c r="BT9" s="1">
        <v>0.52502999976277354</v>
      </c>
      <c r="BU9" s="1">
        <v>0</v>
      </c>
      <c r="BV9" s="1">
        <v>3.3595641667237453E-3</v>
      </c>
      <c r="BW9" s="1">
        <v>5.2199999988079074E-2</v>
      </c>
      <c r="BX9" s="1">
        <v>0</v>
      </c>
      <c r="BY9" s="1">
        <v>7.0971475822791105E-2</v>
      </c>
      <c r="BZ9" s="1">
        <v>0.21866999959945679</v>
      </c>
      <c r="CA9" s="1">
        <v>2.8000000000000001E-2</v>
      </c>
      <c r="CB9" s="1">
        <v>1.4984110392873722</v>
      </c>
      <c r="CD9" s="1">
        <v>2482</v>
      </c>
      <c r="CE9" s="31">
        <f t="shared" si="14"/>
        <v>0.1368115921633197</v>
      </c>
      <c r="CF9" s="31">
        <f t="shared" si="2"/>
        <v>2.2023329470192931E-2</v>
      </c>
      <c r="CG9" s="31">
        <f t="shared" si="3"/>
        <v>2.8149819269623278E-2</v>
      </c>
      <c r="CH9" s="31">
        <f t="shared" si="4"/>
        <v>0.21355955849884053</v>
      </c>
      <c r="CI9" s="31">
        <f t="shared" si="5"/>
        <v>0.35039117171245082</v>
      </c>
      <c r="CJ9" s="31">
        <f t="shared" si="6"/>
        <v>0</v>
      </c>
      <c r="CK9" s="31">
        <f t="shared" si="7"/>
        <v>2.2420845006064006E-3</v>
      </c>
      <c r="CL9" s="31">
        <f t="shared" si="8"/>
        <v>3.4836902972167648E-2</v>
      </c>
      <c r="CM9" s="31">
        <f t="shared" si="9"/>
        <v>0</v>
      </c>
      <c r="CN9" s="31">
        <f t="shared" si="10"/>
        <v>4.7364490758520013E-2</v>
      </c>
      <c r="CO9" s="31">
        <f t="shared" si="11"/>
        <v>0.14593458928563008</v>
      </c>
      <c r="CP9" s="31">
        <f t="shared" si="12"/>
        <v>1.8686461368648547E-2</v>
      </c>
    </row>
    <row r="10" spans="1:94">
      <c r="A10" s="28">
        <v>2680</v>
      </c>
      <c r="B10" s="29">
        <v>7.7698708694094731E-3</v>
      </c>
      <c r="C10" s="29">
        <v>3.9483036983871712E-3</v>
      </c>
      <c r="D10" s="22">
        <v>1.847281721267271E-3</v>
      </c>
      <c r="E10" s="22">
        <v>9.3870662391032985E-4</v>
      </c>
      <c r="G10" s="29">
        <f>IF(ISBLANK('User Interface (Start Here!)'!$L$4),commercial!B10,commercial!C10)</f>
        <v>3.9483036983871712E-3</v>
      </c>
      <c r="H10" s="22">
        <f>IF(ISBLANK('User Interface (Start Here!)'!$L$4),commercial!D10,commercial!E10)</f>
        <v>9.3870662391032985E-4</v>
      </c>
      <c r="I10" s="40">
        <f>(G10+H10)*'User Interface (Start Here!)'!$L$10</f>
        <v>4.3983092900677506E-3</v>
      </c>
      <c r="J10" s="2">
        <f>IF(VLOOKUP(A10,'User Interface (Start Here!)'!$DO$2:$DP$73,2,FALSE)&lt;&gt;0,1,0)</f>
        <v>0</v>
      </c>
      <c r="K10" s="41">
        <f>IF(AND(J10=1,ISBLANK('User Interface (Start Here!)'!$L$14),ISBLANK('User Interface (Start Here!)'!$M$14),ISBLANK('User Interface (Start Here!)'!$N$14)),100%*'User Interface (Start Here!)'!$L$30,IF(J10=1,VLOOKUP(A10,'Bathymetric Closures'!$A$2:$C$57,3,FALSE)*'User Interface (Start Here!)'!$L$30,0%))</f>
        <v>0</v>
      </c>
      <c r="L10" s="50">
        <f>IF(ISBLANK('User Interface (Start Here!)'!#REF!),$I10*VLOOKUP($A10,$BA$5:$BM$60,L$2+1,FALSE),$I10*VLOOKUP($A10,$CD$6:$CP$60,L$2+1,FALSE))</f>
        <v>0</v>
      </c>
      <c r="M10" s="50">
        <f>IF(ISBLANK('User Interface (Start Here!)'!#REF!),$I10*VLOOKUP($A10,$BA$5:$BM$60,M$2+1,FALSE),$I10*VLOOKUP($A10,$CD$6:$CP$60,M$2+1,FALSE))</f>
        <v>0</v>
      </c>
      <c r="N10" s="50">
        <f>IF(ISBLANK('User Interface (Start Here!)'!#REF!),$I10*VLOOKUP($A10,$BA$5:$BM$60,N$2+1,FALSE),$I10*VLOOKUP($A10,$CD$6:$CP$60,N$2+1,FALSE))</f>
        <v>0</v>
      </c>
      <c r="O10" s="50">
        <f>IF(ISBLANK('User Interface (Start Here!)'!#REF!),$I10*VLOOKUP($A10,$BA$5:$BM$60,O$2+1,FALSE),$I10*VLOOKUP($A10,$CD$6:$CP$60,O$2+1,FALSE))</f>
        <v>0</v>
      </c>
      <c r="P10" s="50">
        <f>IF(ISBLANK('User Interface (Start Here!)'!#REF!),$I10*VLOOKUP($A10,$BA$5:$BM$60,P$2+1,FALSE),$I10*VLOOKUP($A10,$CD$6:$CP$60,P$2+1,FALSE))</f>
        <v>4.3983092900677506E-3</v>
      </c>
      <c r="Q10" s="50">
        <f>IF(ISBLANK('User Interface (Start Here!)'!#REF!),$I10*VLOOKUP($A10,$BA$5:$BM$60,Q$2+1,FALSE),$I10*VLOOKUP($A10,$CD$6:$CP$60,Q$2+1,FALSE))</f>
        <v>0</v>
      </c>
      <c r="R10" s="50">
        <f>IF(ISBLANK('User Interface (Start Here!)'!#REF!),$I10*VLOOKUP($A10,$BA$5:$BM$60,R$2+1,FALSE),$I10*VLOOKUP($A10,$CD$6:$CP$60,R$2+1,FALSE))</f>
        <v>0</v>
      </c>
      <c r="S10" s="50">
        <f>IF(ISBLANK('User Interface (Start Here!)'!#REF!),$I10*VLOOKUP($A10,$BA$5:$BM$60,S$2+1,FALSE),$I10*VLOOKUP($A10,$CD$6:$CP$60,S$2+1,FALSE))</f>
        <v>0</v>
      </c>
      <c r="T10" s="50">
        <f>IF(ISBLANK('User Interface (Start Here!)'!#REF!),$I10*VLOOKUP($A10,$BA$5:$BM$60,T$2+1,FALSE),$I10*VLOOKUP($A10,$CD$6:$CP$60,T$2+1,FALSE))</f>
        <v>0</v>
      </c>
      <c r="U10" s="50">
        <f>IF(ISBLANK('User Interface (Start Here!)'!#REF!),$I10*VLOOKUP($A10,$BA$5:$BM$60,U$2+1,FALSE),$I10*VLOOKUP($A10,$CD$6:$CP$60,U$2+1,FALSE))</f>
        <v>0</v>
      </c>
      <c r="V10" s="50">
        <f>IF(ISBLANK('User Interface (Start Here!)'!#REF!),$I10*VLOOKUP($A10,$BA$5:$BM$60,V$2+1,FALSE),$I10*VLOOKUP($A10,$CD$6:$CP$60,V$2+1,FALSE))</f>
        <v>0</v>
      </c>
      <c r="W10" s="50">
        <f>IF(ISBLANK('User Interface (Start Here!)'!#REF!),$I10*VLOOKUP($A10,$BA$5:$BM$60,W$2+1,FALSE),$I10*VLOOKUP($A10,$CD$6:$CP$60,W$2+1,FALSE))</f>
        <v>0</v>
      </c>
      <c r="X10" s="51">
        <f>IF($J10&lt;&gt;1,L10,IF(VLOOKUP($A10,'User Interface (Start Here!)'!$B$18:$N$28,X$2+1,FALSE)&lt;&gt;100%,L10-VLOOKUP($A10,'User Interface (Start Here!)'!$B$18:$N$28,X$2+1,FALSE)/'User Interface (Start Here!)'!$L$35*$K10*L10,L10-VLOOKUP($A10,'User Interface (Start Here!)'!$B$18:$N$28,X$2+1,FALSE)*$K10*L10))</f>
        <v>0</v>
      </c>
      <c r="Y10" s="52">
        <f>IF($J10&lt;&gt;1,M10,IF(VLOOKUP($A10,'User Interface (Start Here!)'!$B$18:$N$28,Y$2+1,FALSE)&lt;&gt;100%,M10-VLOOKUP($A10,'User Interface (Start Here!)'!$B$18:$N$28,Y$2+1,FALSE)/'User Interface (Start Here!)'!$L$35*$K10*M10,M10-VLOOKUP($A10,'User Interface (Start Here!)'!$B$18:$N$28,Y$2+1,FALSE)*$K10*M10))</f>
        <v>0</v>
      </c>
      <c r="Z10" s="52">
        <f>IF($J10&lt;&gt;1,N10,IF(VLOOKUP($A10,'User Interface (Start Here!)'!$B$18:$N$28,Z$2+1,FALSE)&lt;&gt;100%,N10-VLOOKUP($A10,'User Interface (Start Here!)'!$B$18:$N$28,Z$2+1,FALSE)/'User Interface (Start Here!)'!$L$35*$K10*N10,N10-VLOOKUP($A10,'User Interface (Start Here!)'!$B$18:$N$28,Z$2+1,FALSE)*$K10*N10))</f>
        <v>0</v>
      </c>
      <c r="AA10" s="52">
        <f>IF($J10&lt;&gt;1,O10,IF(VLOOKUP($A10,'User Interface (Start Here!)'!$B$18:$N$28,AA$2+1,FALSE)&lt;&gt;100%,O10-VLOOKUP($A10,'User Interface (Start Here!)'!$B$18:$N$28,AA$2+1,FALSE)/'User Interface (Start Here!)'!$L$35*$K10*O10,O10-VLOOKUP($A10,'User Interface (Start Here!)'!$B$18:$N$28,AA$2+1,FALSE)*$K10*O10))</f>
        <v>0</v>
      </c>
      <c r="AB10" s="52">
        <f>IF($J10&lt;&gt;1,P10,IF(VLOOKUP($A10,'User Interface (Start Here!)'!$B$18:$N$28,AB$2+1,FALSE)&lt;&gt;100%,P10-VLOOKUP($A10,'User Interface (Start Here!)'!$B$18:$N$28,AB$2+1,FALSE)/'User Interface (Start Here!)'!$L$35*$K10*P10,P10-VLOOKUP($A10,'User Interface (Start Here!)'!$B$18:$N$28,AB$2+1,FALSE)*$K10*P10))</f>
        <v>4.3983092900677506E-3</v>
      </c>
      <c r="AC10" s="52">
        <f>IF($J10&lt;&gt;1,Q10,IF(VLOOKUP($A10,'User Interface (Start Here!)'!$B$18:$N$28,AC$2+1,FALSE)&lt;&gt;100%,Q10-VLOOKUP($A10,'User Interface (Start Here!)'!$B$18:$N$28,AC$2+1,FALSE)/'User Interface (Start Here!)'!$L$35*$K10*Q10,Q10-VLOOKUP($A10,'User Interface (Start Here!)'!$B$18:$N$28,AC$2+1,FALSE)*$K10*Q10))</f>
        <v>0</v>
      </c>
      <c r="AD10" s="52">
        <f>IF($J10&lt;&gt;1,R10,IF(VLOOKUP($A10,'User Interface (Start Here!)'!$B$18:$N$28,AD$2+1,FALSE)&lt;&gt;100%,R10-VLOOKUP($A10,'User Interface (Start Here!)'!$B$18:$N$28,AD$2+1,FALSE)/'User Interface (Start Here!)'!$L$35*$K10*R10,R10-VLOOKUP($A10,'User Interface (Start Here!)'!$B$18:$N$28,AD$2+1,FALSE)*$K10*R10))</f>
        <v>0</v>
      </c>
      <c r="AE10" s="52">
        <f>IF($J10&lt;&gt;1,S10,IF(VLOOKUP($A10,'User Interface (Start Here!)'!$B$18:$N$28,AE$2+1,FALSE)&lt;&gt;100%,S10-VLOOKUP($A10,'User Interface (Start Here!)'!$B$18:$N$28,AE$2+1,FALSE)/'User Interface (Start Here!)'!$L$35*$K10*S10,S10-VLOOKUP($A10,'User Interface (Start Here!)'!$B$18:$N$28,AE$2+1,FALSE)*$K10*S10))</f>
        <v>0</v>
      </c>
      <c r="AF10" s="52">
        <f>IF($J10&lt;&gt;1,T10,IF(VLOOKUP($A10,'User Interface (Start Here!)'!$B$18:$N$28,AF$2+1,FALSE)&lt;&gt;100%,T10-VLOOKUP($A10,'User Interface (Start Here!)'!$B$18:$N$28,AF$2+1,FALSE)/'User Interface (Start Here!)'!$L$35*$K10*T10,T10-VLOOKUP($A10,'User Interface (Start Here!)'!$B$18:$N$28,AF$2+1,FALSE)*$K10*T10))</f>
        <v>0</v>
      </c>
      <c r="AG10" s="52">
        <f>IF($J10&lt;&gt;1,U10,IF(VLOOKUP($A10,'User Interface (Start Here!)'!$B$18:$N$28,AG$2+1,FALSE)&lt;&gt;100%,U10-VLOOKUP($A10,'User Interface (Start Here!)'!$B$18:$N$28,AG$2+1,FALSE)/'User Interface (Start Here!)'!$L$35*$K10*U10,U10-VLOOKUP($A10,'User Interface (Start Here!)'!$B$18:$N$28,AG$2+1,FALSE)*$K10*U10))</f>
        <v>0</v>
      </c>
      <c r="AH10" s="52">
        <f>IF($J10&lt;&gt;1,V10,IF(VLOOKUP($A10,'User Interface (Start Here!)'!$B$18:$N$28,AH$2+1,FALSE)&lt;&gt;100%,V10-VLOOKUP($A10,'User Interface (Start Here!)'!$B$18:$N$28,AH$2+1,FALSE)/'User Interface (Start Here!)'!$L$35*$K10*V10,V10-VLOOKUP($A10,'User Interface (Start Here!)'!$B$18:$N$28,AH$2+1,FALSE)*$K10*V10))</f>
        <v>0</v>
      </c>
      <c r="AI10" s="52">
        <f>IF($J10&lt;&gt;1,W10,IF(VLOOKUP($A10,'User Interface (Start Here!)'!$B$18:$N$28,AI$2+1,FALSE)&lt;&gt;100%,W10-VLOOKUP($A10,'User Interface (Start Here!)'!$B$18:$N$28,AI$2+1,FALSE)/'User Interface (Start Here!)'!$L$35*$K10*W10,W10-VLOOKUP($A10,'User Interface (Start Here!)'!$B$18:$N$28,AI$2+1,FALSE)*$K10*W10))</f>
        <v>0</v>
      </c>
      <c r="AJ10" s="42">
        <f t="shared" si="0"/>
        <v>4.3983092900677506E-3</v>
      </c>
      <c r="AL10" s="1">
        <v>2579</v>
      </c>
      <c r="AM10" s="1">
        <v>0</v>
      </c>
      <c r="AN10" s="1">
        <v>0</v>
      </c>
      <c r="AO10" s="1">
        <v>0</v>
      </c>
      <c r="AP10" s="1">
        <v>0.11</v>
      </c>
      <c r="AQ10" s="1">
        <v>0</v>
      </c>
      <c r="AR10" s="1">
        <v>0.1</v>
      </c>
      <c r="AS10" s="1">
        <v>0</v>
      </c>
      <c r="AT10" s="1">
        <v>0</v>
      </c>
      <c r="AU10" s="1">
        <v>0</v>
      </c>
      <c r="AV10" s="1">
        <v>0</v>
      </c>
      <c r="AW10" s="1">
        <v>0</v>
      </c>
      <c r="AX10" s="1">
        <v>0</v>
      </c>
      <c r="AY10" s="1">
        <v>0.21</v>
      </c>
      <c r="BA10" s="1">
        <v>2579</v>
      </c>
      <c r="BB10" s="31">
        <f t="shared" si="13"/>
        <v>0</v>
      </c>
      <c r="BC10" s="31">
        <f t="shared" si="1"/>
        <v>0</v>
      </c>
      <c r="BD10" s="31">
        <f t="shared" si="1"/>
        <v>0</v>
      </c>
      <c r="BE10" s="31">
        <f t="shared" si="1"/>
        <v>0.52380952380952384</v>
      </c>
      <c r="BF10" s="31">
        <f t="shared" si="1"/>
        <v>0</v>
      </c>
      <c r="BG10" s="31">
        <f t="shared" si="1"/>
        <v>0.47619047619047622</v>
      </c>
      <c r="BH10" s="31">
        <f t="shared" si="1"/>
        <v>0</v>
      </c>
      <c r="BI10" s="31">
        <f t="shared" si="1"/>
        <v>0</v>
      </c>
      <c r="BJ10" s="31">
        <f t="shared" si="1"/>
        <v>0</v>
      </c>
      <c r="BK10" s="31">
        <f t="shared" si="1"/>
        <v>0</v>
      </c>
      <c r="BL10" s="31">
        <f t="shared" si="1"/>
        <v>0</v>
      </c>
      <c r="BM10" s="31">
        <f t="shared" si="1"/>
        <v>0</v>
      </c>
      <c r="BO10" s="1">
        <v>2579</v>
      </c>
      <c r="BP10" s="1">
        <v>0</v>
      </c>
      <c r="BQ10" s="1">
        <v>0</v>
      </c>
      <c r="BR10" s="1">
        <v>0</v>
      </c>
      <c r="BS10" s="1">
        <v>0</v>
      </c>
      <c r="BT10" s="1">
        <v>0</v>
      </c>
      <c r="BU10" s="1">
        <v>0</v>
      </c>
      <c r="BV10" s="1">
        <v>0</v>
      </c>
      <c r="BW10" s="1">
        <v>0</v>
      </c>
      <c r="BX10" s="1">
        <v>0</v>
      </c>
      <c r="BY10" s="1">
        <v>0</v>
      </c>
      <c r="BZ10" s="1">
        <v>0</v>
      </c>
      <c r="CA10" s="1">
        <v>0</v>
      </c>
      <c r="CB10" s="1">
        <v>0</v>
      </c>
      <c r="CD10" s="1">
        <v>2579</v>
      </c>
      <c r="CE10" s="31">
        <f t="shared" si="14"/>
        <v>0</v>
      </c>
      <c r="CF10" s="31">
        <f t="shared" si="2"/>
        <v>0</v>
      </c>
      <c r="CG10" s="31">
        <f t="shared" si="3"/>
        <v>0</v>
      </c>
      <c r="CH10" s="31">
        <f t="shared" si="4"/>
        <v>0</v>
      </c>
      <c r="CI10" s="31">
        <f t="shared" si="5"/>
        <v>0</v>
      </c>
      <c r="CJ10" s="31">
        <f t="shared" si="6"/>
        <v>0</v>
      </c>
      <c r="CK10" s="31">
        <f t="shared" si="7"/>
        <v>0</v>
      </c>
      <c r="CL10" s="31">
        <f t="shared" si="8"/>
        <v>0</v>
      </c>
      <c r="CM10" s="31">
        <f t="shared" si="9"/>
        <v>0</v>
      </c>
      <c r="CN10" s="31">
        <f t="shared" si="10"/>
        <v>0</v>
      </c>
      <c r="CO10" s="31">
        <f t="shared" si="11"/>
        <v>0</v>
      </c>
      <c r="CP10" s="31">
        <f t="shared" si="12"/>
        <v>0</v>
      </c>
    </row>
    <row r="11" spans="1:94">
      <c r="A11" s="28">
        <v>2778</v>
      </c>
      <c r="B11" s="29">
        <v>0</v>
      </c>
      <c r="C11" s="29">
        <v>0</v>
      </c>
      <c r="D11" s="22">
        <v>0</v>
      </c>
      <c r="E11" s="22">
        <v>0</v>
      </c>
      <c r="G11" s="29">
        <f>IF(ISBLANK('User Interface (Start Here!)'!$L$4),commercial!B11,commercial!C11)</f>
        <v>0</v>
      </c>
      <c r="H11" s="22">
        <f>IF(ISBLANK('User Interface (Start Here!)'!$L$4),commercial!D11,commercial!E11)</f>
        <v>0</v>
      </c>
      <c r="I11" s="40">
        <f>(G11+H11)*'User Interface (Start Here!)'!$L$10</f>
        <v>0</v>
      </c>
      <c r="J11" s="2">
        <f>IF(VLOOKUP(A11,'User Interface (Start Here!)'!$DO$2:$DP$73,2,FALSE)&lt;&gt;0,1,0)</f>
        <v>0</v>
      </c>
      <c r="K11" s="41">
        <f>IF(AND(J11=1,ISBLANK('User Interface (Start Here!)'!$L$14),ISBLANK('User Interface (Start Here!)'!$M$14),ISBLANK('User Interface (Start Here!)'!$N$14)),100%*'User Interface (Start Here!)'!$L$30,IF(J11=1,VLOOKUP(A11,'Bathymetric Closures'!$A$2:$C$57,3,FALSE)*'User Interface (Start Here!)'!$L$30,0%))</f>
        <v>0</v>
      </c>
      <c r="L11" s="50">
        <f>IF(ISBLANK('User Interface (Start Here!)'!#REF!),$I11*VLOOKUP($A11,$BA$5:$BM$60,L$2+1,FALSE),$I11*VLOOKUP($A11,$CD$6:$CP$60,L$2+1,FALSE))</f>
        <v>0</v>
      </c>
      <c r="M11" s="50">
        <f>IF(ISBLANK('User Interface (Start Here!)'!#REF!),$I11*VLOOKUP($A11,$BA$5:$BM$60,M$2+1,FALSE),$I11*VLOOKUP($A11,$CD$6:$CP$60,M$2+1,FALSE))</f>
        <v>0</v>
      </c>
      <c r="N11" s="50">
        <f>IF(ISBLANK('User Interface (Start Here!)'!#REF!),$I11*VLOOKUP($A11,$BA$5:$BM$60,N$2+1,FALSE),$I11*VLOOKUP($A11,$CD$6:$CP$60,N$2+1,FALSE))</f>
        <v>0</v>
      </c>
      <c r="O11" s="50">
        <f>IF(ISBLANK('User Interface (Start Here!)'!#REF!),$I11*VLOOKUP($A11,$BA$5:$BM$60,O$2+1,FALSE),$I11*VLOOKUP($A11,$CD$6:$CP$60,O$2+1,FALSE))</f>
        <v>0</v>
      </c>
      <c r="P11" s="50">
        <f>IF(ISBLANK('User Interface (Start Here!)'!#REF!),$I11*VLOOKUP($A11,$BA$5:$BM$60,P$2+1,FALSE),$I11*VLOOKUP($A11,$CD$6:$CP$60,P$2+1,FALSE))</f>
        <v>0</v>
      </c>
      <c r="Q11" s="50">
        <f>IF(ISBLANK('User Interface (Start Here!)'!#REF!),$I11*VLOOKUP($A11,$BA$5:$BM$60,Q$2+1,FALSE),$I11*VLOOKUP($A11,$CD$6:$CP$60,Q$2+1,FALSE))</f>
        <v>0</v>
      </c>
      <c r="R11" s="50">
        <f>IF(ISBLANK('User Interface (Start Here!)'!#REF!),$I11*VLOOKUP($A11,$BA$5:$BM$60,R$2+1,FALSE),$I11*VLOOKUP($A11,$CD$6:$CP$60,R$2+1,FALSE))</f>
        <v>0</v>
      </c>
      <c r="S11" s="50">
        <f>IF(ISBLANK('User Interface (Start Here!)'!#REF!),$I11*VLOOKUP($A11,$BA$5:$BM$60,S$2+1,FALSE),$I11*VLOOKUP($A11,$CD$6:$CP$60,S$2+1,FALSE))</f>
        <v>0</v>
      </c>
      <c r="T11" s="50">
        <f>IF(ISBLANK('User Interface (Start Here!)'!#REF!),$I11*VLOOKUP($A11,$BA$5:$BM$60,T$2+1,FALSE),$I11*VLOOKUP($A11,$CD$6:$CP$60,T$2+1,FALSE))</f>
        <v>0</v>
      </c>
      <c r="U11" s="50">
        <f>IF(ISBLANK('User Interface (Start Here!)'!#REF!),$I11*VLOOKUP($A11,$BA$5:$BM$60,U$2+1,FALSE),$I11*VLOOKUP($A11,$CD$6:$CP$60,U$2+1,FALSE))</f>
        <v>0</v>
      </c>
      <c r="V11" s="50">
        <f>IF(ISBLANK('User Interface (Start Here!)'!#REF!),$I11*VLOOKUP($A11,$BA$5:$BM$60,V$2+1,FALSE),$I11*VLOOKUP($A11,$CD$6:$CP$60,V$2+1,FALSE))</f>
        <v>0</v>
      </c>
      <c r="W11" s="50">
        <f>IF(ISBLANK('User Interface (Start Here!)'!#REF!),$I11*VLOOKUP($A11,$BA$5:$BM$60,W$2+1,FALSE),$I11*VLOOKUP($A11,$CD$6:$CP$60,W$2+1,FALSE))</f>
        <v>0</v>
      </c>
      <c r="X11" s="51">
        <f>IF($J11&lt;&gt;1,L11,IF(VLOOKUP($A11,'User Interface (Start Here!)'!$B$18:$N$28,X$2+1,FALSE)&lt;&gt;100%,L11-VLOOKUP($A11,'User Interface (Start Here!)'!$B$18:$N$28,X$2+1,FALSE)/'User Interface (Start Here!)'!$L$35*$K11*L11,L11-VLOOKUP($A11,'User Interface (Start Here!)'!$B$18:$N$28,X$2+1,FALSE)*$K11*L11))</f>
        <v>0</v>
      </c>
      <c r="Y11" s="52">
        <f>IF($J11&lt;&gt;1,M11,IF(VLOOKUP($A11,'User Interface (Start Here!)'!$B$18:$N$28,Y$2+1,FALSE)&lt;&gt;100%,M11-VLOOKUP($A11,'User Interface (Start Here!)'!$B$18:$N$28,Y$2+1,FALSE)/'User Interface (Start Here!)'!$L$35*$K11*M11,M11-VLOOKUP($A11,'User Interface (Start Here!)'!$B$18:$N$28,Y$2+1,FALSE)*$K11*M11))</f>
        <v>0</v>
      </c>
      <c r="Z11" s="52">
        <f>IF($J11&lt;&gt;1,N11,IF(VLOOKUP($A11,'User Interface (Start Here!)'!$B$18:$N$28,Z$2+1,FALSE)&lt;&gt;100%,N11-VLOOKUP($A11,'User Interface (Start Here!)'!$B$18:$N$28,Z$2+1,FALSE)/'User Interface (Start Here!)'!$L$35*$K11*N11,N11-VLOOKUP($A11,'User Interface (Start Here!)'!$B$18:$N$28,Z$2+1,FALSE)*$K11*N11))</f>
        <v>0</v>
      </c>
      <c r="AA11" s="52">
        <f>IF($J11&lt;&gt;1,O11,IF(VLOOKUP($A11,'User Interface (Start Here!)'!$B$18:$N$28,AA$2+1,FALSE)&lt;&gt;100%,O11-VLOOKUP($A11,'User Interface (Start Here!)'!$B$18:$N$28,AA$2+1,FALSE)/'User Interface (Start Here!)'!$L$35*$K11*O11,O11-VLOOKUP($A11,'User Interface (Start Here!)'!$B$18:$N$28,AA$2+1,FALSE)*$K11*O11))</f>
        <v>0</v>
      </c>
      <c r="AB11" s="52">
        <f>IF($J11&lt;&gt;1,P11,IF(VLOOKUP($A11,'User Interface (Start Here!)'!$B$18:$N$28,AB$2+1,FALSE)&lt;&gt;100%,P11-VLOOKUP($A11,'User Interface (Start Here!)'!$B$18:$N$28,AB$2+1,FALSE)/'User Interface (Start Here!)'!$L$35*$K11*P11,P11-VLOOKUP($A11,'User Interface (Start Here!)'!$B$18:$N$28,AB$2+1,FALSE)*$K11*P11))</f>
        <v>0</v>
      </c>
      <c r="AC11" s="52">
        <f>IF($J11&lt;&gt;1,Q11,IF(VLOOKUP($A11,'User Interface (Start Here!)'!$B$18:$N$28,AC$2+1,FALSE)&lt;&gt;100%,Q11-VLOOKUP($A11,'User Interface (Start Here!)'!$B$18:$N$28,AC$2+1,FALSE)/'User Interface (Start Here!)'!$L$35*$K11*Q11,Q11-VLOOKUP($A11,'User Interface (Start Here!)'!$B$18:$N$28,AC$2+1,FALSE)*$K11*Q11))</f>
        <v>0</v>
      </c>
      <c r="AD11" s="52">
        <f>IF($J11&lt;&gt;1,R11,IF(VLOOKUP($A11,'User Interface (Start Here!)'!$B$18:$N$28,AD$2+1,FALSE)&lt;&gt;100%,R11-VLOOKUP($A11,'User Interface (Start Here!)'!$B$18:$N$28,AD$2+1,FALSE)/'User Interface (Start Here!)'!$L$35*$K11*R11,R11-VLOOKUP($A11,'User Interface (Start Here!)'!$B$18:$N$28,AD$2+1,FALSE)*$K11*R11))</f>
        <v>0</v>
      </c>
      <c r="AE11" s="52">
        <f>IF($J11&lt;&gt;1,S11,IF(VLOOKUP($A11,'User Interface (Start Here!)'!$B$18:$N$28,AE$2+1,FALSE)&lt;&gt;100%,S11-VLOOKUP($A11,'User Interface (Start Here!)'!$B$18:$N$28,AE$2+1,FALSE)/'User Interface (Start Here!)'!$L$35*$K11*S11,S11-VLOOKUP($A11,'User Interface (Start Here!)'!$B$18:$N$28,AE$2+1,FALSE)*$K11*S11))</f>
        <v>0</v>
      </c>
      <c r="AF11" s="52">
        <f>IF($J11&lt;&gt;1,T11,IF(VLOOKUP($A11,'User Interface (Start Here!)'!$B$18:$N$28,AF$2+1,FALSE)&lt;&gt;100%,T11-VLOOKUP($A11,'User Interface (Start Here!)'!$B$18:$N$28,AF$2+1,FALSE)/'User Interface (Start Here!)'!$L$35*$K11*T11,T11-VLOOKUP($A11,'User Interface (Start Here!)'!$B$18:$N$28,AF$2+1,FALSE)*$K11*T11))</f>
        <v>0</v>
      </c>
      <c r="AG11" s="52">
        <f>IF($J11&lt;&gt;1,U11,IF(VLOOKUP($A11,'User Interface (Start Here!)'!$B$18:$N$28,AG$2+1,FALSE)&lt;&gt;100%,U11-VLOOKUP($A11,'User Interface (Start Here!)'!$B$18:$N$28,AG$2+1,FALSE)/'User Interface (Start Here!)'!$L$35*$K11*U11,U11-VLOOKUP($A11,'User Interface (Start Here!)'!$B$18:$N$28,AG$2+1,FALSE)*$K11*U11))</f>
        <v>0</v>
      </c>
      <c r="AH11" s="52">
        <f>IF($J11&lt;&gt;1,V11,IF(VLOOKUP($A11,'User Interface (Start Here!)'!$B$18:$N$28,AH$2+1,FALSE)&lt;&gt;100%,V11-VLOOKUP($A11,'User Interface (Start Here!)'!$B$18:$N$28,AH$2+1,FALSE)/'User Interface (Start Here!)'!$L$35*$K11*V11,V11-VLOOKUP($A11,'User Interface (Start Here!)'!$B$18:$N$28,AH$2+1,FALSE)*$K11*V11))</f>
        <v>0</v>
      </c>
      <c r="AI11" s="52">
        <f>IF($J11&lt;&gt;1,W11,IF(VLOOKUP($A11,'User Interface (Start Here!)'!$B$18:$N$28,AI$2+1,FALSE)&lt;&gt;100%,W11-VLOOKUP($A11,'User Interface (Start Here!)'!$B$18:$N$28,AI$2+1,FALSE)/'User Interface (Start Here!)'!$L$35*$K11*W11,W11-VLOOKUP($A11,'User Interface (Start Here!)'!$B$18:$N$28,AI$2+1,FALSE)*$K11*W11))</f>
        <v>0</v>
      </c>
      <c r="AJ11" s="42">
        <f t="shared" si="0"/>
        <v>0</v>
      </c>
      <c r="AL11" s="1">
        <v>2580</v>
      </c>
      <c r="AM11" s="1">
        <v>8.9999999999999993E-3</v>
      </c>
      <c r="AN11" s="1">
        <v>3.6999999999999998E-2</v>
      </c>
      <c r="AO11" s="1">
        <v>0</v>
      </c>
      <c r="AP11" s="1">
        <v>8.0000000000000002E-3</v>
      </c>
      <c r="AQ11" s="1">
        <v>0.38589999961853028</v>
      </c>
      <c r="AR11" s="1">
        <v>0</v>
      </c>
      <c r="AS11" s="1">
        <v>0</v>
      </c>
      <c r="AT11" s="1">
        <v>0.06</v>
      </c>
      <c r="AU11" s="1">
        <v>6.0000000000000001E-3</v>
      </c>
      <c r="AV11" s="1">
        <v>0</v>
      </c>
      <c r="AW11" s="1">
        <v>0.15</v>
      </c>
      <c r="AX11" s="1">
        <v>8.9999999999999993E-3</v>
      </c>
      <c r="AY11" s="1">
        <v>0.6648999996185303</v>
      </c>
      <c r="BA11" s="1">
        <v>2580</v>
      </c>
      <c r="BB11" s="31">
        <f t="shared" si="13"/>
        <v>1.353587006341333E-2</v>
      </c>
      <c r="BC11" s="31">
        <f t="shared" si="1"/>
        <v>5.5647465816254807E-2</v>
      </c>
      <c r="BD11" s="31">
        <f t="shared" si="1"/>
        <v>0</v>
      </c>
      <c r="BE11" s="31">
        <f t="shared" si="1"/>
        <v>1.203188450081185E-2</v>
      </c>
      <c r="BF11" s="31">
        <f t="shared" si="1"/>
        <v>0.58038802803418665</v>
      </c>
      <c r="BG11" s="31">
        <f t="shared" si="1"/>
        <v>0</v>
      </c>
      <c r="BH11" s="31">
        <f t="shared" si="1"/>
        <v>0</v>
      </c>
      <c r="BI11" s="31">
        <f t="shared" si="1"/>
        <v>9.0239133756088871E-2</v>
      </c>
      <c r="BJ11" s="31">
        <f t="shared" si="1"/>
        <v>9.0239133756088875E-3</v>
      </c>
      <c r="BK11" s="31">
        <f t="shared" si="1"/>
        <v>0</v>
      </c>
      <c r="BL11" s="31">
        <f t="shared" si="1"/>
        <v>0.22559783439022218</v>
      </c>
      <c r="BM11" s="31">
        <f t="shared" si="1"/>
        <v>1.353587006341333E-2</v>
      </c>
      <c r="BO11" s="1">
        <v>2580</v>
      </c>
      <c r="BP11" s="1">
        <v>0</v>
      </c>
      <c r="BQ11" s="1">
        <v>3.6999999999999998E-2</v>
      </c>
      <c r="BR11" s="1">
        <v>0</v>
      </c>
      <c r="BS11" s="1">
        <v>8.0000000000000002E-3</v>
      </c>
      <c r="BT11" s="1">
        <v>0</v>
      </c>
      <c r="BU11" s="1">
        <v>0</v>
      </c>
      <c r="BV11" s="1">
        <v>0</v>
      </c>
      <c r="BW11" s="1">
        <v>0</v>
      </c>
      <c r="BX11" s="1">
        <v>6.0000000000000001E-3</v>
      </c>
      <c r="BY11" s="1">
        <v>0</v>
      </c>
      <c r="BZ11" s="1">
        <v>0</v>
      </c>
      <c r="CA11" s="1">
        <v>8.9999999999999993E-3</v>
      </c>
      <c r="CB11" s="1">
        <v>0.06</v>
      </c>
      <c r="CD11" s="1">
        <v>2580</v>
      </c>
      <c r="CE11" s="31">
        <f t="shared" si="14"/>
        <v>0</v>
      </c>
      <c r="CF11" s="31">
        <f t="shared" si="2"/>
        <v>0.6166666666666667</v>
      </c>
      <c r="CG11" s="31">
        <f t="shared" si="3"/>
        <v>0</v>
      </c>
      <c r="CH11" s="31">
        <f t="shared" si="4"/>
        <v>0.13333333333333333</v>
      </c>
      <c r="CI11" s="31">
        <f t="shared" si="5"/>
        <v>0</v>
      </c>
      <c r="CJ11" s="31">
        <f t="shared" si="6"/>
        <v>0</v>
      </c>
      <c r="CK11" s="31">
        <f t="shared" si="7"/>
        <v>0</v>
      </c>
      <c r="CL11" s="31">
        <f t="shared" si="8"/>
        <v>0</v>
      </c>
      <c r="CM11" s="31">
        <f t="shared" si="9"/>
        <v>0.1</v>
      </c>
      <c r="CN11" s="31">
        <f t="shared" si="10"/>
        <v>0</v>
      </c>
      <c r="CO11" s="31">
        <f t="shared" si="11"/>
        <v>0</v>
      </c>
      <c r="CP11" s="31">
        <f t="shared" si="12"/>
        <v>0.15</v>
      </c>
    </row>
    <row r="12" spans="1:94">
      <c r="A12" s="28">
        <v>2779</v>
      </c>
      <c r="B12" s="29">
        <v>0.14849566254684729</v>
      </c>
      <c r="C12" s="29">
        <v>2.6473421358516439E-2</v>
      </c>
      <c r="D12" s="22">
        <v>3.5304746722401102E-2</v>
      </c>
      <c r="E12" s="22">
        <v>6.2940386265017533E-3</v>
      </c>
      <c r="G12" s="29">
        <f>IF(ISBLANK('User Interface (Start Here!)'!$L$4),commercial!B12,commercial!C12)</f>
        <v>2.6473421358516439E-2</v>
      </c>
      <c r="H12" s="22">
        <f>IF(ISBLANK('User Interface (Start Here!)'!$L$4),commercial!D12,commercial!E12)</f>
        <v>6.2940386265017533E-3</v>
      </c>
      <c r="I12" s="40">
        <f>(G12+H12)*'User Interface (Start Here!)'!$L$10</f>
        <v>2.9490713986516374E-2</v>
      </c>
      <c r="J12" s="2">
        <f>IF(VLOOKUP(A12,'User Interface (Start Here!)'!$DO$2:$DP$73,2,FALSE)&lt;&gt;0,1,0)</f>
        <v>0</v>
      </c>
      <c r="K12" s="41">
        <f>IF(AND(J12=1,ISBLANK('User Interface (Start Here!)'!$L$14),ISBLANK('User Interface (Start Here!)'!$M$14),ISBLANK('User Interface (Start Here!)'!$N$14)),100%*'User Interface (Start Here!)'!$L$30,IF(J12=1,VLOOKUP(A12,'Bathymetric Closures'!$A$2:$C$57,3,FALSE)*'User Interface (Start Here!)'!$L$30,0%))</f>
        <v>0</v>
      </c>
      <c r="L12" s="50">
        <f>IF(ISBLANK('User Interface (Start Here!)'!$L13),$I12*VLOOKUP($A12,$BA$5:$BM$60,L$2+1,FALSE),$I12*VLOOKUP($A12,$CD$6:$CP$60,L$2+1,FALSE))</f>
        <v>0</v>
      </c>
      <c r="M12" s="50">
        <f>IF(ISBLANK('User Interface (Start Here!)'!$L13),$I12*VLOOKUP($A12,$BA$5:$BM$60,M$2+1,FALSE),$I12*VLOOKUP($A12,$CD$6:$CP$60,M$2+1,FALSE))</f>
        <v>1.5253817586293791E-3</v>
      </c>
      <c r="N12" s="50">
        <f>IF(ISBLANK('User Interface (Start Here!)'!$L13),$I12*VLOOKUP($A12,$BA$5:$BM$60,N$2+1,FALSE),$I12*VLOOKUP($A12,$CD$6:$CP$60,N$2+1,FALSE))</f>
        <v>0</v>
      </c>
      <c r="O12" s="50">
        <f>IF(ISBLANK('User Interface (Start Here!)'!$L13),$I12*VLOOKUP($A12,$BA$5:$BM$60,O$2+1,FALSE),$I12*VLOOKUP($A12,$CD$6:$CP$60,O$2+1,FALSE))</f>
        <v>0</v>
      </c>
      <c r="P12" s="50">
        <f>IF(ISBLANK('User Interface (Start Here!)'!$L13),$I12*VLOOKUP($A12,$BA$5:$BM$60,P$2+1,FALSE),$I12*VLOOKUP($A12,$CD$6:$CP$60,P$2+1,FALSE))</f>
        <v>3.0507635172587581E-3</v>
      </c>
      <c r="Q12" s="50">
        <f>IF(ISBLANK('User Interface (Start Here!)'!$L13),$I12*VLOOKUP($A12,$BA$5:$BM$60,Q$2+1,FALSE),$I12*VLOOKUP($A12,$CD$6:$CP$60,Q$2+1,FALSE))</f>
        <v>1.5253817572642167E-2</v>
      </c>
      <c r="R12" s="50">
        <f>IF(ISBLANK('User Interface (Start Here!)'!$L13),$I12*VLOOKUP($A12,$BA$5:$BM$60,R$2+1,FALSE),$I12*VLOOKUP($A12,$CD$6:$CP$60,R$2+1,FALSE))</f>
        <v>1.0169211724195863E-3</v>
      </c>
      <c r="S12" s="50">
        <f>IF(ISBLANK('User Interface (Start Here!)'!$L13),$I12*VLOOKUP($A12,$BA$5:$BM$60,S$2+1,FALSE),$I12*VLOOKUP($A12,$CD$6:$CP$60,S$2+1,FALSE))</f>
        <v>0</v>
      </c>
      <c r="T12" s="50">
        <f>IF(ISBLANK('User Interface (Start Here!)'!$L13),$I12*VLOOKUP($A12,$BA$5:$BM$60,T$2+1,FALSE),$I12*VLOOKUP($A12,$CD$6:$CP$60,T$2+1,FALSE))</f>
        <v>6.1015270345175171E-3</v>
      </c>
      <c r="U12" s="50">
        <f>IF(ISBLANK('User Interface (Start Here!)'!$L13),$I12*VLOOKUP($A12,$BA$5:$BM$60,U$2+1,FALSE),$I12*VLOOKUP($A12,$CD$6:$CP$60,U$2+1,FALSE))</f>
        <v>2.5423029310489655E-3</v>
      </c>
      <c r="V12" s="50">
        <f>IF(ISBLANK('User Interface (Start Here!)'!$L13),$I12*VLOOKUP($A12,$BA$5:$BM$60,V$2+1,FALSE),$I12*VLOOKUP($A12,$CD$6:$CP$60,V$2+1,FALSE))</f>
        <v>0</v>
      </c>
      <c r="W12" s="50">
        <f>IF(ISBLANK('User Interface (Start Here!)'!$L13),$I12*VLOOKUP($A12,$BA$5:$BM$60,W$2+1,FALSE),$I12*VLOOKUP($A12,$CD$6:$CP$60,W$2+1,FALSE))</f>
        <v>0</v>
      </c>
      <c r="X12" s="51">
        <f>IF($J12&lt;&gt;1,L12,IF(VLOOKUP($A12,'User Interface (Start Here!)'!$B$18:$N$28,X$2+1,FALSE)&lt;&gt;100%,L12-VLOOKUP($A12,'User Interface (Start Here!)'!$B$18:$N$28,X$2+1,FALSE)/'User Interface (Start Here!)'!$L$35*$K12*L12,L12-VLOOKUP($A12,'User Interface (Start Here!)'!$B$18:$N$28,X$2+1,FALSE)*$K12*L12))</f>
        <v>0</v>
      </c>
      <c r="Y12" s="52">
        <f>IF($J12&lt;&gt;1,M12,IF(VLOOKUP($A12,'User Interface (Start Here!)'!$B$18:$N$28,Y$2+1,FALSE)&lt;&gt;100%,M12-VLOOKUP($A12,'User Interface (Start Here!)'!$B$18:$N$28,Y$2+1,FALSE)/'User Interface (Start Here!)'!$L$35*$K12*M12,M12-VLOOKUP($A12,'User Interface (Start Here!)'!$B$18:$N$28,Y$2+1,FALSE)*$K12*M12))</f>
        <v>1.5253817586293791E-3</v>
      </c>
      <c r="Z12" s="52">
        <f>IF($J12&lt;&gt;1,N12,IF(VLOOKUP($A12,'User Interface (Start Here!)'!$B$18:$N$28,Z$2+1,FALSE)&lt;&gt;100%,N12-VLOOKUP($A12,'User Interface (Start Here!)'!$B$18:$N$28,Z$2+1,FALSE)/'User Interface (Start Here!)'!$L$35*$K12*N12,N12-VLOOKUP($A12,'User Interface (Start Here!)'!$B$18:$N$28,Z$2+1,FALSE)*$K12*N12))</f>
        <v>0</v>
      </c>
      <c r="AA12" s="52">
        <f>IF($J12&lt;&gt;1,O12,IF(VLOOKUP($A12,'User Interface (Start Here!)'!$B$18:$N$28,AA$2+1,FALSE)&lt;&gt;100%,O12-VLOOKUP($A12,'User Interface (Start Here!)'!$B$18:$N$28,AA$2+1,FALSE)/'User Interface (Start Here!)'!$L$35*$K12*O12,O12-VLOOKUP($A12,'User Interface (Start Here!)'!$B$18:$N$28,AA$2+1,FALSE)*$K12*O12))</f>
        <v>0</v>
      </c>
      <c r="AB12" s="52">
        <f>IF($J12&lt;&gt;1,P12,IF(VLOOKUP($A12,'User Interface (Start Here!)'!$B$18:$N$28,AB$2+1,FALSE)&lt;&gt;100%,P12-VLOOKUP($A12,'User Interface (Start Here!)'!$B$18:$N$28,AB$2+1,FALSE)/'User Interface (Start Here!)'!$L$35*$K12*P12,P12-VLOOKUP($A12,'User Interface (Start Here!)'!$B$18:$N$28,AB$2+1,FALSE)*$K12*P12))</f>
        <v>3.0507635172587581E-3</v>
      </c>
      <c r="AC12" s="52">
        <f>IF($J12&lt;&gt;1,Q12,IF(VLOOKUP($A12,'User Interface (Start Here!)'!$B$18:$N$28,AC$2+1,FALSE)&lt;&gt;100%,Q12-VLOOKUP($A12,'User Interface (Start Here!)'!$B$18:$N$28,AC$2+1,FALSE)/'User Interface (Start Here!)'!$L$35*$K12*Q12,Q12-VLOOKUP($A12,'User Interface (Start Here!)'!$B$18:$N$28,AC$2+1,FALSE)*$K12*Q12))</f>
        <v>1.5253817572642167E-2</v>
      </c>
      <c r="AD12" s="52">
        <f>IF($J12&lt;&gt;1,R12,IF(VLOOKUP($A12,'User Interface (Start Here!)'!$B$18:$N$28,AD$2+1,FALSE)&lt;&gt;100%,R12-VLOOKUP($A12,'User Interface (Start Here!)'!$B$18:$N$28,AD$2+1,FALSE)/'User Interface (Start Here!)'!$L$35*$K12*R12,R12-VLOOKUP($A12,'User Interface (Start Here!)'!$B$18:$N$28,AD$2+1,FALSE)*$K12*R12))</f>
        <v>1.0169211724195863E-3</v>
      </c>
      <c r="AE12" s="52">
        <f>IF($J12&lt;&gt;1,S12,IF(VLOOKUP($A12,'User Interface (Start Here!)'!$B$18:$N$28,AE$2+1,FALSE)&lt;&gt;100%,S12-VLOOKUP($A12,'User Interface (Start Here!)'!$B$18:$N$28,AE$2+1,FALSE)/'User Interface (Start Here!)'!$L$35*$K12*S12,S12-VLOOKUP($A12,'User Interface (Start Here!)'!$B$18:$N$28,AE$2+1,FALSE)*$K12*S12))</f>
        <v>0</v>
      </c>
      <c r="AF12" s="52">
        <f>IF($J12&lt;&gt;1,T12,IF(VLOOKUP($A12,'User Interface (Start Here!)'!$B$18:$N$28,AF$2+1,FALSE)&lt;&gt;100%,T12-VLOOKUP($A12,'User Interface (Start Here!)'!$B$18:$N$28,AF$2+1,FALSE)/'User Interface (Start Here!)'!$L$35*$K12*T12,T12-VLOOKUP($A12,'User Interface (Start Here!)'!$B$18:$N$28,AF$2+1,FALSE)*$K12*T12))</f>
        <v>6.1015270345175171E-3</v>
      </c>
      <c r="AG12" s="52">
        <f>IF($J12&lt;&gt;1,U12,IF(VLOOKUP($A12,'User Interface (Start Here!)'!$B$18:$N$28,AG$2+1,FALSE)&lt;&gt;100%,U12-VLOOKUP($A12,'User Interface (Start Here!)'!$B$18:$N$28,AG$2+1,FALSE)/'User Interface (Start Here!)'!$L$35*$K12*U12,U12-VLOOKUP($A12,'User Interface (Start Here!)'!$B$18:$N$28,AG$2+1,FALSE)*$K12*U12))</f>
        <v>2.5423029310489655E-3</v>
      </c>
      <c r="AH12" s="52">
        <f>IF($J12&lt;&gt;1,V12,IF(VLOOKUP($A12,'User Interface (Start Here!)'!$B$18:$N$28,AH$2+1,FALSE)&lt;&gt;100%,V12-VLOOKUP($A12,'User Interface (Start Here!)'!$B$18:$N$28,AH$2+1,FALSE)/'User Interface (Start Here!)'!$L$35*$K12*V12,V12-VLOOKUP($A12,'User Interface (Start Here!)'!$B$18:$N$28,AH$2+1,FALSE)*$K12*V12))</f>
        <v>0</v>
      </c>
      <c r="AI12" s="52">
        <f>IF($J12&lt;&gt;1,W12,IF(VLOOKUP($A12,'User Interface (Start Here!)'!$B$18:$N$28,AI$2+1,FALSE)&lt;&gt;100%,W12-VLOOKUP($A12,'User Interface (Start Here!)'!$B$18:$N$28,AI$2+1,FALSE)/'User Interface (Start Here!)'!$L$35*$K12*W12,W12-VLOOKUP($A12,'User Interface (Start Here!)'!$B$18:$N$28,AI$2+1,FALSE)*$K12*W12))</f>
        <v>0</v>
      </c>
      <c r="AJ12" s="42">
        <f t="shared" si="0"/>
        <v>2.9490713986516374E-2</v>
      </c>
      <c r="AL12" s="1">
        <v>2674</v>
      </c>
      <c r="AP12" s="1">
        <v>0</v>
      </c>
      <c r="AS12" s="1">
        <v>0</v>
      </c>
      <c r="AY12" s="1">
        <v>0</v>
      </c>
      <c r="BA12" s="1">
        <v>2674</v>
      </c>
      <c r="BB12" s="31">
        <f t="shared" si="13"/>
        <v>0</v>
      </c>
      <c r="BC12" s="31">
        <f t="shared" si="1"/>
        <v>0</v>
      </c>
      <c r="BD12" s="31">
        <f t="shared" si="1"/>
        <v>0</v>
      </c>
      <c r="BE12" s="31">
        <f t="shared" si="1"/>
        <v>0</v>
      </c>
      <c r="BF12" s="31">
        <f t="shared" si="1"/>
        <v>0</v>
      </c>
      <c r="BG12" s="31">
        <f t="shared" si="1"/>
        <v>0</v>
      </c>
      <c r="BH12" s="31">
        <f t="shared" si="1"/>
        <v>0</v>
      </c>
      <c r="BI12" s="31">
        <f t="shared" si="1"/>
        <v>0</v>
      </c>
      <c r="BJ12" s="31">
        <f t="shared" si="1"/>
        <v>0</v>
      </c>
      <c r="BK12" s="31">
        <f t="shared" si="1"/>
        <v>0</v>
      </c>
      <c r="BL12" s="31">
        <f t="shared" si="1"/>
        <v>0</v>
      </c>
      <c r="BM12" s="31">
        <f t="shared" si="1"/>
        <v>0</v>
      </c>
      <c r="BO12" s="1">
        <v>2674</v>
      </c>
      <c r="BS12" s="1">
        <v>0</v>
      </c>
      <c r="BV12" s="1">
        <v>0</v>
      </c>
      <c r="CB12" s="1">
        <v>0</v>
      </c>
      <c r="CD12" s="1">
        <v>2674</v>
      </c>
      <c r="CE12" s="31">
        <f t="shared" si="14"/>
        <v>0</v>
      </c>
      <c r="CF12" s="31">
        <f t="shared" si="2"/>
        <v>0</v>
      </c>
      <c r="CG12" s="31">
        <f t="shared" si="3"/>
        <v>0</v>
      </c>
      <c r="CH12" s="31">
        <f t="shared" si="4"/>
        <v>0</v>
      </c>
      <c r="CI12" s="31">
        <f t="shared" si="5"/>
        <v>0</v>
      </c>
      <c r="CJ12" s="31">
        <f t="shared" si="6"/>
        <v>0</v>
      </c>
      <c r="CK12" s="31">
        <f t="shared" si="7"/>
        <v>0</v>
      </c>
      <c r="CL12" s="31">
        <f t="shared" si="8"/>
        <v>0</v>
      </c>
      <c r="CM12" s="31">
        <f t="shared" si="9"/>
        <v>0</v>
      </c>
      <c r="CN12" s="31">
        <f t="shared" si="10"/>
        <v>0</v>
      </c>
      <c r="CO12" s="31">
        <f t="shared" si="11"/>
        <v>0</v>
      </c>
      <c r="CP12" s="31">
        <f t="shared" si="12"/>
        <v>0</v>
      </c>
    </row>
    <row r="13" spans="1:94">
      <c r="A13" s="28">
        <v>2780</v>
      </c>
      <c r="B13" s="29">
        <v>0.57526718764312534</v>
      </c>
      <c r="C13" s="29">
        <v>0.27333467786765941</v>
      </c>
      <c r="D13" s="22">
        <v>0.13676939790104142</v>
      </c>
      <c r="E13" s="22">
        <v>6.4985141027418439E-2</v>
      </c>
      <c r="G13" s="29">
        <f>IF(ISBLANK('User Interface (Start Here!)'!$L$4),commercial!B13,commercial!C13)</f>
        <v>0.27333467786765941</v>
      </c>
      <c r="H13" s="22">
        <f>IF(ISBLANK('User Interface (Start Here!)'!$L$4),commercial!D13,commercial!E13)</f>
        <v>6.4985141027418439E-2</v>
      </c>
      <c r="I13" s="40">
        <f>(G13+H13)*'User Interface (Start Here!)'!$L$10</f>
        <v>0.30448783700557008</v>
      </c>
      <c r="J13" s="2">
        <f>IF(VLOOKUP(A13,'User Interface (Start Here!)'!$DO$2:$DP$73,2,FALSE)&lt;&gt;0,1,0)</f>
        <v>0</v>
      </c>
      <c r="K13" s="41">
        <f>IF(AND(J13=1,ISBLANK('User Interface (Start Here!)'!$L$14),ISBLANK('User Interface (Start Here!)'!$M$14),ISBLANK('User Interface (Start Here!)'!$N$14)),100%*'User Interface (Start Here!)'!$L$30,IF(J13=1,VLOOKUP(A13,'Bathymetric Closures'!$A$2:$C$57,3,FALSE)*'User Interface (Start Here!)'!$L$30,0%))</f>
        <v>0</v>
      </c>
      <c r="L13" s="50">
        <f>IF(ISBLANK('User Interface (Start Here!)'!#REF!),$I13*VLOOKUP($A13,$BA$5:$BM$60,L$2+1,FALSE),$I13*VLOOKUP($A13,$CD$6:$CP$60,L$2+1,FALSE))</f>
        <v>0</v>
      </c>
      <c r="M13" s="50">
        <f>IF(ISBLANK('User Interface (Start Here!)'!#REF!),$I13*VLOOKUP($A13,$BA$5:$BM$60,M$2+1,FALSE),$I13*VLOOKUP($A13,$CD$6:$CP$60,M$2+1,FALSE))</f>
        <v>7.3119732535107396E-3</v>
      </c>
      <c r="N13" s="50">
        <f>IF(ISBLANK('User Interface (Start Here!)'!#REF!),$I13*VLOOKUP($A13,$BA$5:$BM$60,N$2+1,FALSE),$I13*VLOOKUP($A13,$CD$6:$CP$60,N$2+1,FALSE))</f>
        <v>0</v>
      </c>
      <c r="O13" s="50">
        <f>IF(ISBLANK('User Interface (Start Here!)'!#REF!),$I13*VLOOKUP($A13,$BA$5:$BM$60,O$2+1,FALSE),$I13*VLOOKUP($A13,$CD$6:$CP$60,O$2+1,FALSE))</f>
        <v>1.608634115248846E-2</v>
      </c>
      <c r="P13" s="50">
        <f>IF(ISBLANK('User Interface (Start Here!)'!#REF!),$I13*VLOOKUP($A13,$BA$5:$BM$60,P$2+1,FALSE),$I13*VLOOKUP($A13,$CD$6:$CP$60,P$2+1,FALSE))</f>
        <v>3.4610006764258898E-2</v>
      </c>
      <c r="Q13" s="50">
        <f>IF(ISBLANK('User Interface (Start Here!)'!#REF!),$I13*VLOOKUP($A13,$BA$5:$BM$60,Q$2+1,FALSE),$I13*VLOOKUP($A13,$CD$6:$CP$60,Q$2+1,FALSE))</f>
        <v>0.12917819416280696</v>
      </c>
      <c r="R13" s="50">
        <f>IF(ISBLANK('User Interface (Start Here!)'!#REF!),$I13*VLOOKUP($A13,$BA$5:$BM$60,R$2+1,FALSE),$I13*VLOOKUP($A13,$CD$6:$CP$60,R$2+1,FALSE))</f>
        <v>1.8523665592138566E-2</v>
      </c>
      <c r="S13" s="50">
        <f>IF(ISBLANK('User Interface (Start Here!)'!#REF!),$I13*VLOOKUP($A13,$BA$5:$BM$60,S$2+1,FALSE),$I13*VLOOKUP($A13,$CD$6:$CP$60,S$2+1,FALSE))</f>
        <v>5.8495786080437571E-3</v>
      </c>
      <c r="T13" s="50">
        <f>IF(ISBLANK('User Interface (Start Here!)'!#REF!),$I13*VLOOKUP($A13,$BA$5:$BM$60,T$2+1,FALSE),$I13*VLOOKUP($A13,$CD$6:$CP$60,T$2+1,FALSE))</f>
        <v>1.267408697755085E-2</v>
      </c>
      <c r="U13" s="50">
        <f>IF(ISBLANK('User Interface (Start Here!)'!#REF!),$I13*VLOOKUP($A13,$BA$5:$BM$60,U$2+1,FALSE),$I13*VLOOKUP($A13,$CD$6:$CP$60,U$2+1,FALSE))</f>
        <v>5.0696347844763824E-2</v>
      </c>
      <c r="V13" s="50">
        <f>IF(ISBLANK('User Interface (Start Here!)'!#REF!),$I13*VLOOKUP($A13,$BA$5:$BM$60,V$2+1,FALSE),$I13*VLOOKUP($A13,$CD$6:$CP$60,V$2+1,FALSE))</f>
        <v>3.899719072029172E-3</v>
      </c>
      <c r="W13" s="50">
        <f>IF(ISBLANK('User Interface (Start Here!)'!#REF!),$I13*VLOOKUP($A13,$BA$5:$BM$60,W$2+1,FALSE),$I13*VLOOKUP($A13,$CD$6:$CP$60,W$2+1,FALSE))</f>
        <v>2.565792357797889E-2</v>
      </c>
      <c r="X13" s="51">
        <f>IF($J13&lt;&gt;1,L13,IF(VLOOKUP($A13,'User Interface (Start Here!)'!$B$18:$N$28,X$2+1,FALSE)&lt;&gt;100%,L13-VLOOKUP($A13,'User Interface (Start Here!)'!$B$18:$N$28,X$2+1,FALSE)/'User Interface (Start Here!)'!$L$35*$K13*L13,L13-VLOOKUP($A13,'User Interface (Start Here!)'!$B$18:$N$28,X$2+1,FALSE)*$K13*L13))</f>
        <v>0</v>
      </c>
      <c r="Y13" s="52">
        <f>IF($J13&lt;&gt;1,M13,IF(VLOOKUP($A13,'User Interface (Start Here!)'!$B$18:$N$28,Y$2+1,FALSE)&lt;&gt;100%,M13-VLOOKUP($A13,'User Interface (Start Here!)'!$B$18:$N$28,Y$2+1,FALSE)/'User Interface (Start Here!)'!$L$35*$K13*M13,M13-VLOOKUP($A13,'User Interface (Start Here!)'!$B$18:$N$28,Y$2+1,FALSE)*$K13*M13))</f>
        <v>7.3119732535107396E-3</v>
      </c>
      <c r="Z13" s="52">
        <f>IF($J13&lt;&gt;1,N13,IF(VLOOKUP($A13,'User Interface (Start Here!)'!$B$18:$N$28,Z$2+1,FALSE)&lt;&gt;100%,N13-VLOOKUP($A13,'User Interface (Start Here!)'!$B$18:$N$28,Z$2+1,FALSE)/'User Interface (Start Here!)'!$L$35*$K13*N13,N13-VLOOKUP($A13,'User Interface (Start Here!)'!$B$18:$N$28,Z$2+1,FALSE)*$K13*N13))</f>
        <v>0</v>
      </c>
      <c r="AA13" s="52">
        <f>IF($J13&lt;&gt;1,O13,IF(VLOOKUP($A13,'User Interface (Start Here!)'!$B$18:$N$28,AA$2+1,FALSE)&lt;&gt;100%,O13-VLOOKUP($A13,'User Interface (Start Here!)'!$B$18:$N$28,AA$2+1,FALSE)/'User Interface (Start Here!)'!$L$35*$K13*O13,O13-VLOOKUP($A13,'User Interface (Start Here!)'!$B$18:$N$28,AA$2+1,FALSE)*$K13*O13))</f>
        <v>1.608634115248846E-2</v>
      </c>
      <c r="AB13" s="52">
        <f>IF($J13&lt;&gt;1,P13,IF(VLOOKUP($A13,'User Interface (Start Here!)'!$B$18:$N$28,AB$2+1,FALSE)&lt;&gt;100%,P13-VLOOKUP($A13,'User Interface (Start Here!)'!$B$18:$N$28,AB$2+1,FALSE)/'User Interface (Start Here!)'!$L$35*$K13*P13,P13-VLOOKUP($A13,'User Interface (Start Here!)'!$B$18:$N$28,AB$2+1,FALSE)*$K13*P13))</f>
        <v>3.4610006764258898E-2</v>
      </c>
      <c r="AC13" s="52">
        <f>IF($J13&lt;&gt;1,Q13,IF(VLOOKUP($A13,'User Interface (Start Here!)'!$B$18:$N$28,AC$2+1,FALSE)&lt;&gt;100%,Q13-VLOOKUP($A13,'User Interface (Start Here!)'!$B$18:$N$28,AC$2+1,FALSE)/'User Interface (Start Here!)'!$L$35*$K13*Q13,Q13-VLOOKUP($A13,'User Interface (Start Here!)'!$B$18:$N$28,AC$2+1,FALSE)*$K13*Q13))</f>
        <v>0.12917819416280696</v>
      </c>
      <c r="AD13" s="52">
        <f>IF($J13&lt;&gt;1,R13,IF(VLOOKUP($A13,'User Interface (Start Here!)'!$B$18:$N$28,AD$2+1,FALSE)&lt;&gt;100%,R13-VLOOKUP($A13,'User Interface (Start Here!)'!$B$18:$N$28,AD$2+1,FALSE)/'User Interface (Start Here!)'!$L$35*$K13*R13,R13-VLOOKUP($A13,'User Interface (Start Here!)'!$B$18:$N$28,AD$2+1,FALSE)*$K13*R13))</f>
        <v>1.8523665592138566E-2</v>
      </c>
      <c r="AE13" s="52">
        <f>IF($J13&lt;&gt;1,S13,IF(VLOOKUP($A13,'User Interface (Start Here!)'!$B$18:$N$28,AE$2+1,FALSE)&lt;&gt;100%,S13-VLOOKUP($A13,'User Interface (Start Here!)'!$B$18:$N$28,AE$2+1,FALSE)/'User Interface (Start Here!)'!$L$35*$K13*S13,S13-VLOOKUP($A13,'User Interface (Start Here!)'!$B$18:$N$28,AE$2+1,FALSE)*$K13*S13))</f>
        <v>5.8495786080437571E-3</v>
      </c>
      <c r="AF13" s="52">
        <f>IF($J13&lt;&gt;1,T13,IF(VLOOKUP($A13,'User Interface (Start Here!)'!$B$18:$N$28,AF$2+1,FALSE)&lt;&gt;100%,T13-VLOOKUP($A13,'User Interface (Start Here!)'!$B$18:$N$28,AF$2+1,FALSE)/'User Interface (Start Here!)'!$L$35*$K13*T13,T13-VLOOKUP($A13,'User Interface (Start Here!)'!$B$18:$N$28,AF$2+1,FALSE)*$K13*T13))</f>
        <v>1.267408697755085E-2</v>
      </c>
      <c r="AG13" s="52">
        <f>IF($J13&lt;&gt;1,U13,IF(VLOOKUP($A13,'User Interface (Start Here!)'!$B$18:$N$28,AG$2+1,FALSE)&lt;&gt;100%,U13-VLOOKUP($A13,'User Interface (Start Here!)'!$B$18:$N$28,AG$2+1,FALSE)/'User Interface (Start Here!)'!$L$35*$K13*U13,U13-VLOOKUP($A13,'User Interface (Start Here!)'!$B$18:$N$28,AG$2+1,FALSE)*$K13*U13))</f>
        <v>5.0696347844763824E-2</v>
      </c>
      <c r="AH13" s="52">
        <f>IF($J13&lt;&gt;1,V13,IF(VLOOKUP($A13,'User Interface (Start Here!)'!$B$18:$N$28,AH$2+1,FALSE)&lt;&gt;100%,V13-VLOOKUP($A13,'User Interface (Start Here!)'!$B$18:$N$28,AH$2+1,FALSE)/'User Interface (Start Here!)'!$L$35*$K13*V13,V13-VLOOKUP($A13,'User Interface (Start Here!)'!$B$18:$N$28,AH$2+1,FALSE)*$K13*V13))</f>
        <v>3.899719072029172E-3</v>
      </c>
      <c r="AI13" s="52">
        <f>IF($J13&lt;&gt;1,W13,IF(VLOOKUP($A13,'User Interface (Start Here!)'!$B$18:$N$28,AI$2+1,FALSE)&lt;&gt;100%,W13-VLOOKUP($A13,'User Interface (Start Here!)'!$B$18:$N$28,AI$2+1,FALSE)/'User Interface (Start Here!)'!$L$35*$K13*W13,W13-VLOOKUP($A13,'User Interface (Start Here!)'!$B$18:$N$28,AI$2+1,FALSE)*$K13*W13))</f>
        <v>2.565792357797889E-2</v>
      </c>
      <c r="AJ13" s="42">
        <f t="shared" si="0"/>
        <v>0.30448783700557014</v>
      </c>
      <c r="AL13" s="1">
        <v>2679</v>
      </c>
      <c r="AM13" s="1">
        <v>1.3319999992847442E-2</v>
      </c>
      <c r="AN13" s="1">
        <v>1.1099999994039536E-2</v>
      </c>
      <c r="AO13" s="1">
        <v>1.4E-2</v>
      </c>
      <c r="AP13" s="1">
        <v>0</v>
      </c>
      <c r="AQ13" s="1">
        <v>1.7759999975562095E-2</v>
      </c>
      <c r="AR13" s="1">
        <v>2.7749999955296516E-2</v>
      </c>
      <c r="AS13" s="1">
        <v>2.441999998688698E-2</v>
      </c>
      <c r="AT13" s="1">
        <v>0</v>
      </c>
      <c r="AU13" s="1">
        <v>0</v>
      </c>
      <c r="AV13" s="1">
        <v>3.0000000000000001E-3</v>
      </c>
      <c r="AW13" s="1">
        <v>0.44843999958038328</v>
      </c>
      <c r="AX13" s="1">
        <v>0</v>
      </c>
      <c r="AY13" s="1">
        <v>0.55978999948501584</v>
      </c>
      <c r="BA13" s="1">
        <v>2679</v>
      </c>
      <c r="BB13" s="31">
        <f t="shared" si="13"/>
        <v>2.3794637283805185E-2</v>
      </c>
      <c r="BC13" s="31">
        <f t="shared" si="1"/>
        <v>1.9828864403170988E-2</v>
      </c>
      <c r="BD13" s="31">
        <f t="shared" si="1"/>
        <v>2.5009378539951471E-2</v>
      </c>
      <c r="BE13" s="31">
        <f t="shared" si="1"/>
        <v>0</v>
      </c>
      <c r="BF13" s="31">
        <f t="shared" si="1"/>
        <v>3.1726183018454382E-2</v>
      </c>
      <c r="BG13" s="31">
        <f t="shared" si="1"/>
        <v>4.9572160954689068E-2</v>
      </c>
      <c r="BH13" s="31">
        <f t="shared" si="1"/>
        <v>4.3623501686976172E-2</v>
      </c>
      <c r="BI13" s="31">
        <f t="shared" si="1"/>
        <v>0</v>
      </c>
      <c r="BJ13" s="31">
        <f t="shared" si="1"/>
        <v>0</v>
      </c>
      <c r="BK13" s="31">
        <f t="shared" si="1"/>
        <v>5.3591525442753156E-3</v>
      </c>
      <c r="BL13" s="31">
        <f t="shared" si="1"/>
        <v>0.80108612156867742</v>
      </c>
      <c r="BM13" s="31">
        <f t="shared" si="1"/>
        <v>0</v>
      </c>
      <c r="BO13" s="1">
        <v>2679</v>
      </c>
      <c r="BP13" s="1">
        <v>1.3319999992847442E-2</v>
      </c>
      <c r="BQ13" s="1">
        <v>0</v>
      </c>
      <c r="BR13" s="1">
        <v>0</v>
      </c>
      <c r="BS13" s="1">
        <v>0</v>
      </c>
      <c r="BT13" s="1">
        <v>1.7759999975562095E-2</v>
      </c>
      <c r="BU13" s="1">
        <v>2.774999995529652E-2</v>
      </c>
      <c r="BV13" s="1">
        <v>2.441999998688698E-2</v>
      </c>
      <c r="BW13" s="1">
        <v>0</v>
      </c>
      <c r="BX13" s="1">
        <v>0</v>
      </c>
      <c r="BY13" s="1">
        <v>3.0000000000000001E-3</v>
      </c>
      <c r="BZ13" s="1">
        <v>0</v>
      </c>
      <c r="CA13" s="1">
        <v>0</v>
      </c>
      <c r="CB13" s="1">
        <v>8.6249999910593039E-2</v>
      </c>
      <c r="CD13" s="1">
        <v>2679</v>
      </c>
      <c r="CE13" s="31">
        <f t="shared" si="14"/>
        <v>0.15443478268585492</v>
      </c>
      <c r="CF13" s="31">
        <f t="shared" si="2"/>
        <v>0</v>
      </c>
      <c r="CG13" s="31">
        <f t="shared" si="3"/>
        <v>0</v>
      </c>
      <c r="CH13" s="31">
        <f t="shared" si="4"/>
        <v>0</v>
      </c>
      <c r="CI13" s="31">
        <f t="shared" si="5"/>
        <v>0.2059130434083728</v>
      </c>
      <c r="CJ13" s="31">
        <f t="shared" si="6"/>
        <v>0.32173913024999695</v>
      </c>
      <c r="CK13" s="31">
        <f t="shared" si="7"/>
        <v>0.28313043492406736</v>
      </c>
      <c r="CL13" s="31">
        <f t="shared" si="8"/>
        <v>0</v>
      </c>
      <c r="CM13" s="31">
        <f t="shared" si="9"/>
        <v>0</v>
      </c>
      <c r="CN13" s="31">
        <f t="shared" si="10"/>
        <v>3.4782608731707909E-2</v>
      </c>
      <c r="CO13" s="31">
        <f t="shared" si="11"/>
        <v>0</v>
      </c>
      <c r="CP13" s="31">
        <f t="shared" si="12"/>
        <v>0</v>
      </c>
    </row>
    <row r="14" spans="1:94">
      <c r="A14" s="28">
        <v>2878</v>
      </c>
      <c r="B14" s="29">
        <v>0</v>
      </c>
      <c r="C14" s="29">
        <v>0</v>
      </c>
      <c r="D14" s="22">
        <v>0</v>
      </c>
      <c r="E14" s="22">
        <v>0</v>
      </c>
      <c r="G14" s="29">
        <f>IF(ISBLANK('User Interface (Start Here!)'!$L$4),commercial!B14,commercial!C14)</f>
        <v>0</v>
      </c>
      <c r="H14" s="22">
        <f>IF(ISBLANK('User Interface (Start Here!)'!$L$4),commercial!D14,commercial!E14)</f>
        <v>0</v>
      </c>
      <c r="I14" s="40">
        <f>(G14+H14)*'User Interface (Start Here!)'!$L$10</f>
        <v>0</v>
      </c>
      <c r="J14" s="2">
        <f>IF(VLOOKUP(A14,'User Interface (Start Here!)'!$DO$2:$DP$73,2,FALSE)&lt;&gt;0,1,0)</f>
        <v>0</v>
      </c>
      <c r="K14" s="41">
        <f>IF(AND(J14=1,ISBLANK('User Interface (Start Here!)'!$L$14),ISBLANK('User Interface (Start Here!)'!$M$14),ISBLANK('User Interface (Start Here!)'!$N$14)),100%*'User Interface (Start Here!)'!$L$30,IF(J14=1,VLOOKUP(A14,'Bathymetric Closures'!$A$2:$C$57,3,FALSE)*'User Interface (Start Here!)'!$L$30,0%))</f>
        <v>0</v>
      </c>
      <c r="L14" s="50">
        <f>IF(ISBLANK('User Interface (Start Here!)'!$J15),$I14*VLOOKUP($A14,$BA$5:$BM$60,L$2+1,FALSE),$I14*VLOOKUP($A14,$CD$6:$CP$60,L$2+1,FALSE))</f>
        <v>0</v>
      </c>
      <c r="M14" s="50">
        <f>IF(ISBLANK('User Interface (Start Here!)'!$J15),$I14*VLOOKUP($A14,$BA$5:$BM$60,M$2+1,FALSE),$I14*VLOOKUP($A14,$CD$6:$CP$60,M$2+1,FALSE))</f>
        <v>0</v>
      </c>
      <c r="N14" s="50">
        <f>IF(ISBLANK('User Interface (Start Here!)'!$J15),$I14*VLOOKUP($A14,$BA$5:$BM$60,N$2+1,FALSE),$I14*VLOOKUP($A14,$CD$6:$CP$60,N$2+1,FALSE))</f>
        <v>0</v>
      </c>
      <c r="O14" s="50">
        <f>IF(ISBLANK('User Interface (Start Here!)'!$J15),$I14*VLOOKUP($A14,$BA$5:$BM$60,O$2+1,FALSE),$I14*VLOOKUP($A14,$CD$6:$CP$60,O$2+1,FALSE))</f>
        <v>0</v>
      </c>
      <c r="P14" s="50">
        <f>IF(ISBLANK('User Interface (Start Here!)'!$J15),$I14*VLOOKUP($A14,$BA$5:$BM$60,P$2+1,FALSE),$I14*VLOOKUP($A14,$CD$6:$CP$60,P$2+1,FALSE))</f>
        <v>0</v>
      </c>
      <c r="Q14" s="50">
        <f>IF(ISBLANK('User Interface (Start Here!)'!$J15),$I14*VLOOKUP($A14,$BA$5:$BM$60,Q$2+1,FALSE),$I14*VLOOKUP($A14,$CD$6:$CP$60,Q$2+1,FALSE))</f>
        <v>0</v>
      </c>
      <c r="R14" s="50">
        <f>IF(ISBLANK('User Interface (Start Here!)'!$J15),$I14*VLOOKUP($A14,$BA$5:$BM$60,R$2+1,FALSE),$I14*VLOOKUP($A14,$CD$6:$CP$60,R$2+1,FALSE))</f>
        <v>0</v>
      </c>
      <c r="S14" s="50">
        <f>IF(ISBLANK('User Interface (Start Here!)'!$J15),$I14*VLOOKUP($A14,$BA$5:$BM$60,S$2+1,FALSE),$I14*VLOOKUP($A14,$CD$6:$CP$60,S$2+1,FALSE))</f>
        <v>0</v>
      </c>
      <c r="T14" s="50">
        <f>IF(ISBLANK('User Interface (Start Here!)'!$J15),$I14*VLOOKUP($A14,$BA$5:$BM$60,T$2+1,FALSE),$I14*VLOOKUP($A14,$CD$6:$CP$60,T$2+1,FALSE))</f>
        <v>0</v>
      </c>
      <c r="U14" s="50">
        <f>IF(ISBLANK('User Interface (Start Here!)'!$J15),$I14*VLOOKUP($A14,$BA$5:$BM$60,U$2+1,FALSE),$I14*VLOOKUP($A14,$CD$6:$CP$60,U$2+1,FALSE))</f>
        <v>0</v>
      </c>
      <c r="V14" s="50">
        <f>IF(ISBLANK('User Interface (Start Here!)'!$J15),$I14*VLOOKUP($A14,$BA$5:$BM$60,V$2+1,FALSE),$I14*VLOOKUP($A14,$CD$6:$CP$60,V$2+1,FALSE))</f>
        <v>0</v>
      </c>
      <c r="W14" s="50">
        <f>IF(ISBLANK('User Interface (Start Here!)'!$J15),$I14*VLOOKUP($A14,$BA$5:$BM$60,W$2+1,FALSE),$I14*VLOOKUP($A14,$CD$6:$CP$60,W$2+1,FALSE))</f>
        <v>0</v>
      </c>
      <c r="X14" s="51">
        <f>IF($J14&lt;&gt;1,L14,IF(VLOOKUP($A14,'User Interface (Start Here!)'!$B$18:$N$28,X$2+1,FALSE)&lt;&gt;100%,L14-VLOOKUP($A14,'User Interface (Start Here!)'!$B$18:$N$28,X$2+1,FALSE)/'User Interface (Start Here!)'!$L$35*$K14*L14,L14-VLOOKUP($A14,'User Interface (Start Here!)'!$B$18:$N$28,X$2+1,FALSE)*$K14*L14))</f>
        <v>0</v>
      </c>
      <c r="Y14" s="52">
        <f>IF($J14&lt;&gt;1,M14,IF(VLOOKUP($A14,'User Interface (Start Here!)'!$B$18:$N$28,Y$2+1,FALSE)&lt;&gt;100%,M14-VLOOKUP($A14,'User Interface (Start Here!)'!$B$18:$N$28,Y$2+1,FALSE)/'User Interface (Start Here!)'!$L$35*$K14*M14,M14-VLOOKUP($A14,'User Interface (Start Here!)'!$B$18:$N$28,Y$2+1,FALSE)*$K14*M14))</f>
        <v>0</v>
      </c>
      <c r="Z14" s="52">
        <f>IF($J14&lt;&gt;1,N14,IF(VLOOKUP($A14,'User Interface (Start Here!)'!$B$18:$N$28,Z$2+1,FALSE)&lt;&gt;100%,N14-VLOOKUP($A14,'User Interface (Start Here!)'!$B$18:$N$28,Z$2+1,FALSE)/'User Interface (Start Here!)'!$L$35*$K14*N14,N14-VLOOKUP($A14,'User Interface (Start Here!)'!$B$18:$N$28,Z$2+1,FALSE)*$K14*N14))</f>
        <v>0</v>
      </c>
      <c r="AA14" s="52">
        <f>IF($J14&lt;&gt;1,O14,IF(VLOOKUP($A14,'User Interface (Start Here!)'!$B$18:$N$28,AA$2+1,FALSE)&lt;&gt;100%,O14-VLOOKUP($A14,'User Interface (Start Here!)'!$B$18:$N$28,AA$2+1,FALSE)/'User Interface (Start Here!)'!$L$35*$K14*O14,O14-VLOOKUP($A14,'User Interface (Start Here!)'!$B$18:$N$28,AA$2+1,FALSE)*$K14*O14))</f>
        <v>0</v>
      </c>
      <c r="AB14" s="52">
        <f>IF($J14&lt;&gt;1,P14,IF(VLOOKUP($A14,'User Interface (Start Here!)'!$B$18:$N$28,AB$2+1,FALSE)&lt;&gt;100%,P14-VLOOKUP($A14,'User Interface (Start Here!)'!$B$18:$N$28,AB$2+1,FALSE)/'User Interface (Start Here!)'!$L$35*$K14*P14,P14-VLOOKUP($A14,'User Interface (Start Here!)'!$B$18:$N$28,AB$2+1,FALSE)*$K14*P14))</f>
        <v>0</v>
      </c>
      <c r="AC14" s="52">
        <f>IF($J14&lt;&gt;1,Q14,IF(VLOOKUP($A14,'User Interface (Start Here!)'!$B$18:$N$28,AC$2+1,FALSE)&lt;&gt;100%,Q14-VLOOKUP($A14,'User Interface (Start Here!)'!$B$18:$N$28,AC$2+1,FALSE)/'User Interface (Start Here!)'!$L$35*$K14*Q14,Q14-VLOOKUP($A14,'User Interface (Start Here!)'!$B$18:$N$28,AC$2+1,FALSE)*$K14*Q14))</f>
        <v>0</v>
      </c>
      <c r="AD14" s="52">
        <f>IF($J14&lt;&gt;1,R14,IF(VLOOKUP($A14,'User Interface (Start Here!)'!$B$18:$N$28,AD$2+1,FALSE)&lt;&gt;100%,R14-VLOOKUP($A14,'User Interface (Start Here!)'!$B$18:$N$28,AD$2+1,FALSE)/'User Interface (Start Here!)'!$L$35*$K14*R14,R14-VLOOKUP($A14,'User Interface (Start Here!)'!$B$18:$N$28,AD$2+1,FALSE)*$K14*R14))</f>
        <v>0</v>
      </c>
      <c r="AE14" s="52">
        <f>IF($J14&lt;&gt;1,S14,IF(VLOOKUP($A14,'User Interface (Start Here!)'!$B$18:$N$28,AE$2+1,FALSE)&lt;&gt;100%,S14-VLOOKUP($A14,'User Interface (Start Here!)'!$B$18:$N$28,AE$2+1,FALSE)/'User Interface (Start Here!)'!$L$35*$K14*S14,S14-VLOOKUP($A14,'User Interface (Start Here!)'!$B$18:$N$28,AE$2+1,FALSE)*$K14*S14))</f>
        <v>0</v>
      </c>
      <c r="AF14" s="52">
        <f>IF($J14&lt;&gt;1,T14,IF(VLOOKUP($A14,'User Interface (Start Here!)'!$B$18:$N$28,AF$2+1,FALSE)&lt;&gt;100%,T14-VLOOKUP($A14,'User Interface (Start Here!)'!$B$18:$N$28,AF$2+1,FALSE)/'User Interface (Start Here!)'!$L$35*$K14*T14,T14-VLOOKUP($A14,'User Interface (Start Here!)'!$B$18:$N$28,AF$2+1,FALSE)*$K14*T14))</f>
        <v>0</v>
      </c>
      <c r="AG14" s="52">
        <f>IF($J14&lt;&gt;1,U14,IF(VLOOKUP($A14,'User Interface (Start Here!)'!$B$18:$N$28,AG$2+1,FALSE)&lt;&gt;100%,U14-VLOOKUP($A14,'User Interface (Start Here!)'!$B$18:$N$28,AG$2+1,FALSE)/'User Interface (Start Here!)'!$L$35*$K14*U14,U14-VLOOKUP($A14,'User Interface (Start Here!)'!$B$18:$N$28,AG$2+1,FALSE)*$K14*U14))</f>
        <v>0</v>
      </c>
      <c r="AH14" s="52">
        <f>IF($J14&lt;&gt;1,V14,IF(VLOOKUP($A14,'User Interface (Start Here!)'!$B$18:$N$28,AH$2+1,FALSE)&lt;&gt;100%,V14-VLOOKUP($A14,'User Interface (Start Here!)'!$B$18:$N$28,AH$2+1,FALSE)/'User Interface (Start Here!)'!$L$35*$K14*V14,V14-VLOOKUP($A14,'User Interface (Start Here!)'!$B$18:$N$28,AH$2+1,FALSE)*$K14*V14))</f>
        <v>0</v>
      </c>
      <c r="AI14" s="52">
        <f>IF($J14&lt;&gt;1,W14,IF(VLOOKUP($A14,'User Interface (Start Here!)'!$B$18:$N$28,AI$2+1,FALSE)&lt;&gt;100%,W14-VLOOKUP($A14,'User Interface (Start Here!)'!$B$18:$N$28,AI$2+1,FALSE)/'User Interface (Start Here!)'!$L$35*$K14*W14,W14-VLOOKUP($A14,'User Interface (Start Here!)'!$B$18:$N$28,AI$2+1,FALSE)*$K14*W14))</f>
        <v>0</v>
      </c>
      <c r="AJ14" s="42">
        <f t="shared" si="0"/>
        <v>0</v>
      </c>
      <c r="AL14" s="1">
        <v>2680</v>
      </c>
      <c r="AM14" s="1">
        <v>0</v>
      </c>
      <c r="AN14" s="1">
        <v>1.1099999994039536E-2</v>
      </c>
      <c r="AO14" s="1">
        <v>0</v>
      </c>
      <c r="AP14" s="1">
        <v>0</v>
      </c>
      <c r="AQ14" s="1">
        <v>1.1099999994039536E-2</v>
      </c>
      <c r="AR14" s="1">
        <v>0</v>
      </c>
      <c r="AS14" s="1">
        <v>0</v>
      </c>
      <c r="AT14" s="1">
        <v>0</v>
      </c>
      <c r="AU14" s="1">
        <v>0</v>
      </c>
      <c r="AV14" s="1">
        <v>0</v>
      </c>
      <c r="AW14" s="1">
        <v>0</v>
      </c>
      <c r="AX14" s="1">
        <v>0</v>
      </c>
      <c r="AY14" s="1">
        <v>2.2199999988079071E-2</v>
      </c>
      <c r="BA14" s="1">
        <v>2680</v>
      </c>
      <c r="BB14" s="31">
        <f t="shared" si="13"/>
        <v>0</v>
      </c>
      <c r="BC14" s="31">
        <f t="shared" si="1"/>
        <v>0.5</v>
      </c>
      <c r="BD14" s="31">
        <f t="shared" si="1"/>
        <v>0</v>
      </c>
      <c r="BE14" s="31">
        <f t="shared" si="1"/>
        <v>0</v>
      </c>
      <c r="BF14" s="31">
        <f t="shared" si="1"/>
        <v>0.5</v>
      </c>
      <c r="BG14" s="31">
        <f t="shared" si="1"/>
        <v>0</v>
      </c>
      <c r="BH14" s="31">
        <f t="shared" si="1"/>
        <v>0</v>
      </c>
      <c r="BI14" s="31">
        <f t="shared" si="1"/>
        <v>0</v>
      </c>
      <c r="BJ14" s="31">
        <f t="shared" si="1"/>
        <v>0</v>
      </c>
      <c r="BK14" s="31">
        <f t="shared" si="1"/>
        <v>0</v>
      </c>
      <c r="BL14" s="31">
        <f t="shared" si="1"/>
        <v>0</v>
      </c>
      <c r="BM14" s="31">
        <f t="shared" si="1"/>
        <v>0</v>
      </c>
      <c r="BO14" s="1">
        <v>2680</v>
      </c>
      <c r="BP14" s="1">
        <v>0</v>
      </c>
      <c r="BQ14" s="1">
        <v>0</v>
      </c>
      <c r="BR14" s="1">
        <v>0</v>
      </c>
      <c r="BS14" s="1">
        <v>0</v>
      </c>
      <c r="BT14" s="1">
        <v>1.1099999994039536E-2</v>
      </c>
      <c r="BU14" s="1">
        <v>0</v>
      </c>
      <c r="BV14" s="1">
        <v>0</v>
      </c>
      <c r="BW14" s="1">
        <v>0</v>
      </c>
      <c r="BX14" s="1">
        <v>0</v>
      </c>
      <c r="BY14" s="1">
        <v>0</v>
      </c>
      <c r="BZ14" s="1">
        <v>0</v>
      </c>
      <c r="CA14" s="1">
        <v>0</v>
      </c>
      <c r="CB14" s="1">
        <v>1.1099999994039536E-2</v>
      </c>
      <c r="CD14" s="1">
        <v>2680</v>
      </c>
      <c r="CE14" s="31">
        <f t="shared" si="14"/>
        <v>0</v>
      </c>
      <c r="CF14" s="31">
        <f t="shared" si="2"/>
        <v>0</v>
      </c>
      <c r="CG14" s="31">
        <f t="shared" si="3"/>
        <v>0</v>
      </c>
      <c r="CH14" s="31">
        <f t="shared" si="4"/>
        <v>0</v>
      </c>
      <c r="CI14" s="31">
        <f t="shared" si="5"/>
        <v>1</v>
      </c>
      <c r="CJ14" s="31">
        <f t="shared" si="6"/>
        <v>0</v>
      </c>
      <c r="CK14" s="31">
        <f t="shared" si="7"/>
        <v>0</v>
      </c>
      <c r="CL14" s="31">
        <f t="shared" si="8"/>
        <v>0</v>
      </c>
      <c r="CM14" s="31">
        <f t="shared" si="9"/>
        <v>0</v>
      </c>
      <c r="CN14" s="31">
        <f t="shared" si="10"/>
        <v>0</v>
      </c>
      <c r="CO14" s="31">
        <f t="shared" si="11"/>
        <v>0</v>
      </c>
      <c r="CP14" s="31">
        <f t="shared" si="12"/>
        <v>0</v>
      </c>
    </row>
    <row r="15" spans="1:94">
      <c r="A15" s="28">
        <v>2879</v>
      </c>
      <c r="B15" s="29">
        <v>1.3990381463350556</v>
      </c>
      <c r="C15" s="29">
        <v>0.28433990927776048</v>
      </c>
      <c r="D15" s="22">
        <v>0.33262040496135237</v>
      </c>
      <c r="E15" s="22">
        <v>6.7601627602792036E-2</v>
      </c>
      <c r="G15" s="29">
        <f>IF(ISBLANK('User Interface (Start Here!)'!$L$4),commercial!B15,commercial!C15)</f>
        <v>0.28433990927776048</v>
      </c>
      <c r="H15" s="22">
        <f>IF(ISBLANK('User Interface (Start Here!)'!$L$4),commercial!D15,commercial!E15)</f>
        <v>6.7601627602792036E-2</v>
      </c>
      <c r="I15" s="40">
        <f>(G15+H15)*'User Interface (Start Here!)'!$L$10</f>
        <v>0.31674738319249729</v>
      </c>
      <c r="J15" s="2">
        <f>IF(VLOOKUP(A15,'User Interface (Start Here!)'!$DO$2:$DP$73,2,FALSE)&lt;&gt;0,1,0)</f>
        <v>0</v>
      </c>
      <c r="K15" s="41">
        <f>IF(AND(J15=1,ISBLANK('User Interface (Start Here!)'!$L$14),ISBLANK('User Interface (Start Here!)'!$M$14),ISBLANK('User Interface (Start Here!)'!$N$14)),100%*'User Interface (Start Here!)'!$L$30,IF(J15=1,VLOOKUP(A15,'Bathymetric Closures'!$A$2:$C$57,3,FALSE)*'User Interface (Start Here!)'!$L$30,0%))</f>
        <v>0</v>
      </c>
      <c r="L15" s="50">
        <f>IF(ISBLANK('User Interface (Start Here!)'!$L16),$I15*VLOOKUP($A15,$BA$5:$BM$60,L$2+1,FALSE),$I15*VLOOKUP($A15,$CD$6:$CP$60,L$2+1,FALSE))</f>
        <v>0</v>
      </c>
      <c r="M15" s="50">
        <f>IF(ISBLANK('User Interface (Start Here!)'!$L16),$I15*VLOOKUP($A15,$BA$5:$BM$60,M$2+1,FALSE),$I15*VLOOKUP($A15,$CD$6:$CP$60,M$2+1,FALSE))</f>
        <v>3.1557524627918716E-3</v>
      </c>
      <c r="N15" s="50">
        <f>IF(ISBLANK('User Interface (Start Here!)'!$L16),$I15*VLOOKUP($A15,$BA$5:$BM$60,N$2+1,FALSE),$I15*VLOOKUP($A15,$CD$6:$CP$60,N$2+1,FALSE))</f>
        <v>0</v>
      </c>
      <c r="O15" s="50">
        <f>IF(ISBLANK('User Interface (Start Here!)'!$L16),$I15*VLOOKUP($A15,$BA$5:$BM$60,O$2+1,FALSE),$I15*VLOOKUP($A15,$CD$6:$CP$60,O$2+1,FALSE))</f>
        <v>0</v>
      </c>
      <c r="P15" s="50">
        <f>IF(ISBLANK('User Interface (Start Here!)'!$L16),$I15*VLOOKUP($A15,$BA$5:$BM$60,P$2+1,FALSE),$I15*VLOOKUP($A15,$CD$6:$CP$60,P$2+1,FALSE))</f>
        <v>7.7541346256266765E-3</v>
      </c>
      <c r="Q15" s="50">
        <f>IF(ISBLANK('User Interface (Start Here!)'!$L16),$I15*VLOOKUP($A15,$BA$5:$BM$60,Q$2+1,FALSE),$I15*VLOOKUP($A15,$CD$6:$CP$60,Q$2+1,FALSE))</f>
        <v>1.4877118758694977E-2</v>
      </c>
      <c r="R15" s="50">
        <f>IF(ISBLANK('User Interface (Start Here!)'!$L16),$I15*VLOOKUP($A15,$BA$5:$BM$60,R$2+1,FALSE),$I15*VLOOKUP($A15,$CD$6:$CP$60,R$2+1,FALSE))</f>
        <v>1.0819722750321993E-3</v>
      </c>
      <c r="S15" s="50">
        <f>IF(ISBLANK('User Interface (Start Here!)'!$L16),$I15*VLOOKUP($A15,$BA$5:$BM$60,S$2+1,FALSE),$I15*VLOOKUP($A15,$CD$6:$CP$60,S$2+1,FALSE))</f>
        <v>0</v>
      </c>
      <c r="T15" s="50">
        <f>IF(ISBLANK('User Interface (Start Here!)'!$L16),$I15*VLOOKUP($A15,$BA$5:$BM$60,T$2+1,FALSE),$I15*VLOOKUP($A15,$CD$6:$CP$60,T$2+1,FALSE))</f>
        <v>2.822144348893374E-2</v>
      </c>
      <c r="U15" s="50">
        <f>IF(ISBLANK('User Interface (Start Here!)'!$L16),$I15*VLOOKUP($A15,$BA$5:$BM$60,U$2+1,FALSE),$I15*VLOOKUP($A15,$CD$6:$CP$60,U$2+1,FALSE))</f>
        <v>3.841001575638063E-2</v>
      </c>
      <c r="V15" s="50">
        <f>IF(ISBLANK('User Interface (Start Here!)'!$L16),$I15*VLOOKUP($A15,$BA$5:$BM$60,V$2+1,FALSE),$I15*VLOOKUP($A15,$CD$6:$CP$60,V$2+1,FALSE))</f>
        <v>3.1918182077137626E-2</v>
      </c>
      <c r="W15" s="50">
        <f>IF(ISBLANK('User Interface (Start Here!)'!$L16),$I15*VLOOKUP($A15,$BA$5:$BM$60,W$2+1,FALSE),$I15*VLOOKUP($A15,$CD$6:$CP$60,W$2+1,FALSE))</f>
        <v>0.19132876374789956</v>
      </c>
      <c r="X15" s="51">
        <f>IF($J15&lt;&gt;1,L15,IF(VLOOKUP($A15,'User Interface (Start Here!)'!$B$18:$N$28,X$2+1,FALSE)&lt;&gt;100%,L15-VLOOKUP($A15,'User Interface (Start Here!)'!$B$18:$N$28,X$2+1,FALSE)/'User Interface (Start Here!)'!$L$35*$K15*L15,L15-VLOOKUP($A15,'User Interface (Start Here!)'!$B$18:$N$28,X$2+1,FALSE)*$K15*L15))</f>
        <v>0</v>
      </c>
      <c r="Y15" s="52">
        <f>IF($J15&lt;&gt;1,M15,IF(VLOOKUP($A15,'User Interface (Start Here!)'!$B$18:$N$28,Y$2+1,FALSE)&lt;&gt;100%,M15-VLOOKUP($A15,'User Interface (Start Here!)'!$B$18:$N$28,Y$2+1,FALSE)/'User Interface (Start Here!)'!$L$35*$K15*M15,M15-VLOOKUP($A15,'User Interface (Start Here!)'!$B$18:$N$28,Y$2+1,FALSE)*$K15*M15))</f>
        <v>3.1557524627918716E-3</v>
      </c>
      <c r="Z15" s="52">
        <f>IF($J15&lt;&gt;1,N15,IF(VLOOKUP($A15,'User Interface (Start Here!)'!$B$18:$N$28,Z$2+1,FALSE)&lt;&gt;100%,N15-VLOOKUP($A15,'User Interface (Start Here!)'!$B$18:$N$28,Z$2+1,FALSE)/'User Interface (Start Here!)'!$L$35*$K15*N15,N15-VLOOKUP($A15,'User Interface (Start Here!)'!$B$18:$N$28,Z$2+1,FALSE)*$K15*N15))</f>
        <v>0</v>
      </c>
      <c r="AA15" s="52">
        <f>IF($J15&lt;&gt;1,O15,IF(VLOOKUP($A15,'User Interface (Start Here!)'!$B$18:$N$28,AA$2+1,FALSE)&lt;&gt;100%,O15-VLOOKUP($A15,'User Interface (Start Here!)'!$B$18:$N$28,AA$2+1,FALSE)/'User Interface (Start Here!)'!$L$35*$K15*O15,O15-VLOOKUP($A15,'User Interface (Start Here!)'!$B$18:$N$28,AA$2+1,FALSE)*$K15*O15))</f>
        <v>0</v>
      </c>
      <c r="AB15" s="52">
        <f>IF($J15&lt;&gt;1,P15,IF(VLOOKUP($A15,'User Interface (Start Here!)'!$B$18:$N$28,AB$2+1,FALSE)&lt;&gt;100%,P15-VLOOKUP($A15,'User Interface (Start Here!)'!$B$18:$N$28,AB$2+1,FALSE)/'User Interface (Start Here!)'!$L$35*$K15*P15,P15-VLOOKUP($A15,'User Interface (Start Here!)'!$B$18:$N$28,AB$2+1,FALSE)*$K15*P15))</f>
        <v>7.7541346256266765E-3</v>
      </c>
      <c r="AC15" s="52">
        <f>IF($J15&lt;&gt;1,Q15,IF(VLOOKUP($A15,'User Interface (Start Here!)'!$B$18:$N$28,AC$2+1,FALSE)&lt;&gt;100%,Q15-VLOOKUP($A15,'User Interface (Start Here!)'!$B$18:$N$28,AC$2+1,FALSE)/'User Interface (Start Here!)'!$L$35*$K15*Q15,Q15-VLOOKUP($A15,'User Interface (Start Here!)'!$B$18:$N$28,AC$2+1,FALSE)*$K15*Q15))</f>
        <v>1.4877118758694977E-2</v>
      </c>
      <c r="AD15" s="52">
        <f>IF($J15&lt;&gt;1,R15,IF(VLOOKUP($A15,'User Interface (Start Here!)'!$B$18:$N$28,AD$2+1,FALSE)&lt;&gt;100%,R15-VLOOKUP($A15,'User Interface (Start Here!)'!$B$18:$N$28,AD$2+1,FALSE)/'User Interface (Start Here!)'!$L$35*$K15*R15,R15-VLOOKUP($A15,'User Interface (Start Here!)'!$B$18:$N$28,AD$2+1,FALSE)*$K15*R15))</f>
        <v>1.0819722750321993E-3</v>
      </c>
      <c r="AE15" s="52">
        <f>IF($J15&lt;&gt;1,S15,IF(VLOOKUP($A15,'User Interface (Start Here!)'!$B$18:$N$28,AE$2+1,FALSE)&lt;&gt;100%,S15-VLOOKUP($A15,'User Interface (Start Here!)'!$B$18:$N$28,AE$2+1,FALSE)/'User Interface (Start Here!)'!$L$35*$K15*S15,S15-VLOOKUP($A15,'User Interface (Start Here!)'!$B$18:$N$28,AE$2+1,FALSE)*$K15*S15))</f>
        <v>0</v>
      </c>
      <c r="AF15" s="52">
        <f>IF($J15&lt;&gt;1,T15,IF(VLOOKUP($A15,'User Interface (Start Here!)'!$B$18:$N$28,AF$2+1,FALSE)&lt;&gt;100%,T15-VLOOKUP($A15,'User Interface (Start Here!)'!$B$18:$N$28,AF$2+1,FALSE)/'User Interface (Start Here!)'!$L$35*$K15*T15,T15-VLOOKUP($A15,'User Interface (Start Here!)'!$B$18:$N$28,AF$2+1,FALSE)*$K15*T15))</f>
        <v>2.822144348893374E-2</v>
      </c>
      <c r="AG15" s="52">
        <f>IF($J15&lt;&gt;1,U15,IF(VLOOKUP($A15,'User Interface (Start Here!)'!$B$18:$N$28,AG$2+1,FALSE)&lt;&gt;100%,U15-VLOOKUP($A15,'User Interface (Start Here!)'!$B$18:$N$28,AG$2+1,FALSE)/'User Interface (Start Here!)'!$L$35*$K15*U15,U15-VLOOKUP($A15,'User Interface (Start Here!)'!$B$18:$N$28,AG$2+1,FALSE)*$K15*U15))</f>
        <v>3.841001575638063E-2</v>
      </c>
      <c r="AH15" s="52">
        <f>IF($J15&lt;&gt;1,V15,IF(VLOOKUP($A15,'User Interface (Start Here!)'!$B$18:$N$28,AH$2+1,FALSE)&lt;&gt;100%,V15-VLOOKUP($A15,'User Interface (Start Here!)'!$B$18:$N$28,AH$2+1,FALSE)/'User Interface (Start Here!)'!$L$35*$K15*V15,V15-VLOOKUP($A15,'User Interface (Start Here!)'!$B$18:$N$28,AH$2+1,FALSE)*$K15*V15))</f>
        <v>3.1918182077137626E-2</v>
      </c>
      <c r="AI15" s="52">
        <f>IF($J15&lt;&gt;1,W15,IF(VLOOKUP($A15,'User Interface (Start Here!)'!$B$18:$N$28,AI$2+1,FALSE)&lt;&gt;100%,W15-VLOOKUP($A15,'User Interface (Start Here!)'!$B$18:$N$28,AI$2+1,FALSE)/'User Interface (Start Here!)'!$L$35*$K15*W15,W15-VLOOKUP($A15,'User Interface (Start Here!)'!$B$18:$N$28,AI$2+1,FALSE)*$K15*W15))</f>
        <v>0.19132876374789956</v>
      </c>
      <c r="AJ15" s="42">
        <f t="shared" si="0"/>
        <v>0.31674738319249729</v>
      </c>
      <c r="AL15" s="1">
        <v>2770</v>
      </c>
      <c r="AO15" s="1">
        <v>0</v>
      </c>
      <c r="AY15" s="1">
        <v>0</v>
      </c>
      <c r="BA15" s="1">
        <v>2770</v>
      </c>
      <c r="BB15" s="31">
        <f t="shared" si="13"/>
        <v>0</v>
      </c>
      <c r="BC15" s="31">
        <f t="shared" si="1"/>
        <v>0</v>
      </c>
      <c r="BD15" s="31">
        <f t="shared" si="1"/>
        <v>0</v>
      </c>
      <c r="BE15" s="31">
        <f t="shared" si="1"/>
        <v>0</v>
      </c>
      <c r="BF15" s="31">
        <f t="shared" si="1"/>
        <v>0</v>
      </c>
      <c r="BG15" s="31">
        <f t="shared" si="1"/>
        <v>0</v>
      </c>
      <c r="BH15" s="31">
        <f t="shared" si="1"/>
        <v>0</v>
      </c>
      <c r="BI15" s="31">
        <f t="shared" si="1"/>
        <v>0</v>
      </c>
      <c r="BJ15" s="31">
        <f t="shared" si="1"/>
        <v>0</v>
      </c>
      <c r="BK15" s="31">
        <f t="shared" si="1"/>
        <v>0</v>
      </c>
      <c r="BL15" s="31">
        <f t="shared" si="1"/>
        <v>0</v>
      </c>
      <c r="BM15" s="31">
        <f t="shared" si="1"/>
        <v>0</v>
      </c>
      <c r="BO15" s="1">
        <v>2770</v>
      </c>
      <c r="BR15" s="1">
        <v>0</v>
      </c>
      <c r="CB15" s="1">
        <v>0</v>
      </c>
      <c r="CD15" s="1">
        <v>2770</v>
      </c>
      <c r="CE15" s="31">
        <f t="shared" si="14"/>
        <v>0</v>
      </c>
      <c r="CF15" s="31">
        <f t="shared" si="2"/>
        <v>0</v>
      </c>
      <c r="CG15" s="31">
        <f t="shared" si="3"/>
        <v>0</v>
      </c>
      <c r="CH15" s="31">
        <f t="shared" si="4"/>
        <v>0</v>
      </c>
      <c r="CI15" s="31">
        <f t="shared" si="5"/>
        <v>0</v>
      </c>
      <c r="CJ15" s="31">
        <f t="shared" si="6"/>
        <v>0</v>
      </c>
      <c r="CK15" s="31">
        <f t="shared" si="7"/>
        <v>0</v>
      </c>
      <c r="CL15" s="31">
        <f t="shared" si="8"/>
        <v>0</v>
      </c>
      <c r="CM15" s="31">
        <f t="shared" si="9"/>
        <v>0</v>
      </c>
      <c r="CN15" s="31">
        <f t="shared" si="10"/>
        <v>0</v>
      </c>
      <c r="CO15" s="31">
        <f t="shared" si="11"/>
        <v>0</v>
      </c>
      <c r="CP15" s="31">
        <f t="shared" si="12"/>
        <v>0</v>
      </c>
    </row>
    <row r="16" spans="1:94">
      <c r="A16" s="28">
        <v>2880</v>
      </c>
      <c r="B16" s="29">
        <v>8.004429521087923</v>
      </c>
      <c r="C16" s="29">
        <v>1.8731778508885397</v>
      </c>
      <c r="D16" s="22">
        <v>1.9030478874099561</v>
      </c>
      <c r="E16" s="22">
        <v>0.4453468098488616</v>
      </c>
      <c r="G16" s="29">
        <f>IF(ISBLANK('User Interface (Start Here!)'!$L$4),commercial!B16,commercial!C16)</f>
        <v>1.8731778508885397</v>
      </c>
      <c r="H16" s="22">
        <f>IF(ISBLANK('User Interface (Start Here!)'!$L$4),commercial!D16,commercial!E16)</f>
        <v>0.4453468098488616</v>
      </c>
      <c r="I16" s="40">
        <f>(G16+H16)*'User Interface (Start Here!)'!$L$10</f>
        <v>2.0866721946636613</v>
      </c>
      <c r="J16" s="2">
        <f>IF(VLOOKUP(A16,'User Interface (Start Here!)'!$DO$2:$DP$73,2,FALSE)&lt;&gt;0,1,0)</f>
        <v>1</v>
      </c>
      <c r="K16" s="41">
        <f>IF(AND(J16=1,ISBLANK('User Interface (Start Here!)'!$L$14),ISBLANK('User Interface (Start Here!)'!$M$14),ISBLANK('User Interface (Start Here!)'!$N$14)),100%*'User Interface (Start Here!)'!$L$30,IF(J16=1,VLOOKUP(A16,'Bathymetric Closures'!$A$2:$C$57,3,FALSE)*'User Interface (Start Here!)'!$L$30,0%))</f>
        <v>0.89521925486317178</v>
      </c>
      <c r="L16" s="50">
        <f>IF(ISBLANK('User Interface (Start Here!)'!#REF!),$I16*VLOOKUP($A16,$BA$5:$BM$60,L$2+1,FALSE),$I16*VLOOKUP($A16,$CD$6:$CP$60,L$2+1,FALSE))</f>
        <v>9.5587698436668353E-2</v>
      </c>
      <c r="M16" s="50">
        <f>IF(ISBLANK('User Interface (Start Here!)'!#REF!),$I16*VLOOKUP($A16,$BA$5:$BM$60,M$2+1,FALSE),$I16*VLOOKUP($A16,$CD$6:$CP$60,M$2+1,FALSE))</f>
        <v>0.1485357862270025</v>
      </c>
      <c r="N16" s="50">
        <f>IF(ISBLANK('User Interface (Start Here!)'!#REF!),$I16*VLOOKUP($A16,$BA$5:$BM$60,N$2+1,FALSE),$I16*VLOOKUP($A16,$CD$6:$CP$60,N$2+1,FALSE))</f>
        <v>9.3949824015535574E-2</v>
      </c>
      <c r="O16" s="50">
        <f>IF(ISBLANK('User Interface (Start Here!)'!#REF!),$I16*VLOOKUP($A16,$BA$5:$BM$60,O$2+1,FALSE),$I16*VLOOKUP($A16,$CD$6:$CP$60,O$2+1,FALSE))</f>
        <v>0.30784861670317248</v>
      </c>
      <c r="P16" s="50">
        <f>IF(ISBLANK('User Interface (Start Here!)'!#REF!),$I16*VLOOKUP($A16,$BA$5:$BM$60,P$2+1,FALSE),$I16*VLOOKUP($A16,$CD$6:$CP$60,P$2+1,FALSE))</f>
        <v>0.5537526565514137</v>
      </c>
      <c r="Q16" s="50">
        <f>IF(ISBLANK('User Interface (Start Here!)'!#REF!),$I16*VLOOKUP($A16,$BA$5:$BM$60,Q$2+1,FALSE),$I16*VLOOKUP($A16,$CD$6:$CP$60,Q$2+1,FALSE))</f>
        <v>0.25396339460185907</v>
      </c>
      <c r="R16" s="50">
        <f>IF(ISBLANK('User Interface (Start Here!)'!#REF!),$I16*VLOOKUP($A16,$BA$5:$BM$60,R$2+1,FALSE),$I16*VLOOKUP($A16,$CD$6:$CP$60,R$2+1,FALSE))</f>
        <v>5.9508027916866719E-2</v>
      </c>
      <c r="S16" s="50">
        <f>IF(ISBLANK('User Interface (Start Here!)'!#REF!),$I16*VLOOKUP($A16,$BA$5:$BM$60,S$2+1,FALSE),$I16*VLOOKUP($A16,$CD$6:$CP$60,S$2+1,FALSE))</f>
        <v>4.7793849205753643E-2</v>
      </c>
      <c r="T16" s="50">
        <f>IF(ISBLANK('User Interface (Start Here!)'!#REF!),$I16*VLOOKUP($A16,$BA$5:$BM$60,T$2+1,FALSE),$I16*VLOOKUP($A16,$CD$6:$CP$60,T$2+1,FALSE))</f>
        <v>9.7930534037989014E-2</v>
      </c>
      <c r="U16" s="50">
        <f>IF(ISBLANK('User Interface (Start Here!)'!#REF!),$I16*VLOOKUP($A16,$BA$5:$BM$60,U$2+1,FALSE),$I16*VLOOKUP($A16,$CD$6:$CP$60,U$2+1,FALSE))</f>
        <v>6.6067967955335552E-2</v>
      </c>
      <c r="V16" s="50">
        <f>IF(ISBLANK('User Interface (Start Here!)'!#REF!),$I16*VLOOKUP($A16,$BA$5:$BM$60,V$2+1,FALSE),$I16*VLOOKUP($A16,$CD$6:$CP$60,V$2+1,FALSE))</f>
        <v>0.18461545672164312</v>
      </c>
      <c r="W16" s="50">
        <f>IF(ISBLANK('User Interface (Start Here!)'!#REF!),$I16*VLOOKUP($A16,$BA$5:$BM$60,W$2+1,FALSE),$I16*VLOOKUP($A16,$CD$6:$CP$60,W$2+1,FALSE))</f>
        <v>0.17711838229042159</v>
      </c>
      <c r="X16" s="51">
        <f>IF($J16&lt;&gt;1,L16,IF(VLOOKUP($A16,'User Interface (Start Here!)'!$B$18:$N$28,X$2+1,FALSE)&lt;&gt;100%,L16-VLOOKUP($A16,'User Interface (Start Here!)'!$B$18:$N$28,X$2+1,FALSE)/'User Interface (Start Here!)'!$L$35*$K16*L16,L16-VLOOKUP($A16,'User Interface (Start Here!)'!$B$18:$N$28,X$2+1,FALSE)*$K16*L16))</f>
        <v>1.0015750268108539E-2</v>
      </c>
      <c r="Y16" s="52">
        <f>IF($J16&lt;&gt;1,M16,IF(VLOOKUP($A16,'User Interface (Start Here!)'!$B$18:$N$28,Y$2+1,FALSE)&lt;&gt;100%,M16-VLOOKUP($A16,'User Interface (Start Here!)'!$B$18:$N$28,Y$2+1,FALSE)/'User Interface (Start Here!)'!$L$35*$K16*M16,M16-VLOOKUP($A16,'User Interface (Start Here!)'!$B$18:$N$28,Y$2+1,FALSE)*$K16*M16))</f>
        <v>1.5563690360349935E-2</v>
      </c>
      <c r="Z16" s="52">
        <f>IF($J16&lt;&gt;1,N16,IF(VLOOKUP($A16,'User Interface (Start Here!)'!$B$18:$N$28,Z$2+1,FALSE)&lt;&gt;100%,N16-VLOOKUP($A16,'User Interface (Start Here!)'!$B$18:$N$28,Z$2+1,FALSE)/'User Interface (Start Here!)'!$L$35*$K16*N16,N16-VLOOKUP($A16,'User Interface (Start Here!)'!$B$18:$N$28,Z$2+1,FALSE)*$K16*N16))</f>
        <v>9.8441325658217005E-3</v>
      </c>
      <c r="AA16" s="52">
        <f>IF($J16&lt;&gt;1,O16,IF(VLOOKUP($A16,'User Interface (Start Here!)'!$B$18:$N$28,AA$2+1,FALSE)&lt;&gt;100%,O16-VLOOKUP($A16,'User Interface (Start Here!)'!$B$18:$N$28,AA$2+1,FALSE)/'User Interface (Start Here!)'!$L$35*$K16*O16,O16-VLOOKUP($A16,'User Interface (Start Here!)'!$B$18:$N$28,AA$2+1,FALSE)*$K16*O16))</f>
        <v>3.2256607447500252E-2</v>
      </c>
      <c r="AB16" s="52">
        <f>IF($J16&lt;&gt;1,P16,IF(VLOOKUP($A16,'User Interface (Start Here!)'!$B$18:$N$28,AB$2+1,FALSE)&lt;&gt;100%,P16-VLOOKUP($A16,'User Interface (Start Here!)'!$B$18:$N$28,AB$2+1,FALSE)/'User Interface (Start Here!)'!$L$35*$K16*P16,P16-VLOOKUP($A16,'User Interface (Start Here!)'!$B$18:$N$28,AB$2+1,FALSE)*$K16*P16))</f>
        <v>5.8022615974955227E-2</v>
      </c>
      <c r="AC16" s="52">
        <f>IF($J16&lt;&gt;1,Q16,IF(VLOOKUP($A16,'User Interface (Start Here!)'!$B$18:$N$28,AC$2+1,FALSE)&lt;&gt;100%,Q16-VLOOKUP($A16,'User Interface (Start Here!)'!$B$18:$N$28,AC$2+1,FALSE)/'User Interface (Start Here!)'!$L$35*$K16*Q16,Q16-VLOOKUP($A16,'User Interface (Start Here!)'!$B$18:$N$28,AC$2+1,FALSE)*$K16*Q16))</f>
        <v>2.6610473723861133E-2</v>
      </c>
      <c r="AD16" s="52">
        <f>IF($J16&lt;&gt;1,R16,IF(VLOOKUP($A16,'User Interface (Start Here!)'!$B$18:$N$28,AD$2+1,FALSE)&lt;&gt;100%,R16-VLOOKUP($A16,'User Interface (Start Here!)'!$B$18:$N$28,AD$2+1,FALSE)/'User Interface (Start Here!)'!$L$35*$K16*R16,R16-VLOOKUP($A16,'User Interface (Start Here!)'!$B$18:$N$28,AD$2+1,FALSE)*$K16*R16))</f>
        <v>6.2352955067524682E-3</v>
      </c>
      <c r="AE16" s="52">
        <f>IF($J16&lt;&gt;1,S16,IF(VLOOKUP($A16,'User Interface (Start Here!)'!$B$18:$N$28,AE$2+1,FALSE)&lt;&gt;100%,S16-VLOOKUP($A16,'User Interface (Start Here!)'!$B$18:$N$28,AE$2+1,FALSE)/'User Interface (Start Here!)'!$L$35*$K16*S16,S16-VLOOKUP($A16,'User Interface (Start Here!)'!$B$18:$N$28,AE$2+1,FALSE)*$K16*S16))</f>
        <v>5.007875132736074E-3</v>
      </c>
      <c r="AF16" s="52">
        <f>IF($J16&lt;&gt;1,T16,IF(VLOOKUP($A16,'User Interface (Start Here!)'!$B$18:$N$28,AF$2+1,FALSE)&lt;&gt;100%,T16-VLOOKUP($A16,'User Interface (Start Here!)'!$B$18:$N$28,AF$2+1,FALSE)/'User Interface (Start Here!)'!$L$35*$K16*T16,T16-VLOOKUP($A16,'User Interface (Start Here!)'!$B$18:$N$28,AF$2+1,FALSE)*$K16*T16))</f>
        <v>1.0261234328148003E-2</v>
      </c>
      <c r="AG16" s="52">
        <f>IF($J16&lt;&gt;1,U16,IF(VLOOKUP($A16,'User Interface (Start Here!)'!$B$18:$N$28,AG$2+1,FALSE)&lt;&gt;100%,U16-VLOOKUP($A16,'User Interface (Start Here!)'!$B$18:$N$28,AG$2+1,FALSE)/'User Interface (Start Here!)'!$L$35*$K16*U16,U16-VLOOKUP($A16,'User Interface (Start Here!)'!$B$18:$N$28,AG$2+1,FALSE)*$K16*U16))</f>
        <v>6.9226509120361504E-3</v>
      </c>
      <c r="AH16" s="52">
        <f>IF($J16&lt;&gt;1,V16,IF(VLOOKUP($A16,'User Interface (Start Here!)'!$B$18:$N$28,AH$2+1,FALSE)&lt;&gt;100%,V16-VLOOKUP($A16,'User Interface (Start Here!)'!$B$18:$N$28,AH$2+1,FALSE)/'User Interface (Start Here!)'!$L$35*$K16*V16,V16-VLOOKUP($A16,'User Interface (Start Here!)'!$B$18:$N$28,AH$2+1,FALSE)*$K16*V16))</f>
        <v>1.9344145119069622E-2</v>
      </c>
      <c r="AI16" s="52">
        <f>IF($J16&lt;&gt;1,W16,IF(VLOOKUP($A16,'User Interface (Start Here!)'!$B$18:$N$28,AI$2+1,FALSE)&lt;&gt;100%,W16-VLOOKUP($A16,'User Interface (Start Here!)'!$B$18:$N$28,AI$2+1,FALSE)/'User Interface (Start Here!)'!$L$35*$K16*W16,W16-VLOOKUP($A16,'User Interface (Start Here!)'!$B$18:$N$28,AI$2+1,FALSE)*$K16*W16))</f>
        <v>1.8558596073819988E-2</v>
      </c>
      <c r="AJ16" s="42">
        <f t="shared" si="0"/>
        <v>0.21864306741315909</v>
      </c>
      <c r="AL16" s="1">
        <v>2778</v>
      </c>
      <c r="AO16" s="1">
        <v>0</v>
      </c>
      <c r="AX16" s="1">
        <v>0</v>
      </c>
      <c r="AY16" s="1">
        <v>0</v>
      </c>
      <c r="BA16" s="1">
        <v>2778</v>
      </c>
      <c r="BB16" s="31">
        <f t="shared" si="13"/>
        <v>0</v>
      </c>
      <c r="BC16" s="31">
        <f t="shared" si="1"/>
        <v>0</v>
      </c>
      <c r="BD16" s="31">
        <f t="shared" si="1"/>
        <v>0</v>
      </c>
      <c r="BE16" s="31">
        <f t="shared" si="1"/>
        <v>0</v>
      </c>
      <c r="BF16" s="31">
        <f t="shared" si="1"/>
        <v>0</v>
      </c>
      <c r="BG16" s="31">
        <f t="shared" si="1"/>
        <v>0</v>
      </c>
      <c r="BH16" s="31">
        <f t="shared" si="1"/>
        <v>0</v>
      </c>
      <c r="BI16" s="31">
        <f t="shared" si="1"/>
        <v>0</v>
      </c>
      <c r="BJ16" s="31">
        <f t="shared" si="1"/>
        <v>0</v>
      </c>
      <c r="BK16" s="31">
        <f t="shared" si="1"/>
        <v>0</v>
      </c>
      <c r="BL16" s="31">
        <f t="shared" si="1"/>
        <v>0</v>
      </c>
      <c r="BM16" s="31">
        <f t="shared" si="1"/>
        <v>0</v>
      </c>
      <c r="BO16" s="1">
        <v>2778</v>
      </c>
      <c r="BR16" s="1">
        <v>0</v>
      </c>
      <c r="CA16" s="1">
        <v>0</v>
      </c>
      <c r="CB16" s="1">
        <v>0</v>
      </c>
      <c r="CD16" s="1">
        <v>2778</v>
      </c>
      <c r="CE16" s="31">
        <f t="shared" si="14"/>
        <v>0</v>
      </c>
      <c r="CF16" s="31">
        <f t="shared" si="2"/>
        <v>0</v>
      </c>
      <c r="CG16" s="31">
        <f t="shared" si="3"/>
        <v>0</v>
      </c>
      <c r="CH16" s="31">
        <f t="shared" si="4"/>
        <v>0</v>
      </c>
      <c r="CI16" s="31">
        <f t="shared" si="5"/>
        <v>0</v>
      </c>
      <c r="CJ16" s="31">
        <f t="shared" si="6"/>
        <v>0</v>
      </c>
      <c r="CK16" s="31">
        <f t="shared" si="7"/>
        <v>0</v>
      </c>
      <c r="CL16" s="31">
        <f t="shared" si="8"/>
        <v>0</v>
      </c>
      <c r="CM16" s="31">
        <f t="shared" si="9"/>
        <v>0</v>
      </c>
      <c r="CN16" s="31">
        <f t="shared" si="10"/>
        <v>0</v>
      </c>
      <c r="CO16" s="31">
        <f t="shared" si="11"/>
        <v>0</v>
      </c>
      <c r="CP16" s="31">
        <f t="shared" si="12"/>
        <v>0</v>
      </c>
    </row>
    <row r="17" spans="1:94">
      <c r="A17" s="28">
        <v>2979</v>
      </c>
      <c r="B17" s="29">
        <v>0</v>
      </c>
      <c r="C17" s="29">
        <v>0</v>
      </c>
      <c r="D17" s="22">
        <v>0</v>
      </c>
      <c r="E17" s="22">
        <v>0</v>
      </c>
      <c r="G17" s="29">
        <f>IF(ISBLANK('User Interface (Start Here!)'!$L$4),commercial!B17,commercial!C17)</f>
        <v>0</v>
      </c>
      <c r="H17" s="22">
        <f>IF(ISBLANK('User Interface (Start Here!)'!$L$4),commercial!D17,commercial!E17)</f>
        <v>0</v>
      </c>
      <c r="I17" s="40">
        <f>(G17+H17)*'User Interface (Start Here!)'!$L$10</f>
        <v>0</v>
      </c>
      <c r="J17" s="2">
        <f>IF(VLOOKUP(A17,'User Interface (Start Here!)'!$DO$2:$DP$73,2,FALSE)&lt;&gt;0,1,0)</f>
        <v>0</v>
      </c>
      <c r="K17" s="41">
        <f>IF(AND(J17=1,ISBLANK('User Interface (Start Here!)'!$L$14),ISBLANK('User Interface (Start Here!)'!$M$14),ISBLANK('User Interface (Start Here!)'!$N$14)),100%*'User Interface (Start Here!)'!$L$30,IF(J17=1,VLOOKUP(A17,'Bathymetric Closures'!$A$2:$C$57,3,FALSE)*'User Interface (Start Here!)'!$L$30,0%))</f>
        <v>0</v>
      </c>
      <c r="L17" s="50">
        <f>IF(ISBLANK('User Interface (Start Here!)'!$L18),$I17*VLOOKUP($A17,$BA$5:$BM$60,L$2+1,FALSE),$I17*VLOOKUP($A17,$CD$6:$CP$60,L$2+1,FALSE))</f>
        <v>0</v>
      </c>
      <c r="M17" s="50">
        <f>IF(ISBLANK('User Interface (Start Here!)'!$L18),$I17*VLOOKUP($A17,$BA$5:$BM$60,M$2+1,FALSE),$I17*VLOOKUP($A17,$CD$6:$CP$60,M$2+1,FALSE))</f>
        <v>0</v>
      </c>
      <c r="N17" s="50">
        <f>IF(ISBLANK('User Interface (Start Here!)'!$L18),$I17*VLOOKUP($A17,$BA$5:$BM$60,N$2+1,FALSE),$I17*VLOOKUP($A17,$CD$6:$CP$60,N$2+1,FALSE))</f>
        <v>0</v>
      </c>
      <c r="O17" s="50">
        <f>IF(ISBLANK('User Interface (Start Here!)'!$L18),$I17*VLOOKUP($A17,$BA$5:$BM$60,O$2+1,FALSE),$I17*VLOOKUP($A17,$CD$6:$CP$60,O$2+1,FALSE))</f>
        <v>0</v>
      </c>
      <c r="P17" s="50">
        <f>IF(ISBLANK('User Interface (Start Here!)'!$L18),$I17*VLOOKUP($A17,$BA$5:$BM$60,P$2+1,FALSE),$I17*VLOOKUP($A17,$CD$6:$CP$60,P$2+1,FALSE))</f>
        <v>0</v>
      </c>
      <c r="Q17" s="50">
        <f>IF(ISBLANK('User Interface (Start Here!)'!$L18),$I17*VLOOKUP($A17,$BA$5:$BM$60,Q$2+1,FALSE),$I17*VLOOKUP($A17,$CD$6:$CP$60,Q$2+1,FALSE))</f>
        <v>0</v>
      </c>
      <c r="R17" s="50">
        <f>IF(ISBLANK('User Interface (Start Here!)'!$L18),$I17*VLOOKUP($A17,$BA$5:$BM$60,R$2+1,FALSE),$I17*VLOOKUP($A17,$CD$6:$CP$60,R$2+1,FALSE))</f>
        <v>0</v>
      </c>
      <c r="S17" s="50">
        <f>IF(ISBLANK('User Interface (Start Here!)'!$L18),$I17*VLOOKUP($A17,$BA$5:$BM$60,S$2+1,FALSE),$I17*VLOOKUP($A17,$CD$6:$CP$60,S$2+1,FALSE))</f>
        <v>0</v>
      </c>
      <c r="T17" s="50">
        <f>IF(ISBLANK('User Interface (Start Here!)'!$L18),$I17*VLOOKUP($A17,$BA$5:$BM$60,T$2+1,FALSE),$I17*VLOOKUP($A17,$CD$6:$CP$60,T$2+1,FALSE))</f>
        <v>0</v>
      </c>
      <c r="U17" s="50">
        <f>IF(ISBLANK('User Interface (Start Here!)'!$L18),$I17*VLOOKUP($A17,$BA$5:$BM$60,U$2+1,FALSE),$I17*VLOOKUP($A17,$CD$6:$CP$60,U$2+1,FALSE))</f>
        <v>0</v>
      </c>
      <c r="V17" s="50">
        <f>IF(ISBLANK('User Interface (Start Here!)'!$L18),$I17*VLOOKUP($A17,$BA$5:$BM$60,V$2+1,FALSE),$I17*VLOOKUP($A17,$CD$6:$CP$60,V$2+1,FALSE))</f>
        <v>0</v>
      </c>
      <c r="W17" s="50">
        <f>IF(ISBLANK('User Interface (Start Here!)'!$L18),$I17*VLOOKUP($A17,$BA$5:$BM$60,W$2+1,FALSE),$I17*VLOOKUP($A17,$CD$6:$CP$60,W$2+1,FALSE))</f>
        <v>0</v>
      </c>
      <c r="X17" s="51">
        <f>IF($J17&lt;&gt;1,L17,IF(VLOOKUP($A17,'User Interface (Start Here!)'!$B$18:$N$28,X$2+1,FALSE)&lt;&gt;100%,L17-VLOOKUP($A17,'User Interface (Start Here!)'!$B$18:$N$28,X$2+1,FALSE)/'User Interface (Start Here!)'!$L$35*$K17*L17,L17-VLOOKUP($A17,'User Interface (Start Here!)'!$B$18:$N$28,X$2+1,FALSE)*$K17*L17))</f>
        <v>0</v>
      </c>
      <c r="Y17" s="52">
        <f>IF($J17&lt;&gt;1,M17,IF(VLOOKUP($A17,'User Interface (Start Here!)'!$B$18:$N$28,Y$2+1,FALSE)&lt;&gt;100%,M17-VLOOKUP($A17,'User Interface (Start Here!)'!$B$18:$N$28,Y$2+1,FALSE)/'User Interface (Start Here!)'!$L$35*$K17*M17,M17-VLOOKUP($A17,'User Interface (Start Here!)'!$B$18:$N$28,Y$2+1,FALSE)*$K17*M17))</f>
        <v>0</v>
      </c>
      <c r="Z17" s="52">
        <f>IF($J17&lt;&gt;1,N17,IF(VLOOKUP($A17,'User Interface (Start Here!)'!$B$18:$N$28,Z$2+1,FALSE)&lt;&gt;100%,N17-VLOOKUP($A17,'User Interface (Start Here!)'!$B$18:$N$28,Z$2+1,FALSE)/'User Interface (Start Here!)'!$L$35*$K17*N17,N17-VLOOKUP($A17,'User Interface (Start Here!)'!$B$18:$N$28,Z$2+1,FALSE)*$K17*N17))</f>
        <v>0</v>
      </c>
      <c r="AA17" s="52">
        <f>IF($J17&lt;&gt;1,O17,IF(VLOOKUP($A17,'User Interface (Start Here!)'!$B$18:$N$28,AA$2+1,FALSE)&lt;&gt;100%,O17-VLOOKUP($A17,'User Interface (Start Here!)'!$B$18:$N$28,AA$2+1,FALSE)/'User Interface (Start Here!)'!$L$35*$K17*O17,O17-VLOOKUP($A17,'User Interface (Start Here!)'!$B$18:$N$28,AA$2+1,FALSE)*$K17*O17))</f>
        <v>0</v>
      </c>
      <c r="AB17" s="52">
        <f>IF($J17&lt;&gt;1,P17,IF(VLOOKUP($A17,'User Interface (Start Here!)'!$B$18:$N$28,AB$2+1,FALSE)&lt;&gt;100%,P17-VLOOKUP($A17,'User Interface (Start Here!)'!$B$18:$N$28,AB$2+1,FALSE)/'User Interface (Start Here!)'!$L$35*$K17*P17,P17-VLOOKUP($A17,'User Interface (Start Here!)'!$B$18:$N$28,AB$2+1,FALSE)*$K17*P17))</f>
        <v>0</v>
      </c>
      <c r="AC17" s="52">
        <f>IF($J17&lt;&gt;1,Q17,IF(VLOOKUP($A17,'User Interface (Start Here!)'!$B$18:$N$28,AC$2+1,FALSE)&lt;&gt;100%,Q17-VLOOKUP($A17,'User Interface (Start Here!)'!$B$18:$N$28,AC$2+1,FALSE)/'User Interface (Start Here!)'!$L$35*$K17*Q17,Q17-VLOOKUP($A17,'User Interface (Start Here!)'!$B$18:$N$28,AC$2+1,FALSE)*$K17*Q17))</f>
        <v>0</v>
      </c>
      <c r="AD17" s="52">
        <f>IF($J17&lt;&gt;1,R17,IF(VLOOKUP($A17,'User Interface (Start Here!)'!$B$18:$N$28,AD$2+1,FALSE)&lt;&gt;100%,R17-VLOOKUP($A17,'User Interface (Start Here!)'!$B$18:$N$28,AD$2+1,FALSE)/'User Interface (Start Here!)'!$L$35*$K17*R17,R17-VLOOKUP($A17,'User Interface (Start Here!)'!$B$18:$N$28,AD$2+1,FALSE)*$K17*R17))</f>
        <v>0</v>
      </c>
      <c r="AE17" s="52">
        <f>IF($J17&lt;&gt;1,S17,IF(VLOOKUP($A17,'User Interface (Start Here!)'!$B$18:$N$28,AE$2+1,FALSE)&lt;&gt;100%,S17-VLOOKUP($A17,'User Interface (Start Here!)'!$B$18:$N$28,AE$2+1,FALSE)/'User Interface (Start Here!)'!$L$35*$K17*S17,S17-VLOOKUP($A17,'User Interface (Start Here!)'!$B$18:$N$28,AE$2+1,FALSE)*$K17*S17))</f>
        <v>0</v>
      </c>
      <c r="AF17" s="52">
        <f>IF($J17&lt;&gt;1,T17,IF(VLOOKUP($A17,'User Interface (Start Here!)'!$B$18:$N$28,AF$2+1,FALSE)&lt;&gt;100%,T17-VLOOKUP($A17,'User Interface (Start Here!)'!$B$18:$N$28,AF$2+1,FALSE)/'User Interface (Start Here!)'!$L$35*$K17*T17,T17-VLOOKUP($A17,'User Interface (Start Here!)'!$B$18:$N$28,AF$2+1,FALSE)*$K17*T17))</f>
        <v>0</v>
      </c>
      <c r="AG17" s="52">
        <f>IF($J17&lt;&gt;1,U17,IF(VLOOKUP($A17,'User Interface (Start Here!)'!$B$18:$N$28,AG$2+1,FALSE)&lt;&gt;100%,U17-VLOOKUP($A17,'User Interface (Start Here!)'!$B$18:$N$28,AG$2+1,FALSE)/'User Interface (Start Here!)'!$L$35*$K17*U17,U17-VLOOKUP($A17,'User Interface (Start Here!)'!$B$18:$N$28,AG$2+1,FALSE)*$K17*U17))</f>
        <v>0</v>
      </c>
      <c r="AH17" s="52">
        <f>IF($J17&lt;&gt;1,V17,IF(VLOOKUP($A17,'User Interface (Start Here!)'!$B$18:$N$28,AH$2+1,FALSE)&lt;&gt;100%,V17-VLOOKUP($A17,'User Interface (Start Here!)'!$B$18:$N$28,AH$2+1,FALSE)/'User Interface (Start Here!)'!$L$35*$K17*V17,V17-VLOOKUP($A17,'User Interface (Start Here!)'!$B$18:$N$28,AH$2+1,FALSE)*$K17*V17))</f>
        <v>0</v>
      </c>
      <c r="AI17" s="52">
        <f>IF($J17&lt;&gt;1,W17,IF(VLOOKUP($A17,'User Interface (Start Here!)'!$B$18:$N$28,AI$2+1,FALSE)&lt;&gt;100%,W17-VLOOKUP($A17,'User Interface (Start Here!)'!$B$18:$N$28,AI$2+1,FALSE)/'User Interface (Start Here!)'!$L$35*$K17*W17,W17-VLOOKUP($A17,'User Interface (Start Here!)'!$B$18:$N$28,AI$2+1,FALSE)*$K17*W17))</f>
        <v>0</v>
      </c>
      <c r="AJ17" s="42">
        <f t="shared" si="0"/>
        <v>0</v>
      </c>
      <c r="AL17" s="1">
        <v>2779</v>
      </c>
      <c r="AM17" s="1">
        <v>3.0649999976158145E-2</v>
      </c>
      <c r="AN17" s="1">
        <v>7.073999997973443E-2</v>
      </c>
      <c r="AO17" s="1">
        <v>8.8799999952316293E-3</v>
      </c>
      <c r="AP17" s="1">
        <v>2.5000000000000001E-2</v>
      </c>
      <c r="AQ17" s="1">
        <v>2.2199999973177911E-2</v>
      </c>
      <c r="AR17" s="1">
        <v>3.3299999952316285E-2</v>
      </c>
      <c r="AS17" s="1">
        <v>6.659999984502793E-2</v>
      </c>
      <c r="AT17" s="1">
        <v>0</v>
      </c>
      <c r="AU17" s="1">
        <v>9.7679999887943264E-2</v>
      </c>
      <c r="AV17" s="1">
        <v>5.5499999970197679E-3</v>
      </c>
      <c r="AW17" s="1">
        <v>0</v>
      </c>
      <c r="AX17" s="1">
        <v>0</v>
      </c>
      <c r="AY17" s="1">
        <v>0.36059999960660938</v>
      </c>
      <c r="BA17" s="1">
        <v>2779</v>
      </c>
      <c r="BB17" s="31">
        <f t="shared" si="13"/>
        <v>8.499722687075778E-2</v>
      </c>
      <c r="BC17" s="31">
        <f t="shared" si="1"/>
        <v>0.19617304508293695</v>
      </c>
      <c r="BD17" s="31">
        <f t="shared" si="1"/>
        <v>2.4625623973708041E-2</v>
      </c>
      <c r="BE17" s="31">
        <f t="shared" si="1"/>
        <v>6.9328896359604375E-2</v>
      </c>
      <c r="BF17" s="31">
        <f t="shared" si="1"/>
        <v>6.1564059892946853E-2</v>
      </c>
      <c r="BG17" s="31">
        <f t="shared" si="1"/>
        <v>9.234608981875865E-2</v>
      </c>
      <c r="BH17" s="31">
        <f t="shared" si="1"/>
        <v>0.18469217947222435</v>
      </c>
      <c r="BI17" s="31">
        <f t="shared" si="1"/>
        <v>0</v>
      </c>
      <c r="BJ17" s="31">
        <f t="shared" si="1"/>
        <v>0.27088186354549543</v>
      </c>
      <c r="BK17" s="31">
        <f t="shared" si="1"/>
        <v>1.5391014983567522E-2</v>
      </c>
      <c r="BL17" s="31">
        <f t="shared" si="1"/>
        <v>0</v>
      </c>
      <c r="BM17" s="31">
        <f t="shared" si="1"/>
        <v>0</v>
      </c>
      <c r="BO17" s="1">
        <v>2779</v>
      </c>
      <c r="BP17" s="1">
        <v>0</v>
      </c>
      <c r="BQ17" s="1">
        <v>3.3299999982118605E-3</v>
      </c>
      <c r="BR17" s="1">
        <v>0</v>
      </c>
      <c r="BS17" s="1">
        <v>0</v>
      </c>
      <c r="BT17" s="1">
        <v>6.6599999964237211E-3</v>
      </c>
      <c r="BU17" s="1">
        <v>3.3299999952316285E-2</v>
      </c>
      <c r="BV17" s="1">
        <v>2.2199999988079073E-3</v>
      </c>
      <c r="BW17" s="1">
        <v>0</v>
      </c>
      <c r="BX17" s="1">
        <v>1.3319999992847444E-2</v>
      </c>
      <c r="BY17" s="1">
        <v>5.5499999970197679E-3</v>
      </c>
      <c r="BZ17" s="1">
        <v>0</v>
      </c>
      <c r="CA17" s="1">
        <v>0</v>
      </c>
      <c r="CB17" s="1">
        <v>6.4379999935626986E-2</v>
      </c>
      <c r="CD17" s="1">
        <v>2779</v>
      </c>
      <c r="CE17" s="31">
        <f t="shared" si="14"/>
        <v>0</v>
      </c>
      <c r="CF17" s="31">
        <f t="shared" si="2"/>
        <v>5.1724137954978239E-2</v>
      </c>
      <c r="CG17" s="31">
        <f t="shared" si="3"/>
        <v>0</v>
      </c>
      <c r="CH17" s="31">
        <f t="shared" si="4"/>
        <v>0</v>
      </c>
      <c r="CI17" s="31">
        <f t="shared" si="5"/>
        <v>0.10344827590995648</v>
      </c>
      <c r="CJ17" s="31">
        <f t="shared" si="6"/>
        <v>0.51724137908686973</v>
      </c>
      <c r="CK17" s="31">
        <f t="shared" si="7"/>
        <v>3.4482758636652164E-2</v>
      </c>
      <c r="CL17" s="31">
        <f t="shared" si="8"/>
        <v>0</v>
      </c>
      <c r="CM17" s="31">
        <f t="shared" si="9"/>
        <v>0.20689655181991298</v>
      </c>
      <c r="CN17" s="31">
        <f t="shared" si="10"/>
        <v>8.6206896591630403E-2</v>
      </c>
      <c r="CO17" s="31">
        <f t="shared" si="11"/>
        <v>0</v>
      </c>
      <c r="CP17" s="31">
        <f t="shared" si="12"/>
        <v>0</v>
      </c>
    </row>
    <row r="18" spans="1:94">
      <c r="A18" s="28">
        <v>2980</v>
      </c>
      <c r="B18" s="29">
        <v>12.806320323900849</v>
      </c>
      <c r="C18" s="29">
        <v>4.1220033051552782</v>
      </c>
      <c r="D18" s="22">
        <v>3.0446942875427183</v>
      </c>
      <c r="E18" s="22">
        <v>0.98000359189950625</v>
      </c>
      <c r="G18" s="29">
        <f>IF(ISBLANK('User Interface (Start Here!)'!$L$4),commercial!B18,commercial!C18)</f>
        <v>4.1220033051552782</v>
      </c>
      <c r="H18" s="22">
        <f>IF(ISBLANK('User Interface (Start Here!)'!$L$4),commercial!D18,commercial!E18)</f>
        <v>0.98000359189950625</v>
      </c>
      <c r="I18" s="40">
        <f>(G18+H18)*'User Interface (Start Here!)'!$L$10</f>
        <v>4.5918062073493058</v>
      </c>
      <c r="J18" s="2">
        <f>IF(VLOOKUP(A18,'User Interface (Start Here!)'!$DO$2:$DP$73,2,FALSE)&lt;&gt;0,1,0)</f>
        <v>1</v>
      </c>
      <c r="K18" s="41">
        <f>IF(AND(J18=1,ISBLANK('User Interface (Start Here!)'!$L$14),ISBLANK('User Interface (Start Here!)'!$M$14),ISBLANK('User Interface (Start Here!)'!$N$14)),100%*'User Interface (Start Here!)'!$L$30,IF(J18=1,VLOOKUP(A18,'Bathymetric Closures'!$A$2:$C$57,3,FALSE)*'User Interface (Start Here!)'!$L$30,0%))</f>
        <v>0.93680614859094791</v>
      </c>
      <c r="L18" s="50">
        <f>IF(ISBLANK('User Interface (Start Here!)'!$L19),$I18*VLOOKUP($A18,$BA$5:$BM$60,L$2+1,FALSE),$I18*VLOOKUP($A18,$CD$6:$CP$60,L$2+1,FALSE))</f>
        <v>0.68052389150843018</v>
      </c>
      <c r="M18" s="50">
        <f>IF(ISBLANK('User Interface (Start Here!)'!$L19),$I18*VLOOKUP($A18,$BA$5:$BM$60,M$2+1,FALSE),$I18*VLOOKUP($A18,$CD$6:$CP$60,M$2+1,FALSE))</f>
        <v>0.18211817743631636</v>
      </c>
      <c r="N18" s="50">
        <f>IF(ISBLANK('User Interface (Start Here!)'!$L19),$I18*VLOOKUP($A18,$BA$5:$BM$60,N$2+1,FALSE),$I18*VLOOKUP($A18,$CD$6:$CP$60,N$2+1,FALSE))</f>
        <v>0.38124036814007412</v>
      </c>
      <c r="O18" s="50">
        <f>IF(ISBLANK('User Interface (Start Here!)'!$L19),$I18*VLOOKUP($A18,$BA$5:$BM$60,O$2+1,FALSE),$I18*VLOOKUP($A18,$CD$6:$CP$60,O$2+1,FALSE))</f>
        <v>0.28728076017063958</v>
      </c>
      <c r="P18" s="50">
        <f>IF(ISBLANK('User Interface (Start Here!)'!$L19),$I18*VLOOKUP($A18,$BA$5:$BM$60,P$2+1,FALSE),$I18*VLOOKUP($A18,$CD$6:$CP$60,P$2+1,FALSE))</f>
        <v>0.68422619548086805</v>
      </c>
      <c r="Q18" s="50">
        <f>IF(ISBLANK('User Interface (Start Here!)'!$L19),$I18*VLOOKUP($A18,$BA$5:$BM$60,Q$2+1,FALSE),$I18*VLOOKUP($A18,$CD$6:$CP$60,Q$2+1,FALSE))</f>
        <v>0.53961670626160174</v>
      </c>
      <c r="R18" s="50">
        <f>IF(ISBLANK('User Interface (Start Here!)'!$L19),$I18*VLOOKUP($A18,$BA$5:$BM$60,R$2+1,FALSE),$I18*VLOOKUP($A18,$CD$6:$CP$60,R$2+1,FALSE))</f>
        <v>0.44244763472148063</v>
      </c>
      <c r="S18" s="50">
        <f>IF(ISBLANK('User Interface (Start Here!)'!$L19),$I18*VLOOKUP($A18,$BA$5:$BM$60,S$2+1,FALSE),$I18*VLOOKUP($A18,$CD$6:$CP$60,S$2+1,FALSE))</f>
        <v>0.35840857277804383</v>
      </c>
      <c r="T18" s="50">
        <f>IF(ISBLANK('User Interface (Start Here!)'!$L19),$I18*VLOOKUP($A18,$BA$5:$BM$60,T$2+1,FALSE),$I18*VLOOKUP($A18,$CD$6:$CP$60,T$2+1,FALSE))</f>
        <v>0.54566376353899571</v>
      </c>
      <c r="U18" s="50">
        <f>IF(ISBLANK('User Interface (Start Here!)'!$L19),$I18*VLOOKUP($A18,$BA$5:$BM$60,U$2+1,FALSE),$I18*VLOOKUP($A18,$CD$6:$CP$60,U$2+1,FALSE))</f>
        <v>0.13434961855776642</v>
      </c>
      <c r="V18" s="50">
        <f>IF(ISBLANK('User Interface (Start Here!)'!$L19),$I18*VLOOKUP($A18,$BA$5:$BM$60,V$2+1,FALSE),$I18*VLOOKUP($A18,$CD$6:$CP$60,V$2+1,FALSE))</f>
        <v>5.3946357426690919E-2</v>
      </c>
      <c r="W18" s="50">
        <f>IF(ISBLANK('User Interface (Start Here!)'!$L19),$I18*VLOOKUP($A18,$BA$5:$BM$60,W$2+1,FALSE),$I18*VLOOKUP($A18,$CD$6:$CP$60,W$2+1,FALSE))</f>
        <v>0.30198416132839878</v>
      </c>
      <c r="X18" s="51">
        <f>IF($J18&lt;&gt;1,L18,IF(VLOOKUP($A18,'User Interface (Start Here!)'!$B$18:$N$28,X$2+1,FALSE)&lt;&gt;100%,L18-VLOOKUP($A18,'User Interface (Start Here!)'!$B$18:$N$28,X$2+1,FALSE)/'User Interface (Start Here!)'!$L$35*$K18*L18,L18-VLOOKUP($A18,'User Interface (Start Here!)'!$B$18:$N$28,X$2+1,FALSE)*$K18*L18))</f>
        <v>4.3004925680293571E-2</v>
      </c>
      <c r="Y18" s="52">
        <f>IF($J18&lt;&gt;1,M18,IF(VLOOKUP($A18,'User Interface (Start Here!)'!$B$18:$N$28,Y$2+1,FALSE)&lt;&gt;100%,M18-VLOOKUP($A18,'User Interface (Start Here!)'!$B$18:$N$28,Y$2+1,FALSE)/'User Interface (Start Here!)'!$L$35*$K18*M18,M18-VLOOKUP($A18,'User Interface (Start Here!)'!$B$18:$N$28,Y$2+1,FALSE)*$K18*M18))</f>
        <v>1.150874904379795E-2</v>
      </c>
      <c r="Z18" s="52">
        <f>IF($J18&lt;&gt;1,N18,IF(VLOOKUP($A18,'User Interface (Start Here!)'!$B$18:$N$28,Z$2+1,FALSE)&lt;&gt;100%,N18-VLOOKUP($A18,'User Interface (Start Here!)'!$B$18:$N$28,Z$2+1,FALSE)/'User Interface (Start Here!)'!$L$35*$K18*N18,N18-VLOOKUP($A18,'User Interface (Start Here!)'!$B$18:$N$28,Z$2+1,FALSE)*$K18*N18))</f>
        <v>2.4092047175376163E-2</v>
      </c>
      <c r="AA18" s="52">
        <f>IF($J18&lt;&gt;1,O18,IF(VLOOKUP($A18,'User Interface (Start Here!)'!$B$18:$N$28,AA$2+1,FALSE)&lt;&gt;100%,O18-VLOOKUP($A18,'User Interface (Start Here!)'!$B$18:$N$28,AA$2+1,FALSE)/'User Interface (Start Here!)'!$L$35*$K18*O18,O18-VLOOKUP($A18,'User Interface (Start Here!)'!$B$18:$N$28,AA$2+1,FALSE)*$K18*O18))</f>
        <v>1.8154377670902944E-2</v>
      </c>
      <c r="AB18" s="52">
        <f>IF($J18&lt;&gt;1,P18,IF(VLOOKUP($A18,'User Interface (Start Here!)'!$B$18:$N$28,AB$2+1,FALSE)&lt;&gt;100%,P18-VLOOKUP($A18,'User Interface (Start Here!)'!$B$18:$N$28,AB$2+1,FALSE)/'User Interface (Start Here!)'!$L$35*$K18*P18,P18-VLOOKUP($A18,'User Interface (Start Here!)'!$B$18:$N$28,AB$2+1,FALSE)*$K18*P18))</f>
        <v>4.3238888527398989E-2</v>
      </c>
      <c r="AC18" s="52">
        <f>IF($J18&lt;&gt;1,Q18,IF(VLOOKUP($A18,'User Interface (Start Here!)'!$B$18:$N$28,AC$2+1,FALSE)&lt;&gt;100%,Q18-VLOOKUP($A18,'User Interface (Start Here!)'!$B$18:$N$28,AC$2+1,FALSE)/'User Interface (Start Here!)'!$L$35*$K18*Q18,Q18-VLOOKUP($A18,'User Interface (Start Here!)'!$B$18:$N$28,AC$2+1,FALSE)*$K18*Q18))</f>
        <v>3.4100457953337826E-2</v>
      </c>
      <c r="AD18" s="52">
        <f>IF($J18&lt;&gt;1,R18,IF(VLOOKUP($A18,'User Interface (Start Here!)'!$B$18:$N$28,AD$2+1,FALSE)&lt;&gt;100%,R18-VLOOKUP($A18,'User Interface (Start Here!)'!$B$18:$N$28,AD$2+1,FALSE)/'User Interface (Start Here!)'!$L$35*$K18*R18,R18-VLOOKUP($A18,'User Interface (Start Here!)'!$B$18:$N$28,AD$2+1,FALSE)*$K18*R18))</f>
        <v>2.7959970084875829E-2</v>
      </c>
      <c r="AE18" s="52">
        <f>IF($J18&lt;&gt;1,S18,IF(VLOOKUP($A18,'User Interface (Start Here!)'!$B$18:$N$28,AE$2+1,FALSE)&lt;&gt;100%,S18-VLOOKUP($A18,'User Interface (Start Here!)'!$B$18:$N$28,AE$2+1,FALSE)/'User Interface (Start Here!)'!$L$35*$K18*S18,S18-VLOOKUP($A18,'User Interface (Start Here!)'!$B$18:$N$28,AE$2+1,FALSE)*$K18*S18))</f>
        <v>2.2649218091866152E-2</v>
      </c>
      <c r="AF18" s="52">
        <f>IF($J18&lt;&gt;1,T18,IF(VLOOKUP($A18,'User Interface (Start Here!)'!$B$18:$N$28,AF$2+1,FALSE)&lt;&gt;100%,T18-VLOOKUP($A18,'User Interface (Start Here!)'!$B$18:$N$28,AF$2+1,FALSE)/'User Interface (Start Here!)'!$L$35*$K18*T18,T18-VLOOKUP($A18,'User Interface (Start Here!)'!$B$18:$N$28,AF$2+1,FALSE)*$K18*T18))</f>
        <v>3.4482594792387466E-2</v>
      </c>
      <c r="AG18" s="52">
        <f>IF($J18&lt;&gt;1,U18,IF(VLOOKUP($A18,'User Interface (Start Here!)'!$B$18:$N$28,AG$2+1,FALSE)&lt;&gt;100%,U18-VLOOKUP($A18,'User Interface (Start Here!)'!$B$18:$N$28,AG$2+1,FALSE)/'User Interface (Start Here!)'!$L$35*$K18*U18,U18-VLOOKUP($A18,'User Interface (Start Here!)'!$B$18:$N$28,AG$2+1,FALSE)*$K18*U18))</f>
        <v>8.4900698320023171E-3</v>
      </c>
      <c r="AH18" s="52">
        <f>IF($J18&lt;&gt;1,V18,IF(VLOOKUP($A18,'User Interface (Start Here!)'!$B$18:$N$28,AH$2+1,FALSE)&lt;&gt;100%,V18-VLOOKUP($A18,'User Interface (Start Here!)'!$B$18:$N$28,AH$2+1,FALSE)/'User Interface (Start Here!)'!$L$35*$K18*V18,V18-VLOOKUP($A18,'User Interface (Start Here!)'!$B$18:$N$28,AH$2+1,FALSE)*$K18*V18))</f>
        <v>3.4090780952819172E-3</v>
      </c>
      <c r="AI18" s="52">
        <f>IF($J18&lt;&gt;1,W18,IF(VLOOKUP($A18,'User Interface (Start Here!)'!$B$18:$N$28,AI$2+1,FALSE)&lt;&gt;100%,W18-VLOOKUP($A18,'User Interface (Start Here!)'!$B$18:$N$28,AI$2+1,FALSE)/'User Interface (Start Here!)'!$L$35*$K18*W18,W18-VLOOKUP($A18,'User Interface (Start Here!)'!$B$18:$N$28,AI$2+1,FALSE)*$K18*W18))</f>
        <v>1.9083542218874039E-2</v>
      </c>
      <c r="AJ18" s="42">
        <f t="shared" si="0"/>
        <v>0.29017391916639518</v>
      </c>
      <c r="AL18" s="1">
        <v>2780</v>
      </c>
      <c r="AM18" s="1">
        <v>3.662999999523163E-2</v>
      </c>
      <c r="AN18" s="1">
        <v>7.3259999915957441E-2</v>
      </c>
      <c r="AO18" s="1">
        <v>0</v>
      </c>
      <c r="AP18" s="1">
        <v>0.34742999941110614</v>
      </c>
      <c r="AQ18" s="1">
        <v>8.6579999953508374E-2</v>
      </c>
      <c r="AR18" s="1">
        <v>0.39071999955177306</v>
      </c>
      <c r="AS18" s="1">
        <v>7.1039999932050707E-2</v>
      </c>
      <c r="AT18" s="1">
        <v>2.3309999972581864E-2</v>
      </c>
      <c r="AU18" s="1">
        <v>3.3854999959468841E-2</v>
      </c>
      <c r="AV18" s="1">
        <v>0.20867999950051305</v>
      </c>
      <c r="AW18" s="1">
        <v>3.4409999966621405E-2</v>
      </c>
      <c r="AX18" s="1">
        <v>0.15917999985814094</v>
      </c>
      <c r="AY18" s="1">
        <v>1.4650949980169534</v>
      </c>
      <c r="BA18" s="1">
        <v>2780</v>
      </c>
      <c r="BB18" s="31">
        <f t="shared" si="13"/>
        <v>2.5001791723274838E-2</v>
      </c>
      <c r="BC18" s="31">
        <f t="shared" si="1"/>
        <v>5.0003583395695758E-2</v>
      </c>
      <c r="BD18" s="31">
        <f t="shared" si="1"/>
        <v>0</v>
      </c>
      <c r="BE18" s="31">
        <f t="shared" si="1"/>
        <v>0.23713820597392132</v>
      </c>
      <c r="BF18" s="31">
        <f t="shared" si="1"/>
        <v>5.9095144049155036E-2</v>
      </c>
      <c r="BG18" s="31">
        <f t="shared" si="1"/>
        <v>0.26668577811037741</v>
      </c>
      <c r="BH18" s="31">
        <f t="shared" si="1"/>
        <v>4.8488323302042058E-2</v>
      </c>
      <c r="BI18" s="31">
        <f t="shared" si="1"/>
        <v>1.5910231079986344E-2</v>
      </c>
      <c r="BJ18" s="31">
        <f t="shared" si="1"/>
        <v>2.3107716568067271E-2</v>
      </c>
      <c r="BK18" s="31">
        <f t="shared" si="1"/>
        <v>0.14243444949506154</v>
      </c>
      <c r="BL18" s="31">
        <f t="shared" si="1"/>
        <v>2.3486531599108788E-2</v>
      </c>
      <c r="BM18" s="31">
        <f t="shared" si="1"/>
        <v>0.10864824470330967</v>
      </c>
      <c r="BO18" s="1">
        <v>2780</v>
      </c>
      <c r="BP18" s="1">
        <v>0</v>
      </c>
      <c r="BQ18" s="1">
        <v>1.6649999976158143E-2</v>
      </c>
      <c r="BR18" s="1">
        <v>0</v>
      </c>
      <c r="BS18" s="1">
        <v>3.6629999935626982E-2</v>
      </c>
      <c r="BT18" s="1">
        <v>7.8809999957680704E-2</v>
      </c>
      <c r="BU18" s="1">
        <v>0.29414999961853028</v>
      </c>
      <c r="BV18" s="1">
        <v>4.2179999977350238E-2</v>
      </c>
      <c r="BW18" s="1">
        <v>1.3319999992847442E-2</v>
      </c>
      <c r="BX18" s="1">
        <v>2.8859999969601632E-2</v>
      </c>
      <c r="BY18" s="1">
        <v>0.11543999972939491</v>
      </c>
      <c r="BZ18" s="1">
        <v>8.8799999952316293E-3</v>
      </c>
      <c r="CA18" s="1">
        <v>5.8425326809900438E-2</v>
      </c>
      <c r="CB18" s="1">
        <v>0.69334532596232235</v>
      </c>
      <c r="CD18" s="1">
        <v>2780</v>
      </c>
      <c r="CE18" s="31">
        <f t="shared" si="14"/>
        <v>0</v>
      </c>
      <c r="CF18" s="31">
        <f t="shared" si="2"/>
        <v>2.4014007670779242E-2</v>
      </c>
      <c r="CG18" s="31">
        <f t="shared" si="3"/>
        <v>0</v>
      </c>
      <c r="CH18" s="31">
        <f t="shared" si="4"/>
        <v>5.2830816858520979E-2</v>
      </c>
      <c r="CI18" s="31">
        <f t="shared" si="5"/>
        <v>0.11366630307674906</v>
      </c>
      <c r="CJ18" s="31">
        <f t="shared" si="6"/>
        <v>0.42424746890774445</v>
      </c>
      <c r="CK18" s="31">
        <f t="shared" si="7"/>
        <v>6.0835486153753025E-2</v>
      </c>
      <c r="CL18" s="31">
        <f t="shared" si="8"/>
        <v>1.9211206153816742E-2</v>
      </c>
      <c r="CM18" s="31">
        <f t="shared" si="9"/>
        <v>4.1624279978444589E-2</v>
      </c>
      <c r="CN18" s="31">
        <f t="shared" si="10"/>
        <v>0.16649711969886147</v>
      </c>
      <c r="CO18" s="31">
        <f t="shared" si="11"/>
        <v>1.2807470769211163E-2</v>
      </c>
      <c r="CP18" s="31">
        <f t="shared" si="12"/>
        <v>8.426584073211936E-2</v>
      </c>
    </row>
    <row r="19" spans="1:94">
      <c r="A19" s="28">
        <v>2981</v>
      </c>
      <c r="B19" s="29">
        <v>0.4176309194720414</v>
      </c>
      <c r="C19" s="29">
        <v>4.5874147297838855E-2</v>
      </c>
      <c r="D19" s="22">
        <v>9.9291478165245237E-2</v>
      </c>
      <c r="E19" s="22">
        <v>1.0906548539391712E-2</v>
      </c>
      <c r="G19" s="29">
        <f>IF(ISBLANK('User Interface (Start Here!)'!$L$4),commercial!B19,commercial!C19)</f>
        <v>4.5874147297838855E-2</v>
      </c>
      <c r="H19" s="22">
        <f>IF(ISBLANK('User Interface (Start Here!)'!$L$4),commercial!D19,commercial!E19)</f>
        <v>1.0906548539391712E-2</v>
      </c>
      <c r="I19" s="40">
        <f>(G19+H19)*'User Interface (Start Here!)'!$L$10</f>
        <v>5.1102626253507512E-2</v>
      </c>
      <c r="J19" s="2">
        <f>IF(VLOOKUP(A19,'User Interface (Start Here!)'!$DO$2:$DP$73,2,FALSE)&lt;&gt;0,1,0)</f>
        <v>0</v>
      </c>
      <c r="K19" s="41">
        <f>IF(AND(J19=1,ISBLANK('User Interface (Start Here!)'!$L$14),ISBLANK('User Interface (Start Here!)'!$M$14),ISBLANK('User Interface (Start Here!)'!$N$14)),100%*'User Interface (Start Here!)'!$L$30,IF(J19=1,VLOOKUP(A19,'Bathymetric Closures'!$A$2:$C$57,3,FALSE)*'User Interface (Start Here!)'!$L$30,0%))</f>
        <v>0</v>
      </c>
      <c r="L19" s="50">
        <f>IF(ISBLANK('User Interface (Start Here!)'!#REF!),$I19*VLOOKUP($A19,$BA$5:$BM$60,L$2+1,FALSE),$I19*VLOOKUP($A19,$CD$6:$CP$60,L$2+1,FALSE))</f>
        <v>0</v>
      </c>
      <c r="M19" s="50">
        <f>IF(ISBLANK('User Interface (Start Here!)'!#REF!),$I19*VLOOKUP($A19,$BA$5:$BM$60,M$2+1,FALSE),$I19*VLOOKUP($A19,$CD$6:$CP$60,M$2+1,FALSE))</f>
        <v>0</v>
      </c>
      <c r="N19" s="50">
        <f>IF(ISBLANK('User Interface (Start Here!)'!#REF!),$I19*VLOOKUP($A19,$BA$5:$BM$60,N$2+1,FALSE),$I19*VLOOKUP($A19,$CD$6:$CP$60,N$2+1,FALSE))</f>
        <v>0</v>
      </c>
      <c r="O19" s="50">
        <f>IF(ISBLANK('User Interface (Start Here!)'!#REF!),$I19*VLOOKUP($A19,$BA$5:$BM$60,O$2+1,FALSE),$I19*VLOOKUP($A19,$CD$6:$CP$60,O$2+1,FALSE))</f>
        <v>0</v>
      </c>
      <c r="P19" s="50">
        <f>IF(ISBLANK('User Interface (Start Here!)'!#REF!),$I19*VLOOKUP($A19,$BA$5:$BM$60,P$2+1,FALSE),$I19*VLOOKUP($A19,$CD$6:$CP$60,P$2+1,FALSE))</f>
        <v>1.8250937927680504E-2</v>
      </c>
      <c r="Q19" s="50">
        <f>IF(ISBLANK('User Interface (Start Here!)'!#REF!),$I19*VLOOKUP($A19,$BA$5:$BM$60,Q$2+1,FALSE),$I19*VLOOKUP($A19,$CD$6:$CP$60,Q$2+1,FALSE))</f>
        <v>0</v>
      </c>
      <c r="R19" s="50">
        <f>IF(ISBLANK('User Interface (Start Here!)'!#REF!),$I19*VLOOKUP($A19,$BA$5:$BM$60,R$2+1,FALSE),$I19*VLOOKUP($A19,$CD$6:$CP$60,R$2+1,FALSE))</f>
        <v>0</v>
      </c>
      <c r="S19" s="50">
        <f>IF(ISBLANK('User Interface (Start Here!)'!#REF!),$I19*VLOOKUP($A19,$BA$5:$BM$60,S$2+1,FALSE),$I19*VLOOKUP($A19,$CD$6:$CP$60,S$2+1,FALSE))</f>
        <v>0</v>
      </c>
      <c r="T19" s="50">
        <f>IF(ISBLANK('User Interface (Start Here!)'!#REF!),$I19*VLOOKUP($A19,$BA$5:$BM$60,T$2+1,FALSE),$I19*VLOOKUP($A19,$CD$6:$CP$60,T$2+1,FALSE))</f>
        <v>3.2851688325827015E-2</v>
      </c>
      <c r="U19" s="50">
        <f>IF(ISBLANK('User Interface (Start Here!)'!#REF!),$I19*VLOOKUP($A19,$BA$5:$BM$60,U$2+1,FALSE),$I19*VLOOKUP($A19,$CD$6:$CP$60,U$2+1,FALSE))</f>
        <v>0</v>
      </c>
      <c r="V19" s="50">
        <f>IF(ISBLANK('User Interface (Start Here!)'!#REF!),$I19*VLOOKUP($A19,$BA$5:$BM$60,V$2+1,FALSE),$I19*VLOOKUP($A19,$CD$6:$CP$60,V$2+1,FALSE))</f>
        <v>0</v>
      </c>
      <c r="W19" s="50">
        <f>IF(ISBLANK('User Interface (Start Here!)'!#REF!),$I19*VLOOKUP($A19,$BA$5:$BM$60,W$2+1,FALSE),$I19*VLOOKUP($A19,$CD$6:$CP$60,W$2+1,FALSE))</f>
        <v>0</v>
      </c>
      <c r="X19" s="51">
        <f>IF($J19&lt;&gt;1,L19,IF(VLOOKUP($A19,'User Interface (Start Here!)'!$B$18:$N$28,X$2+1,FALSE)&lt;&gt;100%,L19-VLOOKUP($A19,'User Interface (Start Here!)'!$B$18:$N$28,X$2+1,FALSE)/'User Interface (Start Here!)'!$L$35*$K19*L19,L19-VLOOKUP($A19,'User Interface (Start Here!)'!$B$18:$N$28,X$2+1,FALSE)*$K19*L19))</f>
        <v>0</v>
      </c>
      <c r="Y19" s="52">
        <f>IF($J19&lt;&gt;1,M19,IF(VLOOKUP($A19,'User Interface (Start Here!)'!$B$18:$N$28,Y$2+1,FALSE)&lt;&gt;100%,M19-VLOOKUP($A19,'User Interface (Start Here!)'!$B$18:$N$28,Y$2+1,FALSE)/'User Interface (Start Here!)'!$L$35*$K19*M19,M19-VLOOKUP($A19,'User Interface (Start Here!)'!$B$18:$N$28,Y$2+1,FALSE)*$K19*M19))</f>
        <v>0</v>
      </c>
      <c r="Z19" s="52">
        <f>IF($J19&lt;&gt;1,N19,IF(VLOOKUP($A19,'User Interface (Start Here!)'!$B$18:$N$28,Z$2+1,FALSE)&lt;&gt;100%,N19-VLOOKUP($A19,'User Interface (Start Here!)'!$B$18:$N$28,Z$2+1,FALSE)/'User Interface (Start Here!)'!$L$35*$K19*N19,N19-VLOOKUP($A19,'User Interface (Start Here!)'!$B$18:$N$28,Z$2+1,FALSE)*$K19*N19))</f>
        <v>0</v>
      </c>
      <c r="AA19" s="52">
        <f>IF($J19&lt;&gt;1,O19,IF(VLOOKUP($A19,'User Interface (Start Here!)'!$B$18:$N$28,AA$2+1,FALSE)&lt;&gt;100%,O19-VLOOKUP($A19,'User Interface (Start Here!)'!$B$18:$N$28,AA$2+1,FALSE)/'User Interface (Start Here!)'!$L$35*$K19*O19,O19-VLOOKUP($A19,'User Interface (Start Here!)'!$B$18:$N$28,AA$2+1,FALSE)*$K19*O19))</f>
        <v>0</v>
      </c>
      <c r="AB19" s="52">
        <f>IF($J19&lt;&gt;1,P19,IF(VLOOKUP($A19,'User Interface (Start Here!)'!$B$18:$N$28,AB$2+1,FALSE)&lt;&gt;100%,P19-VLOOKUP($A19,'User Interface (Start Here!)'!$B$18:$N$28,AB$2+1,FALSE)/'User Interface (Start Here!)'!$L$35*$K19*P19,P19-VLOOKUP($A19,'User Interface (Start Here!)'!$B$18:$N$28,AB$2+1,FALSE)*$K19*P19))</f>
        <v>1.8250937927680504E-2</v>
      </c>
      <c r="AC19" s="52">
        <f>IF($J19&lt;&gt;1,Q19,IF(VLOOKUP($A19,'User Interface (Start Here!)'!$B$18:$N$28,AC$2+1,FALSE)&lt;&gt;100%,Q19-VLOOKUP($A19,'User Interface (Start Here!)'!$B$18:$N$28,AC$2+1,FALSE)/'User Interface (Start Here!)'!$L$35*$K19*Q19,Q19-VLOOKUP($A19,'User Interface (Start Here!)'!$B$18:$N$28,AC$2+1,FALSE)*$K19*Q19))</f>
        <v>0</v>
      </c>
      <c r="AD19" s="52">
        <f>IF($J19&lt;&gt;1,R19,IF(VLOOKUP($A19,'User Interface (Start Here!)'!$B$18:$N$28,AD$2+1,FALSE)&lt;&gt;100%,R19-VLOOKUP($A19,'User Interface (Start Here!)'!$B$18:$N$28,AD$2+1,FALSE)/'User Interface (Start Here!)'!$L$35*$K19*R19,R19-VLOOKUP($A19,'User Interface (Start Here!)'!$B$18:$N$28,AD$2+1,FALSE)*$K19*R19))</f>
        <v>0</v>
      </c>
      <c r="AE19" s="52">
        <f>IF($J19&lt;&gt;1,S19,IF(VLOOKUP($A19,'User Interface (Start Here!)'!$B$18:$N$28,AE$2+1,FALSE)&lt;&gt;100%,S19-VLOOKUP($A19,'User Interface (Start Here!)'!$B$18:$N$28,AE$2+1,FALSE)/'User Interface (Start Here!)'!$L$35*$K19*S19,S19-VLOOKUP($A19,'User Interface (Start Here!)'!$B$18:$N$28,AE$2+1,FALSE)*$K19*S19))</f>
        <v>0</v>
      </c>
      <c r="AF19" s="52">
        <f>IF($J19&lt;&gt;1,T19,IF(VLOOKUP($A19,'User Interface (Start Here!)'!$B$18:$N$28,AF$2+1,FALSE)&lt;&gt;100%,T19-VLOOKUP($A19,'User Interface (Start Here!)'!$B$18:$N$28,AF$2+1,FALSE)/'User Interface (Start Here!)'!$L$35*$K19*T19,T19-VLOOKUP($A19,'User Interface (Start Here!)'!$B$18:$N$28,AF$2+1,FALSE)*$K19*T19))</f>
        <v>3.2851688325827015E-2</v>
      </c>
      <c r="AG19" s="52">
        <f>IF($J19&lt;&gt;1,U19,IF(VLOOKUP($A19,'User Interface (Start Here!)'!$B$18:$N$28,AG$2+1,FALSE)&lt;&gt;100%,U19-VLOOKUP($A19,'User Interface (Start Here!)'!$B$18:$N$28,AG$2+1,FALSE)/'User Interface (Start Here!)'!$L$35*$K19*U19,U19-VLOOKUP($A19,'User Interface (Start Here!)'!$B$18:$N$28,AG$2+1,FALSE)*$K19*U19))</f>
        <v>0</v>
      </c>
      <c r="AH19" s="52">
        <f>IF($J19&lt;&gt;1,V19,IF(VLOOKUP($A19,'User Interface (Start Here!)'!$B$18:$N$28,AH$2+1,FALSE)&lt;&gt;100%,V19-VLOOKUP($A19,'User Interface (Start Here!)'!$B$18:$N$28,AH$2+1,FALSE)/'User Interface (Start Here!)'!$L$35*$K19*V19,V19-VLOOKUP($A19,'User Interface (Start Here!)'!$B$18:$N$28,AH$2+1,FALSE)*$K19*V19))</f>
        <v>0</v>
      </c>
      <c r="AI19" s="52">
        <f>IF($J19&lt;&gt;1,W19,IF(VLOOKUP($A19,'User Interface (Start Here!)'!$B$18:$N$28,AI$2+1,FALSE)&lt;&gt;100%,W19-VLOOKUP($A19,'User Interface (Start Here!)'!$B$18:$N$28,AI$2+1,FALSE)/'User Interface (Start Here!)'!$L$35*$K19*W19,W19-VLOOKUP($A19,'User Interface (Start Here!)'!$B$18:$N$28,AI$2+1,FALSE)*$K19*W19))</f>
        <v>0</v>
      </c>
      <c r="AJ19" s="42">
        <f t="shared" si="0"/>
        <v>5.1102626253507519E-2</v>
      </c>
      <c r="AL19" s="1">
        <v>2878</v>
      </c>
      <c r="AU19" s="1">
        <v>0</v>
      </c>
      <c r="AY19" s="1">
        <v>0</v>
      </c>
      <c r="BA19" s="1">
        <v>2878</v>
      </c>
      <c r="BB19" s="31">
        <f t="shared" si="13"/>
        <v>0</v>
      </c>
      <c r="BC19" s="31">
        <f t="shared" si="1"/>
        <v>0</v>
      </c>
      <c r="BD19" s="31">
        <f t="shared" si="1"/>
        <v>0</v>
      </c>
      <c r="BE19" s="31">
        <f t="shared" si="1"/>
        <v>0</v>
      </c>
      <c r="BF19" s="31">
        <f t="shared" si="1"/>
        <v>0</v>
      </c>
      <c r="BG19" s="31">
        <f t="shared" si="1"/>
        <v>0</v>
      </c>
      <c r="BH19" s="31">
        <f t="shared" si="1"/>
        <v>0</v>
      </c>
      <c r="BI19" s="31">
        <f t="shared" si="1"/>
        <v>0</v>
      </c>
      <c r="BJ19" s="31">
        <f t="shared" si="1"/>
        <v>0</v>
      </c>
      <c r="BK19" s="31">
        <f t="shared" si="1"/>
        <v>0</v>
      </c>
      <c r="BL19" s="31">
        <f t="shared" si="1"/>
        <v>0</v>
      </c>
      <c r="BM19" s="31">
        <f t="shared" si="1"/>
        <v>0</v>
      </c>
      <c r="BO19" s="1">
        <v>2878</v>
      </c>
      <c r="BX19" s="1">
        <v>0</v>
      </c>
      <c r="CB19" s="1">
        <v>0</v>
      </c>
      <c r="CD19" s="1">
        <v>2878</v>
      </c>
      <c r="CE19" s="31">
        <f t="shared" si="14"/>
        <v>0</v>
      </c>
      <c r="CF19" s="31">
        <f t="shared" si="2"/>
        <v>0</v>
      </c>
      <c r="CG19" s="31">
        <f t="shared" si="3"/>
        <v>0</v>
      </c>
      <c r="CH19" s="31">
        <f t="shared" si="4"/>
        <v>0</v>
      </c>
      <c r="CI19" s="31">
        <f t="shared" si="5"/>
        <v>0</v>
      </c>
      <c r="CJ19" s="31">
        <f t="shared" si="6"/>
        <v>0</v>
      </c>
      <c r="CK19" s="31">
        <f t="shared" si="7"/>
        <v>0</v>
      </c>
      <c r="CL19" s="31">
        <f t="shared" si="8"/>
        <v>0</v>
      </c>
      <c r="CM19" s="31">
        <f t="shared" si="9"/>
        <v>0</v>
      </c>
      <c r="CN19" s="31">
        <f t="shared" si="10"/>
        <v>0</v>
      </c>
      <c r="CO19" s="31">
        <f t="shared" si="11"/>
        <v>0</v>
      </c>
      <c r="CP19" s="31">
        <f t="shared" si="12"/>
        <v>0</v>
      </c>
    </row>
    <row r="20" spans="1:94">
      <c r="A20" s="28">
        <v>3079</v>
      </c>
      <c r="B20" s="29">
        <v>0.33730821755290136</v>
      </c>
      <c r="C20" s="29">
        <v>0.2997690240009328</v>
      </c>
      <c r="D20" s="22">
        <v>8.0194808278207061E-2</v>
      </c>
      <c r="E20" s="22">
        <v>7.1269889544655962E-2</v>
      </c>
      <c r="G20" s="29">
        <f>IF(ISBLANK('User Interface (Start Here!)'!$L$4),commercial!B20,commercial!C20)</f>
        <v>0.2997690240009328</v>
      </c>
      <c r="H20" s="22">
        <f>IF(ISBLANK('User Interface (Start Here!)'!$L$4),commercial!D20,commercial!E20)</f>
        <v>7.1269889544655962E-2</v>
      </c>
      <c r="I20" s="40">
        <f>(G20+H20)*'User Interface (Start Here!)'!$L$10</f>
        <v>0.33393502219102988</v>
      </c>
      <c r="J20" s="2">
        <f>IF(VLOOKUP(A20,'User Interface (Start Here!)'!$DO$2:$DP$73,2,FALSE)&lt;&gt;0,1,0)</f>
        <v>0</v>
      </c>
      <c r="K20" s="41">
        <f>IF(AND(J20=1,ISBLANK('User Interface (Start Here!)'!$L$14),ISBLANK('User Interface (Start Here!)'!$M$14),ISBLANK('User Interface (Start Here!)'!$N$14)),100%*'User Interface (Start Here!)'!$L$30,IF(J20=1,VLOOKUP(A20,'Bathymetric Closures'!$A$2:$C$57,3,FALSE)*'User Interface (Start Here!)'!$L$30,0%))</f>
        <v>0</v>
      </c>
      <c r="L20" s="50">
        <f>IF(ISBLANK('User Interface (Start Here!)'!#REF!),$I20*VLOOKUP($A20,$BA$5:$BM$60,L$2+1,FALSE),$I20*VLOOKUP($A20,$CD$6:$CP$60,L$2+1,FALSE))</f>
        <v>0.17393610503965223</v>
      </c>
      <c r="M20" s="50">
        <f>IF(ISBLANK('User Interface (Start Here!)'!#REF!),$I20*VLOOKUP($A20,$BA$5:$BM$60,M$2+1,FALSE),$I20*VLOOKUP($A20,$CD$6:$CP$60,M$2+1,FALSE))</f>
        <v>0</v>
      </c>
      <c r="N20" s="50">
        <f>IF(ISBLANK('User Interface (Start Here!)'!#REF!),$I20*VLOOKUP($A20,$BA$5:$BM$60,N$2+1,FALSE),$I20*VLOOKUP($A20,$CD$6:$CP$60,N$2+1,FALSE))</f>
        <v>0</v>
      </c>
      <c r="O20" s="50">
        <f>IF(ISBLANK('User Interface (Start Here!)'!#REF!),$I20*VLOOKUP($A20,$BA$5:$BM$60,O$2+1,FALSE),$I20*VLOOKUP($A20,$CD$6:$CP$60,O$2+1,FALSE))</f>
        <v>5.9093676728308876E-2</v>
      </c>
      <c r="P20" s="50">
        <f>IF(ISBLANK('User Interface (Start Here!)'!#REF!),$I20*VLOOKUP($A20,$BA$5:$BM$60,P$2+1,FALSE),$I20*VLOOKUP($A20,$CD$6:$CP$60,P$2+1,FALSE))</f>
        <v>3.8466638631809193E-2</v>
      </c>
      <c r="Q20" s="50">
        <f>IF(ISBLANK('User Interface (Start Here!)'!#REF!),$I20*VLOOKUP($A20,$BA$5:$BM$60,Q$2+1,FALSE),$I20*VLOOKUP($A20,$CD$6:$CP$60,Q$2+1,FALSE))</f>
        <v>0</v>
      </c>
      <c r="R20" s="50">
        <f>IF(ISBLANK('User Interface (Start Here!)'!#REF!),$I20*VLOOKUP($A20,$BA$5:$BM$60,R$2+1,FALSE),$I20*VLOOKUP($A20,$CD$6:$CP$60,R$2+1,FALSE))</f>
        <v>1.89545755238625E-2</v>
      </c>
      <c r="S20" s="50">
        <f>IF(ISBLANK('User Interface (Start Here!)'!#REF!),$I20*VLOOKUP($A20,$BA$5:$BM$60,S$2+1,FALSE),$I20*VLOOKUP($A20,$CD$6:$CP$60,S$2+1,FALSE))</f>
        <v>1.449467541997102E-2</v>
      </c>
      <c r="T20" s="50">
        <f>IF(ISBLANK('User Interface (Start Here!)'!#REF!),$I20*VLOOKUP($A20,$BA$5:$BM$60,T$2+1,FALSE),$I20*VLOOKUP($A20,$CD$6:$CP$60,T$2+1,FALSE))</f>
        <v>3.9024126170989536E-3</v>
      </c>
      <c r="U20" s="50">
        <f>IF(ISBLANK('User Interface (Start Here!)'!#REF!),$I20*VLOOKUP($A20,$BA$5:$BM$60,U$2+1,FALSE),$I20*VLOOKUP($A20,$CD$6:$CP$60,U$2+1,FALSE))</f>
        <v>2.5086938230327063E-2</v>
      </c>
      <c r="V20" s="50">
        <f>IF(ISBLANK('User Interface (Start Here!)'!#REF!),$I20*VLOOKUP($A20,$BA$5:$BM$60,V$2+1,FALSE),$I20*VLOOKUP($A20,$CD$6:$CP$60,V$2+1,FALSE))</f>
        <v>0</v>
      </c>
      <c r="W20" s="50">
        <f>IF(ISBLANK('User Interface (Start Here!)'!#REF!),$I20*VLOOKUP($A20,$BA$5:$BM$60,W$2+1,FALSE),$I20*VLOOKUP($A20,$CD$6:$CP$60,W$2+1,FALSE))</f>
        <v>0</v>
      </c>
      <c r="X20" s="51">
        <f>IF($J20&lt;&gt;1,L20,IF(VLOOKUP($A20,'User Interface (Start Here!)'!$B$18:$N$28,X$2+1,FALSE)&lt;&gt;100%,L20-VLOOKUP($A20,'User Interface (Start Here!)'!$B$18:$N$28,X$2+1,FALSE)/'User Interface (Start Here!)'!$L$35*$K20*L20,L20-VLOOKUP($A20,'User Interface (Start Here!)'!$B$18:$N$28,X$2+1,FALSE)*$K20*L20))</f>
        <v>0.17393610503965223</v>
      </c>
      <c r="Y20" s="52">
        <f>IF($J20&lt;&gt;1,M20,IF(VLOOKUP($A20,'User Interface (Start Here!)'!$B$18:$N$28,Y$2+1,FALSE)&lt;&gt;100%,M20-VLOOKUP($A20,'User Interface (Start Here!)'!$B$18:$N$28,Y$2+1,FALSE)/'User Interface (Start Here!)'!$L$35*$K20*M20,M20-VLOOKUP($A20,'User Interface (Start Here!)'!$B$18:$N$28,Y$2+1,FALSE)*$K20*M20))</f>
        <v>0</v>
      </c>
      <c r="Z20" s="52">
        <f>IF($J20&lt;&gt;1,N20,IF(VLOOKUP($A20,'User Interface (Start Here!)'!$B$18:$N$28,Z$2+1,FALSE)&lt;&gt;100%,N20-VLOOKUP($A20,'User Interface (Start Here!)'!$B$18:$N$28,Z$2+1,FALSE)/'User Interface (Start Here!)'!$L$35*$K20*N20,N20-VLOOKUP($A20,'User Interface (Start Here!)'!$B$18:$N$28,Z$2+1,FALSE)*$K20*N20))</f>
        <v>0</v>
      </c>
      <c r="AA20" s="52">
        <f>IF($J20&lt;&gt;1,O20,IF(VLOOKUP($A20,'User Interface (Start Here!)'!$B$18:$N$28,AA$2+1,FALSE)&lt;&gt;100%,O20-VLOOKUP($A20,'User Interface (Start Here!)'!$B$18:$N$28,AA$2+1,FALSE)/'User Interface (Start Here!)'!$L$35*$K20*O20,O20-VLOOKUP($A20,'User Interface (Start Here!)'!$B$18:$N$28,AA$2+1,FALSE)*$K20*O20))</f>
        <v>5.9093676728308876E-2</v>
      </c>
      <c r="AB20" s="52">
        <f>IF($J20&lt;&gt;1,P20,IF(VLOOKUP($A20,'User Interface (Start Here!)'!$B$18:$N$28,AB$2+1,FALSE)&lt;&gt;100%,P20-VLOOKUP($A20,'User Interface (Start Here!)'!$B$18:$N$28,AB$2+1,FALSE)/'User Interface (Start Here!)'!$L$35*$K20*P20,P20-VLOOKUP($A20,'User Interface (Start Here!)'!$B$18:$N$28,AB$2+1,FALSE)*$K20*P20))</f>
        <v>3.8466638631809193E-2</v>
      </c>
      <c r="AC20" s="52">
        <f>IF($J20&lt;&gt;1,Q20,IF(VLOOKUP($A20,'User Interface (Start Here!)'!$B$18:$N$28,AC$2+1,FALSE)&lt;&gt;100%,Q20-VLOOKUP($A20,'User Interface (Start Here!)'!$B$18:$N$28,AC$2+1,FALSE)/'User Interface (Start Here!)'!$L$35*$K20*Q20,Q20-VLOOKUP($A20,'User Interface (Start Here!)'!$B$18:$N$28,AC$2+1,FALSE)*$K20*Q20))</f>
        <v>0</v>
      </c>
      <c r="AD20" s="52">
        <f>IF($J20&lt;&gt;1,R20,IF(VLOOKUP($A20,'User Interface (Start Here!)'!$B$18:$N$28,AD$2+1,FALSE)&lt;&gt;100%,R20-VLOOKUP($A20,'User Interface (Start Here!)'!$B$18:$N$28,AD$2+1,FALSE)/'User Interface (Start Here!)'!$L$35*$K20*R20,R20-VLOOKUP($A20,'User Interface (Start Here!)'!$B$18:$N$28,AD$2+1,FALSE)*$K20*R20))</f>
        <v>1.89545755238625E-2</v>
      </c>
      <c r="AE20" s="52">
        <f>IF($J20&lt;&gt;1,S20,IF(VLOOKUP($A20,'User Interface (Start Here!)'!$B$18:$N$28,AE$2+1,FALSE)&lt;&gt;100%,S20-VLOOKUP($A20,'User Interface (Start Here!)'!$B$18:$N$28,AE$2+1,FALSE)/'User Interface (Start Here!)'!$L$35*$K20*S20,S20-VLOOKUP($A20,'User Interface (Start Here!)'!$B$18:$N$28,AE$2+1,FALSE)*$K20*S20))</f>
        <v>1.449467541997102E-2</v>
      </c>
      <c r="AF20" s="52">
        <f>IF($J20&lt;&gt;1,T20,IF(VLOOKUP($A20,'User Interface (Start Here!)'!$B$18:$N$28,AF$2+1,FALSE)&lt;&gt;100%,T20-VLOOKUP($A20,'User Interface (Start Here!)'!$B$18:$N$28,AF$2+1,FALSE)/'User Interface (Start Here!)'!$L$35*$K20*T20,T20-VLOOKUP($A20,'User Interface (Start Here!)'!$B$18:$N$28,AF$2+1,FALSE)*$K20*T20))</f>
        <v>3.9024126170989536E-3</v>
      </c>
      <c r="AG20" s="52">
        <f>IF($J20&lt;&gt;1,U20,IF(VLOOKUP($A20,'User Interface (Start Here!)'!$B$18:$N$28,AG$2+1,FALSE)&lt;&gt;100%,U20-VLOOKUP($A20,'User Interface (Start Here!)'!$B$18:$N$28,AG$2+1,FALSE)/'User Interface (Start Here!)'!$L$35*$K20*U20,U20-VLOOKUP($A20,'User Interface (Start Here!)'!$B$18:$N$28,AG$2+1,FALSE)*$K20*U20))</f>
        <v>2.5086938230327063E-2</v>
      </c>
      <c r="AH20" s="52">
        <f>IF($J20&lt;&gt;1,V20,IF(VLOOKUP($A20,'User Interface (Start Here!)'!$B$18:$N$28,AH$2+1,FALSE)&lt;&gt;100%,V20-VLOOKUP($A20,'User Interface (Start Here!)'!$B$18:$N$28,AH$2+1,FALSE)/'User Interface (Start Here!)'!$L$35*$K20*V20,V20-VLOOKUP($A20,'User Interface (Start Here!)'!$B$18:$N$28,AH$2+1,FALSE)*$K20*V20))</f>
        <v>0</v>
      </c>
      <c r="AI20" s="52">
        <f>IF($J20&lt;&gt;1,W20,IF(VLOOKUP($A20,'User Interface (Start Here!)'!$B$18:$N$28,AI$2+1,FALSE)&lt;&gt;100%,W20-VLOOKUP($A20,'User Interface (Start Here!)'!$B$18:$N$28,AI$2+1,FALSE)/'User Interface (Start Here!)'!$L$35*$K20*W20,W20-VLOOKUP($A20,'User Interface (Start Here!)'!$B$18:$N$28,AI$2+1,FALSE)*$K20*W20))</f>
        <v>0</v>
      </c>
      <c r="AJ20" s="42">
        <f t="shared" si="0"/>
        <v>0.33393502219102977</v>
      </c>
      <c r="AL20" s="1">
        <v>2879</v>
      </c>
      <c r="AM20" s="1">
        <v>0</v>
      </c>
      <c r="AN20" s="1">
        <v>3.8849999904632566E-2</v>
      </c>
      <c r="AO20" s="1">
        <v>0</v>
      </c>
      <c r="AP20" s="1">
        <v>0</v>
      </c>
      <c r="AQ20" s="1">
        <v>9.5459999799728398E-2</v>
      </c>
      <c r="AR20" s="1">
        <v>0.18314999961853026</v>
      </c>
      <c r="AS20" s="1">
        <v>1.3319999992847442E-2</v>
      </c>
      <c r="AT20" s="1">
        <v>0</v>
      </c>
      <c r="AU20" s="1">
        <v>0.34742999958992005</v>
      </c>
      <c r="AV20" s="1">
        <v>0.47285999965667724</v>
      </c>
      <c r="AW20" s="1">
        <v>0.39293999934196477</v>
      </c>
      <c r="AX20" s="1">
        <v>2.3554199960231781</v>
      </c>
      <c r="AY20" s="1">
        <v>3.899429993927479</v>
      </c>
      <c r="BA20" s="1">
        <v>2879</v>
      </c>
      <c r="BB20" s="31">
        <f t="shared" si="13"/>
        <v>0</v>
      </c>
      <c r="BC20" s="31">
        <f t="shared" si="1"/>
        <v>9.9629945825756745E-3</v>
      </c>
      <c r="BD20" s="31">
        <f t="shared" si="1"/>
        <v>0</v>
      </c>
      <c r="BE20" s="31">
        <f t="shared" si="1"/>
        <v>0</v>
      </c>
      <c r="BF20" s="31">
        <f t="shared" si="1"/>
        <v>2.4480500983063359E-2</v>
      </c>
      <c r="BG20" s="31">
        <f t="shared" si="1"/>
        <v>4.6968403049611578E-2</v>
      </c>
      <c r="BH20" s="31">
        <f t="shared" si="1"/>
        <v>3.4158838634340068E-3</v>
      </c>
      <c r="BI20" s="31">
        <f t="shared" si="1"/>
        <v>0</v>
      </c>
      <c r="BJ20" s="31">
        <f t="shared" si="1"/>
        <v>8.9097637380583142E-2</v>
      </c>
      <c r="BK20" s="31">
        <f t="shared" si="1"/>
        <v>0.12126387712897903</v>
      </c>
      <c r="BL20" s="31">
        <f t="shared" si="1"/>
        <v>0.10076857385666214</v>
      </c>
      <c r="BM20" s="31">
        <f t="shared" si="1"/>
        <v>0.60404212915509103</v>
      </c>
      <c r="BO20" s="1">
        <v>2879</v>
      </c>
      <c r="BP20" s="1">
        <v>0</v>
      </c>
      <c r="BQ20" s="1">
        <v>0</v>
      </c>
      <c r="BR20" s="1">
        <v>0</v>
      </c>
      <c r="BS20" s="1">
        <v>0</v>
      </c>
      <c r="BT20" s="1">
        <v>9.5459999799728398E-2</v>
      </c>
      <c r="BU20" s="1">
        <v>0.18314999961853026</v>
      </c>
      <c r="BV20" s="1">
        <v>1.3319999992847442E-2</v>
      </c>
      <c r="BW20" s="1">
        <v>0</v>
      </c>
      <c r="BX20" s="1">
        <v>0.34742999958992005</v>
      </c>
      <c r="BY20" s="1">
        <v>0.14207999992370607</v>
      </c>
      <c r="BZ20" s="1">
        <v>0</v>
      </c>
      <c r="CA20" s="1">
        <v>0</v>
      </c>
      <c r="CB20" s="1">
        <v>0.78143999892473226</v>
      </c>
      <c r="CD20" s="1">
        <v>2879</v>
      </c>
      <c r="CE20" s="31">
        <f t="shared" si="14"/>
        <v>0</v>
      </c>
      <c r="CF20" s="31">
        <f t="shared" si="2"/>
        <v>0</v>
      </c>
      <c r="CG20" s="31">
        <f t="shared" si="3"/>
        <v>0</v>
      </c>
      <c r="CH20" s="31">
        <f t="shared" si="4"/>
        <v>0</v>
      </c>
      <c r="CI20" s="31">
        <f t="shared" si="5"/>
        <v>0.12215909082089749</v>
      </c>
      <c r="CJ20" s="31">
        <f t="shared" si="6"/>
        <v>0.23437499983433935</v>
      </c>
      <c r="CK20" s="31">
        <f t="shared" si="7"/>
        <v>1.704545455975618E-2</v>
      </c>
      <c r="CL20" s="31">
        <f t="shared" si="8"/>
        <v>0</v>
      </c>
      <c r="CM20" s="31">
        <f t="shared" si="9"/>
        <v>0.44460227281427434</v>
      </c>
      <c r="CN20" s="31">
        <f t="shared" si="10"/>
        <v>0.1818181819707326</v>
      </c>
      <c r="CO20" s="31">
        <f t="shared" si="11"/>
        <v>0</v>
      </c>
      <c r="CP20" s="31">
        <f t="shared" si="12"/>
        <v>0</v>
      </c>
    </row>
    <row r="21" spans="1:94">
      <c r="A21" s="28">
        <v>3080</v>
      </c>
      <c r="B21" s="29">
        <v>32.143736340229339</v>
      </c>
      <c r="C21" s="29">
        <v>15.675875818993852</v>
      </c>
      <c r="D21" s="22">
        <v>7.6421523076165458</v>
      </c>
      <c r="E21" s="22">
        <v>3.7269292311268245</v>
      </c>
      <c r="G21" s="29">
        <f>IF(ISBLANK('User Interface (Start Here!)'!$L$4),commercial!B21,commercial!C21)</f>
        <v>15.675875818993852</v>
      </c>
      <c r="H21" s="22">
        <f>IF(ISBLANK('User Interface (Start Here!)'!$L$4),commercial!D21,commercial!E21)</f>
        <v>3.7269292311268245</v>
      </c>
      <c r="I21" s="40">
        <f>(G21+H21)*'User Interface (Start Here!)'!$L$10</f>
        <v>17.462524545108611</v>
      </c>
      <c r="J21" s="2">
        <f>IF(VLOOKUP(A21,'User Interface (Start Here!)'!$DO$2:$DP$73,2,FALSE)&lt;&gt;0,1,0)</f>
        <v>1</v>
      </c>
      <c r="K21" s="41">
        <f>IF(AND(J21=1,ISBLANK('User Interface (Start Here!)'!$L$14),ISBLANK('User Interface (Start Here!)'!$M$14),ISBLANK('User Interface (Start Here!)'!$N$14)),100%*'User Interface (Start Here!)'!$L$30,IF(J21=1,VLOOKUP(A21,'Bathymetric Closures'!$A$2:$C$57,3,FALSE)*'User Interface (Start Here!)'!$L$30,0%))</f>
        <v>0.97648773512264886</v>
      </c>
      <c r="L21" s="50">
        <f>IF(ISBLANK('User Interface (Start Here!)'!#REF!),$I21*VLOOKUP($A21,$BA$5:$BM$60,L$2+1,FALSE),$I21*VLOOKUP($A21,$CD$6:$CP$60,L$2+1,FALSE))</f>
        <v>1.4192289885128324</v>
      </c>
      <c r="M21" s="50">
        <f>IF(ISBLANK('User Interface (Start Here!)'!#REF!),$I21*VLOOKUP($A21,$BA$5:$BM$60,M$2+1,FALSE),$I21*VLOOKUP($A21,$CD$6:$CP$60,M$2+1,FALSE))</f>
        <v>1.5630234973146664</v>
      </c>
      <c r="N21" s="50">
        <f>IF(ISBLANK('User Interface (Start Here!)'!#REF!),$I21*VLOOKUP($A21,$BA$5:$BM$60,N$2+1,FALSE),$I21*VLOOKUP($A21,$CD$6:$CP$60,N$2+1,FALSE))</f>
        <v>1.4388580802976787</v>
      </c>
      <c r="O21" s="50">
        <f>IF(ISBLANK('User Interface (Start Here!)'!#REF!),$I21*VLOOKUP($A21,$BA$5:$BM$60,O$2+1,FALSE),$I21*VLOOKUP($A21,$CD$6:$CP$60,O$2+1,FALSE))</f>
        <v>0.82122642311794147</v>
      </c>
      <c r="P21" s="50">
        <f>IF(ISBLANK('User Interface (Start Here!)'!#REF!),$I21*VLOOKUP($A21,$BA$5:$BM$60,P$2+1,FALSE),$I21*VLOOKUP($A21,$CD$6:$CP$60,P$2+1,FALSE))</f>
        <v>2.9611700274027495</v>
      </c>
      <c r="Q21" s="50">
        <f>IF(ISBLANK('User Interface (Start Here!)'!#REF!),$I21*VLOOKUP($A21,$BA$5:$BM$60,Q$2+1,FALSE),$I21*VLOOKUP($A21,$CD$6:$CP$60,Q$2+1,FALSE))</f>
        <v>1.8888055565107134</v>
      </c>
      <c r="R21" s="50">
        <f>IF(ISBLANK('User Interface (Start Here!)'!#REF!),$I21*VLOOKUP($A21,$BA$5:$BM$60,R$2+1,FALSE),$I21*VLOOKUP($A21,$CD$6:$CP$60,R$2+1,FALSE))</f>
        <v>1.954149500290538</v>
      </c>
      <c r="S21" s="50">
        <f>IF(ISBLANK('User Interface (Start Here!)'!#REF!),$I21*VLOOKUP($A21,$BA$5:$BM$60,S$2+1,FALSE),$I21*VLOOKUP($A21,$CD$6:$CP$60,S$2+1,FALSE))</f>
        <v>1.7800004272248964</v>
      </c>
      <c r="T21" s="50">
        <f>IF(ISBLANK('User Interface (Start Here!)'!#REF!),$I21*VLOOKUP($A21,$BA$5:$BM$60,T$2+1,FALSE),$I21*VLOOKUP($A21,$CD$6:$CP$60,T$2+1,FALSE))</f>
        <v>1.7123575824306518</v>
      </c>
      <c r="U21" s="50">
        <f>IF(ISBLANK('User Interface (Start Here!)'!#REF!),$I21*VLOOKUP($A21,$BA$5:$BM$60,U$2+1,FALSE),$I21*VLOOKUP($A21,$CD$6:$CP$60,U$2+1,FALSE))</f>
        <v>0.60621939415727155</v>
      </c>
      <c r="V21" s="50">
        <f>IF(ISBLANK('User Interface (Start Here!)'!#REF!),$I21*VLOOKUP($A21,$BA$5:$BM$60,V$2+1,FALSE),$I21*VLOOKUP($A21,$CD$6:$CP$60,V$2+1,FALSE))</f>
        <v>0.60809881894119422</v>
      </c>
      <c r="W21" s="50">
        <f>IF(ISBLANK('User Interface (Start Here!)'!#REF!),$I21*VLOOKUP($A21,$BA$5:$BM$60,W$2+1,FALSE),$I21*VLOOKUP($A21,$CD$6:$CP$60,W$2+1,FALSE))</f>
        <v>0.70938624890747648</v>
      </c>
      <c r="X21" s="51">
        <f>IF($J21&lt;&gt;1,L21,IF(VLOOKUP($A21,'User Interface (Start Here!)'!$B$18:$N$28,X$2+1,FALSE)&lt;&gt;100%,L21-VLOOKUP($A21,'User Interface (Start Here!)'!$B$18:$N$28,X$2+1,FALSE)/'User Interface (Start Here!)'!$L$35*$K21*L21,L21-VLOOKUP($A21,'User Interface (Start Here!)'!$B$18:$N$28,X$2+1,FALSE)*$K21*L21))</f>
        <v>3.3369287899528866E-2</v>
      </c>
      <c r="Y21" s="52">
        <f>IF($J21&lt;&gt;1,M21,IF(VLOOKUP($A21,'User Interface (Start Here!)'!$B$18:$N$28,Y$2+1,FALSE)&lt;&gt;100%,M21-VLOOKUP($A21,'User Interface (Start Here!)'!$B$18:$N$28,Y$2+1,FALSE)/'User Interface (Start Here!)'!$L$35*$K21*M21,M21-VLOOKUP($A21,'User Interface (Start Here!)'!$B$18:$N$28,Y$2+1,FALSE)*$K21*M21))</f>
        <v>3.6750222478386219E-2</v>
      </c>
      <c r="Z21" s="52">
        <f>IF($J21&lt;&gt;1,N21,IF(VLOOKUP($A21,'User Interface (Start Here!)'!$B$18:$N$28,Z$2+1,FALSE)&lt;&gt;100%,N21-VLOOKUP($A21,'User Interface (Start Here!)'!$B$18:$N$28,Z$2+1,FALSE)/'User Interface (Start Here!)'!$L$35*$K21*N21,N21-VLOOKUP($A21,'User Interface (Start Here!)'!$B$18:$N$28,Z$2+1,FALSE)*$K21*N21))</f>
        <v>3.3830812304876057E-2</v>
      </c>
      <c r="AA21" s="52">
        <f>IF($J21&lt;&gt;1,O21,IF(VLOOKUP($A21,'User Interface (Start Here!)'!$B$18:$N$28,AA$2+1,FALSE)&lt;&gt;100%,O21-VLOOKUP($A21,'User Interface (Start Here!)'!$B$18:$N$28,AA$2+1,FALSE)/'User Interface (Start Here!)'!$L$35*$K21*O21,O21-VLOOKUP($A21,'User Interface (Start Here!)'!$B$18:$N$28,AA$2+1,FALSE)*$K21*O21))</f>
        <v>1.9308893184628695E-2</v>
      </c>
      <c r="AB21" s="52">
        <f>IF($J21&lt;&gt;1,P21,IF(VLOOKUP($A21,'User Interface (Start Here!)'!$B$18:$N$28,AB$2+1,FALSE)&lt;&gt;100%,P21-VLOOKUP($A21,'User Interface (Start Here!)'!$B$18:$N$28,AB$2+1,FALSE)/'User Interface (Start Here!)'!$L$35*$K21*P21,P21-VLOOKUP($A21,'User Interface (Start Here!)'!$B$18:$N$28,AB$2+1,FALSE)*$K21*P21))</f>
        <v>6.9623814031166464E-2</v>
      </c>
      <c r="AC21" s="52">
        <f>IF($J21&lt;&gt;1,Q21,IF(VLOOKUP($A21,'User Interface (Start Here!)'!$B$18:$N$28,AC$2+1,FALSE)&lt;&gt;100%,Q21-VLOOKUP($A21,'User Interface (Start Here!)'!$B$18:$N$28,AC$2+1,FALSE)/'User Interface (Start Here!)'!$L$35*$K21*Q21,Q21-VLOOKUP($A21,'User Interface (Start Here!)'!$B$18:$N$28,AC$2+1,FALSE)*$K21*Q21))</f>
        <v>4.4410096546492417E-2</v>
      </c>
      <c r="AD21" s="52">
        <f>IF($J21&lt;&gt;1,R21,IF(VLOOKUP($A21,'User Interface (Start Here!)'!$B$18:$N$28,AD$2+1,FALSE)&lt;&gt;100%,R21-VLOOKUP($A21,'User Interface (Start Here!)'!$B$18:$N$28,AD$2+1,FALSE)/'User Interface (Start Here!)'!$L$35*$K21*R21,R21-VLOOKUP($A21,'User Interface (Start Here!)'!$B$18:$N$28,AD$2+1,FALSE)*$K21*R21))</f>
        <v>4.5946480660774558E-2</v>
      </c>
      <c r="AE21" s="52">
        <f>IF($J21&lt;&gt;1,S21,IF(VLOOKUP($A21,'User Interface (Start Here!)'!$B$18:$N$28,AE$2+1,FALSE)&lt;&gt;100%,S21-VLOOKUP($A21,'User Interface (Start Here!)'!$B$18:$N$28,AE$2+1,FALSE)/'User Interface (Start Here!)'!$L$35*$K21*S21,S21-VLOOKUP($A21,'User Interface (Start Here!)'!$B$18:$N$28,AE$2+1,FALSE)*$K21*S21))</f>
        <v>4.1851841526709954E-2</v>
      </c>
      <c r="AF21" s="52">
        <f>IF($J21&lt;&gt;1,T21,IF(VLOOKUP($A21,'User Interface (Start Here!)'!$B$18:$N$28,AF$2+1,FALSE)&lt;&gt;100%,T21-VLOOKUP($A21,'User Interface (Start Here!)'!$B$18:$N$28,AF$2+1,FALSE)/'User Interface (Start Here!)'!$L$35*$K21*T21,T21-VLOOKUP($A21,'User Interface (Start Here!)'!$B$18:$N$28,AF$2+1,FALSE)*$K21*T21))</f>
        <v>4.0261405042850029E-2</v>
      </c>
      <c r="AG21" s="52">
        <f>IF($J21&lt;&gt;1,U21,IF(VLOOKUP($A21,'User Interface (Start Here!)'!$B$18:$N$28,AG$2+1,FALSE)&lt;&gt;100%,U21-VLOOKUP($A21,'User Interface (Start Here!)'!$B$18:$N$28,AG$2+1,FALSE)/'User Interface (Start Here!)'!$L$35*$K21*U21,U21-VLOOKUP($A21,'User Interface (Start Here!)'!$B$18:$N$28,AG$2+1,FALSE)*$K21*U21))</f>
        <v>1.4253590969213081E-2</v>
      </c>
      <c r="AH21" s="52">
        <f>IF($J21&lt;&gt;1,V21,IF(VLOOKUP($A21,'User Interface (Start Here!)'!$B$18:$N$28,AH$2+1,FALSE)&lt;&gt;100%,V21-VLOOKUP($A21,'User Interface (Start Here!)'!$B$18:$N$28,AH$2+1,FALSE)/'User Interface (Start Here!)'!$L$35*$K21*V21,V21-VLOOKUP($A21,'User Interface (Start Here!)'!$B$18:$N$28,AH$2+1,FALSE)*$K21*V21))</f>
        <v>1.4297780502549706E-2</v>
      </c>
      <c r="AI21" s="52">
        <f>IF($J21&lt;&gt;1,W21,IF(VLOOKUP($A21,'User Interface (Start Here!)'!$B$18:$N$28,AI$2+1,FALSE)&lt;&gt;100%,W21-VLOOKUP($A21,'User Interface (Start Here!)'!$B$18:$N$28,AI$2+1,FALSE)/'User Interface (Start Here!)'!$L$35*$K21*W21,W21-VLOOKUP($A21,'User Interface (Start Here!)'!$B$18:$N$28,AI$2+1,FALSE)*$K21*W21))</f>
        <v>1.6679277384663127E-2</v>
      </c>
      <c r="AJ21" s="42">
        <f t="shared" si="0"/>
        <v>0.41058350253183917</v>
      </c>
      <c r="AL21" s="1">
        <v>2880</v>
      </c>
      <c r="AM21" s="1">
        <v>1.3109099985212087</v>
      </c>
      <c r="AN21" s="1">
        <v>3.3069119967520244</v>
      </c>
      <c r="AO21" s="1">
        <v>1.6699999976158144</v>
      </c>
      <c r="AP21" s="1">
        <v>1.7360399979948999</v>
      </c>
      <c r="AQ21" s="1">
        <v>3.6787619961202154</v>
      </c>
      <c r="AR21" s="1">
        <v>1.9260799973607066</v>
      </c>
      <c r="AS21" s="1">
        <v>1.1310899991244077</v>
      </c>
      <c r="AT21" s="1">
        <v>1.1355299988389014</v>
      </c>
      <c r="AU21" s="1">
        <v>0.98567999823391439</v>
      </c>
      <c r="AV21" s="1">
        <v>0.83138999889791021</v>
      </c>
      <c r="AW21" s="1">
        <v>1.7238299979269505</v>
      </c>
      <c r="AX21" s="1">
        <v>1.7116199970990418</v>
      </c>
      <c r="AY21" s="1">
        <v>21.147843974485998</v>
      </c>
      <c r="BA21" s="1">
        <v>2880</v>
      </c>
      <c r="BB21" s="31">
        <f t="shared" si="13"/>
        <v>6.1987879242099933E-2</v>
      </c>
      <c r="BC21" s="31">
        <f t="shared" si="1"/>
        <v>0.15637111758256197</v>
      </c>
      <c r="BD21" s="31">
        <f t="shared" si="1"/>
        <v>7.8967860725216277E-2</v>
      </c>
      <c r="BE21" s="31">
        <f t="shared" si="1"/>
        <v>8.2090637707057074E-2</v>
      </c>
      <c r="BF21" s="31">
        <f t="shared" si="1"/>
        <v>0.17395447027879013</v>
      </c>
      <c r="BG21" s="31">
        <f t="shared" si="1"/>
        <v>9.1076896523562531E-2</v>
      </c>
      <c r="BH21" s="31">
        <f t="shared" si="1"/>
        <v>5.348488481799947E-2</v>
      </c>
      <c r="BI21" s="31">
        <f t="shared" si="1"/>
        <v>5.3694835284810664E-2</v>
      </c>
      <c r="BJ21" s="31">
        <f t="shared" si="1"/>
        <v>4.6609006545683652E-2</v>
      </c>
      <c r="BK21" s="31">
        <f t="shared" si="1"/>
        <v>3.9313227386250246E-2</v>
      </c>
      <c r="BL21" s="31">
        <f t="shared" si="1"/>
        <v>8.1513273882986861E-2</v>
      </c>
      <c r="BM21" s="31">
        <f t="shared" si="1"/>
        <v>8.0935910022981103E-2</v>
      </c>
      <c r="BO21" s="1">
        <v>2880</v>
      </c>
      <c r="BP21" s="1">
        <v>0.22643999987840652</v>
      </c>
      <c r="BQ21" s="1">
        <v>0.3518699996471405</v>
      </c>
      <c r="BR21" s="1">
        <v>0.22255999973416329</v>
      </c>
      <c r="BS21" s="1">
        <v>0.72926999884843824</v>
      </c>
      <c r="BT21" s="1">
        <v>1.3117979984134436</v>
      </c>
      <c r="BU21" s="1">
        <v>0.60161999905109398</v>
      </c>
      <c r="BV21" s="1">
        <v>0.1409699998497963</v>
      </c>
      <c r="BW21" s="1">
        <v>0.11321999990940093</v>
      </c>
      <c r="BX21" s="1">
        <v>0.23198999953269955</v>
      </c>
      <c r="BY21" s="1">
        <v>0.15650999972224233</v>
      </c>
      <c r="BZ21" s="1">
        <v>0.43733999961614611</v>
      </c>
      <c r="CA21" s="1">
        <v>0.41957999952137476</v>
      </c>
      <c r="CB21" s="1">
        <v>4.9431679937243462</v>
      </c>
      <c r="CD21" s="1">
        <v>2880</v>
      </c>
      <c r="CE21" s="31">
        <f t="shared" si="14"/>
        <v>4.5808679811385318E-2</v>
      </c>
      <c r="CF21" s="31">
        <f t="shared" si="2"/>
        <v>7.1183095556101056E-2</v>
      </c>
      <c r="CG21" s="31">
        <f t="shared" si="3"/>
        <v>4.5023758046806583E-2</v>
      </c>
      <c r="CH21" s="31">
        <f t="shared" si="4"/>
        <v>0.14753089512116341</v>
      </c>
      <c r="CI21" s="31">
        <f t="shared" si="5"/>
        <v>0.26537596943475344</v>
      </c>
      <c r="CJ21" s="31">
        <f t="shared" si="6"/>
        <v>0.12170737466638547</v>
      </c>
      <c r="CK21" s="31">
        <f t="shared" si="7"/>
        <v>2.8518148691035045E-2</v>
      </c>
      <c r="CL21" s="31">
        <f t="shared" si="8"/>
        <v>2.2904339899663666E-2</v>
      </c>
      <c r="CM21" s="31">
        <f t="shared" si="9"/>
        <v>4.6931441502134873E-2</v>
      </c>
      <c r="CN21" s="31">
        <f t="shared" si="10"/>
        <v>3.1661881595151396E-2</v>
      </c>
      <c r="CO21" s="31">
        <f t="shared" si="11"/>
        <v>8.8473626664393359E-2</v>
      </c>
      <c r="CP21" s="31">
        <f t="shared" si="12"/>
        <v>8.4880789011026372E-2</v>
      </c>
    </row>
    <row r="22" spans="1:94">
      <c r="A22" s="28">
        <v>3081</v>
      </c>
      <c r="B22" s="29">
        <v>5.1962199016706103</v>
      </c>
      <c r="C22" s="29">
        <v>1.5379644884288353</v>
      </c>
      <c r="D22" s="22">
        <v>1.2353978856756562</v>
      </c>
      <c r="E22" s="22">
        <v>0.36565005199998685</v>
      </c>
      <c r="G22" s="29">
        <f>IF(ISBLANK('User Interface (Start Here!)'!$L$4),commercial!B22,commercial!C22)</f>
        <v>1.5379644884288353</v>
      </c>
      <c r="H22" s="22">
        <f>IF(ISBLANK('User Interface (Start Here!)'!$L$4),commercial!D22,commercial!E22)</f>
        <v>0.36565005199998685</v>
      </c>
      <c r="I22" s="40">
        <f>(G22+H22)*'User Interface (Start Here!)'!$L$10</f>
        <v>1.7132530863859399</v>
      </c>
      <c r="J22" s="2">
        <f>IF(VLOOKUP(A22,'User Interface (Start Here!)'!$DO$2:$DP$73,2,FALSE)&lt;&gt;0,1,0)</f>
        <v>0</v>
      </c>
      <c r="K22" s="41">
        <f>IF(AND(J22=1,ISBLANK('User Interface (Start Here!)'!$L$14),ISBLANK('User Interface (Start Here!)'!$M$14),ISBLANK('User Interface (Start Here!)'!$N$14)),100%*'User Interface (Start Here!)'!$L$30,IF(J22=1,VLOOKUP(A22,'Bathymetric Closures'!$A$2:$C$57,3,FALSE)*'User Interface (Start Here!)'!$L$30,0%))</f>
        <v>0</v>
      </c>
      <c r="L22" s="50">
        <f>IF(ISBLANK('User Interface (Start Here!)'!$L20),$I22*VLOOKUP($A22,$BA$5:$BM$60,L$2+1,FALSE),$I22*VLOOKUP($A22,$CD$6:$CP$60,L$2+1,FALSE))</f>
        <v>0.49045377293564613</v>
      </c>
      <c r="M22" s="50">
        <f>IF(ISBLANK('User Interface (Start Here!)'!$L20),$I22*VLOOKUP($A22,$BA$5:$BM$60,M$2+1,FALSE),$I22*VLOOKUP($A22,$CD$6:$CP$60,M$2+1,FALSE))</f>
        <v>0</v>
      </c>
      <c r="N22" s="50">
        <f>IF(ISBLANK('User Interface (Start Here!)'!$L20),$I22*VLOOKUP($A22,$BA$5:$BM$60,N$2+1,FALSE),$I22*VLOOKUP($A22,$CD$6:$CP$60,N$2+1,FALSE))</f>
        <v>0</v>
      </c>
      <c r="O22" s="50">
        <f>IF(ISBLANK('User Interface (Start Here!)'!$L20),$I22*VLOOKUP($A22,$BA$5:$BM$60,O$2+1,FALSE),$I22*VLOOKUP($A22,$CD$6:$CP$60,O$2+1,FALSE))</f>
        <v>6.177831184089945E-2</v>
      </c>
      <c r="P22" s="50">
        <f>IF(ISBLANK('User Interface (Start Here!)'!$L20),$I22*VLOOKUP($A22,$BA$5:$BM$60,P$2+1,FALSE),$I22*VLOOKUP($A22,$CD$6:$CP$60,P$2+1,FALSE))</f>
        <v>0.39000506749216179</v>
      </c>
      <c r="Q22" s="50">
        <f>IF(ISBLANK('User Interface (Start Here!)'!$L20),$I22*VLOOKUP($A22,$BA$5:$BM$60,Q$2+1,FALSE),$I22*VLOOKUP($A22,$CD$6:$CP$60,Q$2+1,FALSE))</f>
        <v>5.7534000331874079E-2</v>
      </c>
      <c r="R22" s="50">
        <f>IF(ISBLANK('User Interface (Start Here!)'!$L20),$I22*VLOOKUP($A22,$BA$5:$BM$60,R$2+1,FALSE),$I22*VLOOKUP($A22,$CD$6:$CP$60,R$2+1,FALSE))</f>
        <v>3.6312442850055679E-2</v>
      </c>
      <c r="S22" s="50">
        <f>IF(ISBLANK('User Interface (Start Here!)'!$L20),$I22*VLOOKUP($A22,$BA$5:$BM$60,S$2+1,FALSE),$I22*VLOOKUP($A22,$CD$6:$CP$60,S$2+1,FALSE))</f>
        <v>0.10668134314195686</v>
      </c>
      <c r="T22" s="50">
        <f>IF(ISBLANK('User Interface (Start Here!)'!$L20),$I22*VLOOKUP($A22,$BA$5:$BM$60,T$2+1,FALSE),$I22*VLOOKUP($A22,$CD$6:$CP$60,T$2+1,FALSE))</f>
        <v>0.3139430970840964</v>
      </c>
      <c r="U22" s="50">
        <f>IF(ISBLANK('User Interface (Start Here!)'!$L20),$I22*VLOOKUP($A22,$BA$5:$BM$60,U$2+1,FALSE),$I22*VLOOKUP($A22,$CD$6:$CP$60,U$2+1,FALSE))</f>
        <v>8.2528279162082649E-2</v>
      </c>
      <c r="V22" s="50">
        <f>IF(ISBLANK('User Interface (Start Here!)'!$L20),$I22*VLOOKUP($A22,$BA$5:$BM$60,V$2+1,FALSE),$I22*VLOOKUP($A22,$CD$6:$CP$60,V$2+1,FALSE))</f>
        <v>8.347145948968393E-2</v>
      </c>
      <c r="W22" s="50">
        <f>IF(ISBLANK('User Interface (Start Here!)'!$L20),$I22*VLOOKUP($A22,$BA$5:$BM$60,W$2+1,FALSE),$I22*VLOOKUP($A22,$CD$6:$CP$60,W$2+1,FALSE))</f>
        <v>9.0545312057483271E-2</v>
      </c>
      <c r="X22" s="51">
        <f>IF($J22&lt;&gt;1,L22,IF(VLOOKUP($A22,'User Interface (Start Here!)'!$B$18:$N$28,X$2+1,FALSE)&lt;&gt;100%,L22-VLOOKUP($A22,'User Interface (Start Here!)'!$B$18:$N$28,X$2+1,FALSE)/'User Interface (Start Here!)'!$L$35*$K22*L22,L22-VLOOKUP($A22,'User Interface (Start Here!)'!$B$18:$N$28,X$2+1,FALSE)*$K22*L22))</f>
        <v>0.49045377293564613</v>
      </c>
      <c r="Y22" s="52">
        <f>IF($J22&lt;&gt;1,M22,IF(VLOOKUP($A22,'User Interface (Start Here!)'!$B$18:$N$28,Y$2+1,FALSE)&lt;&gt;100%,M22-VLOOKUP($A22,'User Interface (Start Here!)'!$B$18:$N$28,Y$2+1,FALSE)/'User Interface (Start Here!)'!$L$35*$K22*M22,M22-VLOOKUP($A22,'User Interface (Start Here!)'!$B$18:$N$28,Y$2+1,FALSE)*$K22*M22))</f>
        <v>0</v>
      </c>
      <c r="Z22" s="52">
        <f>IF($J22&lt;&gt;1,N22,IF(VLOOKUP($A22,'User Interface (Start Here!)'!$B$18:$N$28,Z$2+1,FALSE)&lt;&gt;100%,N22-VLOOKUP($A22,'User Interface (Start Here!)'!$B$18:$N$28,Z$2+1,FALSE)/'User Interface (Start Here!)'!$L$35*$K22*N22,N22-VLOOKUP($A22,'User Interface (Start Here!)'!$B$18:$N$28,Z$2+1,FALSE)*$K22*N22))</f>
        <v>0</v>
      </c>
      <c r="AA22" s="52">
        <f>IF($J22&lt;&gt;1,O22,IF(VLOOKUP($A22,'User Interface (Start Here!)'!$B$18:$N$28,AA$2+1,FALSE)&lt;&gt;100%,O22-VLOOKUP($A22,'User Interface (Start Here!)'!$B$18:$N$28,AA$2+1,FALSE)/'User Interface (Start Here!)'!$L$35*$K22*O22,O22-VLOOKUP($A22,'User Interface (Start Here!)'!$B$18:$N$28,AA$2+1,FALSE)*$K22*O22))</f>
        <v>6.177831184089945E-2</v>
      </c>
      <c r="AB22" s="52">
        <f>IF($J22&lt;&gt;1,P22,IF(VLOOKUP($A22,'User Interface (Start Here!)'!$B$18:$N$28,AB$2+1,FALSE)&lt;&gt;100%,P22-VLOOKUP($A22,'User Interface (Start Here!)'!$B$18:$N$28,AB$2+1,FALSE)/'User Interface (Start Here!)'!$L$35*$K22*P22,P22-VLOOKUP($A22,'User Interface (Start Here!)'!$B$18:$N$28,AB$2+1,FALSE)*$K22*P22))</f>
        <v>0.39000506749216179</v>
      </c>
      <c r="AC22" s="52">
        <f>IF($J22&lt;&gt;1,Q22,IF(VLOOKUP($A22,'User Interface (Start Here!)'!$B$18:$N$28,AC$2+1,FALSE)&lt;&gt;100%,Q22-VLOOKUP($A22,'User Interface (Start Here!)'!$B$18:$N$28,AC$2+1,FALSE)/'User Interface (Start Here!)'!$L$35*$K22*Q22,Q22-VLOOKUP($A22,'User Interface (Start Here!)'!$B$18:$N$28,AC$2+1,FALSE)*$K22*Q22))</f>
        <v>5.7534000331874079E-2</v>
      </c>
      <c r="AD22" s="52">
        <f>IF($J22&lt;&gt;1,R22,IF(VLOOKUP($A22,'User Interface (Start Here!)'!$B$18:$N$28,AD$2+1,FALSE)&lt;&gt;100%,R22-VLOOKUP($A22,'User Interface (Start Here!)'!$B$18:$N$28,AD$2+1,FALSE)/'User Interface (Start Here!)'!$L$35*$K22*R22,R22-VLOOKUP($A22,'User Interface (Start Here!)'!$B$18:$N$28,AD$2+1,FALSE)*$K22*R22))</f>
        <v>3.6312442850055679E-2</v>
      </c>
      <c r="AE22" s="52">
        <f>IF($J22&lt;&gt;1,S22,IF(VLOOKUP($A22,'User Interface (Start Here!)'!$B$18:$N$28,AE$2+1,FALSE)&lt;&gt;100%,S22-VLOOKUP($A22,'User Interface (Start Here!)'!$B$18:$N$28,AE$2+1,FALSE)/'User Interface (Start Here!)'!$L$35*$K22*S22,S22-VLOOKUP($A22,'User Interface (Start Here!)'!$B$18:$N$28,AE$2+1,FALSE)*$K22*S22))</f>
        <v>0.10668134314195686</v>
      </c>
      <c r="AF22" s="52">
        <f>IF($J22&lt;&gt;1,T22,IF(VLOOKUP($A22,'User Interface (Start Here!)'!$B$18:$N$28,AF$2+1,FALSE)&lt;&gt;100%,T22-VLOOKUP($A22,'User Interface (Start Here!)'!$B$18:$N$28,AF$2+1,FALSE)/'User Interface (Start Here!)'!$L$35*$K22*T22,T22-VLOOKUP($A22,'User Interface (Start Here!)'!$B$18:$N$28,AF$2+1,FALSE)*$K22*T22))</f>
        <v>0.3139430970840964</v>
      </c>
      <c r="AG22" s="52">
        <f>IF($J22&lt;&gt;1,U22,IF(VLOOKUP($A22,'User Interface (Start Here!)'!$B$18:$N$28,AG$2+1,FALSE)&lt;&gt;100%,U22-VLOOKUP($A22,'User Interface (Start Here!)'!$B$18:$N$28,AG$2+1,FALSE)/'User Interface (Start Here!)'!$L$35*$K22*U22,U22-VLOOKUP($A22,'User Interface (Start Here!)'!$B$18:$N$28,AG$2+1,FALSE)*$K22*U22))</f>
        <v>8.2528279162082649E-2</v>
      </c>
      <c r="AH22" s="52">
        <f>IF($J22&lt;&gt;1,V22,IF(VLOOKUP($A22,'User Interface (Start Here!)'!$B$18:$N$28,AH$2+1,FALSE)&lt;&gt;100%,V22-VLOOKUP($A22,'User Interface (Start Here!)'!$B$18:$N$28,AH$2+1,FALSE)/'User Interface (Start Here!)'!$L$35*$K22*V22,V22-VLOOKUP($A22,'User Interface (Start Here!)'!$B$18:$N$28,AH$2+1,FALSE)*$K22*V22))</f>
        <v>8.347145948968393E-2</v>
      </c>
      <c r="AI22" s="52">
        <f>IF($J22&lt;&gt;1,W22,IF(VLOOKUP($A22,'User Interface (Start Here!)'!$B$18:$N$28,AI$2+1,FALSE)&lt;&gt;100%,W22-VLOOKUP($A22,'User Interface (Start Here!)'!$B$18:$N$28,AI$2+1,FALSE)/'User Interface (Start Here!)'!$L$35*$K22*W22,W22-VLOOKUP($A22,'User Interface (Start Here!)'!$B$18:$N$28,AI$2+1,FALSE)*$K22*W22))</f>
        <v>9.0545312057483271E-2</v>
      </c>
      <c r="AJ22" s="42">
        <f t="shared" si="0"/>
        <v>1.7132530863859403</v>
      </c>
      <c r="AL22" s="1">
        <v>2979</v>
      </c>
      <c r="AQ22" s="1">
        <v>0</v>
      </c>
      <c r="AT22" s="1">
        <v>0</v>
      </c>
      <c r="AU22" s="1">
        <v>0</v>
      </c>
      <c r="AV22" s="1">
        <v>0</v>
      </c>
      <c r="AW22" s="1">
        <v>0</v>
      </c>
      <c r="AX22" s="1">
        <v>0</v>
      </c>
      <c r="AY22" s="1">
        <v>0</v>
      </c>
      <c r="BA22" s="1">
        <v>2979</v>
      </c>
      <c r="BB22" s="31">
        <f t="shared" si="13"/>
        <v>0</v>
      </c>
      <c r="BC22" s="31">
        <f t="shared" ref="BC22:BC60" si="15">IF($AY22&lt;&gt;0,AN22/$AY22,0)</f>
        <v>0</v>
      </c>
      <c r="BD22" s="31">
        <f t="shared" ref="BD22:BD60" si="16">IF($AY22&lt;&gt;0,AO22/$AY22,0)</f>
        <v>0</v>
      </c>
      <c r="BE22" s="31">
        <f t="shared" ref="BE22:BE60" si="17">IF($AY22&lt;&gt;0,AP22/$AY22,0)</f>
        <v>0</v>
      </c>
      <c r="BF22" s="31">
        <f t="shared" ref="BF22:BF60" si="18">IF($AY22&lt;&gt;0,AQ22/$AY22,0)</f>
        <v>0</v>
      </c>
      <c r="BG22" s="31">
        <f t="shared" ref="BG22:BG60" si="19">IF($AY22&lt;&gt;0,AR22/$AY22,0)</f>
        <v>0</v>
      </c>
      <c r="BH22" s="31">
        <f t="shared" ref="BH22:BH60" si="20">IF($AY22&lt;&gt;0,AS22/$AY22,0)</f>
        <v>0</v>
      </c>
      <c r="BI22" s="31">
        <f t="shared" ref="BI22:BI60" si="21">IF($AY22&lt;&gt;0,AT22/$AY22,0)</f>
        <v>0</v>
      </c>
      <c r="BJ22" s="31">
        <f t="shared" ref="BJ22:BJ60" si="22">IF($AY22&lt;&gt;0,AU22/$AY22,0)</f>
        <v>0</v>
      </c>
      <c r="BK22" s="31">
        <f t="shared" ref="BK22:BK60" si="23">IF($AY22&lt;&gt;0,AV22/$AY22,0)</f>
        <v>0</v>
      </c>
      <c r="BL22" s="31">
        <f t="shared" ref="BL22:BL60" si="24">IF($AY22&lt;&gt;0,AW22/$AY22,0)</f>
        <v>0</v>
      </c>
      <c r="BM22" s="31">
        <f t="shared" ref="BM22:BM60" si="25">IF($AY22&lt;&gt;0,AX22/$AY22,0)</f>
        <v>0</v>
      </c>
      <c r="BO22" s="1">
        <v>2979</v>
      </c>
      <c r="BT22" s="1">
        <v>0</v>
      </c>
      <c r="BW22" s="1">
        <v>0</v>
      </c>
      <c r="BX22" s="1">
        <v>0</v>
      </c>
      <c r="BY22" s="1">
        <v>0</v>
      </c>
      <c r="BZ22" s="1">
        <v>0</v>
      </c>
      <c r="CA22" s="1">
        <v>0</v>
      </c>
      <c r="CB22" s="1">
        <v>0</v>
      </c>
      <c r="CD22" s="1">
        <v>2979</v>
      </c>
      <c r="CE22" s="31">
        <f t="shared" si="14"/>
        <v>0</v>
      </c>
      <c r="CF22" s="31">
        <f t="shared" si="2"/>
        <v>0</v>
      </c>
      <c r="CG22" s="31">
        <f t="shared" si="3"/>
        <v>0</v>
      </c>
      <c r="CH22" s="31">
        <f t="shared" si="4"/>
        <v>0</v>
      </c>
      <c r="CI22" s="31">
        <f t="shared" si="5"/>
        <v>0</v>
      </c>
      <c r="CJ22" s="31">
        <f t="shared" si="6"/>
        <v>0</v>
      </c>
      <c r="CK22" s="31">
        <f t="shared" si="7"/>
        <v>0</v>
      </c>
      <c r="CL22" s="31">
        <f t="shared" si="8"/>
        <v>0</v>
      </c>
      <c r="CM22" s="31">
        <f t="shared" si="9"/>
        <v>0</v>
      </c>
      <c r="CN22" s="31">
        <f t="shared" si="10"/>
        <v>0</v>
      </c>
      <c r="CO22" s="31">
        <f t="shared" si="11"/>
        <v>0</v>
      </c>
      <c r="CP22" s="31">
        <f t="shared" si="12"/>
        <v>0</v>
      </c>
    </row>
    <row r="23" spans="1:94">
      <c r="A23" s="28">
        <v>3174</v>
      </c>
      <c r="B23" s="29">
        <v>0</v>
      </c>
      <c r="C23" s="29">
        <v>0</v>
      </c>
      <c r="D23" s="22">
        <v>0</v>
      </c>
      <c r="E23" s="22">
        <v>0</v>
      </c>
      <c r="G23" s="29">
        <f>IF(ISBLANK('User Interface (Start Here!)'!$L$4),commercial!B23,commercial!C23)</f>
        <v>0</v>
      </c>
      <c r="H23" s="22">
        <f>IF(ISBLANK('User Interface (Start Here!)'!$L$4),commercial!D23,commercial!E23)</f>
        <v>0</v>
      </c>
      <c r="I23" s="40">
        <f>(G23+H23)*'User Interface (Start Here!)'!$L$10</f>
        <v>0</v>
      </c>
      <c r="J23" s="2">
        <f>IF(VLOOKUP(A23,'User Interface (Start Here!)'!$DO$2:$DP$73,2,FALSE)&lt;&gt;0,1,0)</f>
        <v>0</v>
      </c>
      <c r="K23" s="41">
        <f>IF(AND(J23=1,ISBLANK('User Interface (Start Here!)'!$L$14),ISBLANK('User Interface (Start Here!)'!$M$14),ISBLANK('User Interface (Start Here!)'!$N$14)),100%*'User Interface (Start Here!)'!$L$30,IF(J23=1,VLOOKUP(A23,'Bathymetric Closures'!$A$2:$C$57,3,FALSE)*'User Interface (Start Here!)'!$L$30,0%))</f>
        <v>0</v>
      </c>
      <c r="L23" s="50">
        <f>IF(ISBLANK('User Interface (Start Here!)'!#REF!),$I23*VLOOKUP($A23,$BA$5:$BM$60,L$2+1,FALSE),$I23*VLOOKUP($A23,$CD$6:$CP$60,L$2+1,FALSE))</f>
        <v>0</v>
      </c>
      <c r="M23" s="50">
        <f>IF(ISBLANK('User Interface (Start Here!)'!#REF!),$I23*VLOOKUP($A23,$BA$5:$BM$60,M$2+1,FALSE),$I23*VLOOKUP($A23,$CD$6:$CP$60,M$2+1,FALSE))</f>
        <v>0</v>
      </c>
      <c r="N23" s="50">
        <f>IF(ISBLANK('User Interface (Start Here!)'!#REF!),$I23*VLOOKUP($A23,$BA$5:$BM$60,N$2+1,FALSE),$I23*VLOOKUP($A23,$CD$6:$CP$60,N$2+1,FALSE))</f>
        <v>0</v>
      </c>
      <c r="O23" s="50">
        <f>IF(ISBLANK('User Interface (Start Here!)'!#REF!),$I23*VLOOKUP($A23,$BA$5:$BM$60,O$2+1,FALSE),$I23*VLOOKUP($A23,$CD$6:$CP$60,O$2+1,FALSE))</f>
        <v>0</v>
      </c>
      <c r="P23" s="50">
        <f>IF(ISBLANK('User Interface (Start Here!)'!#REF!),$I23*VLOOKUP($A23,$BA$5:$BM$60,P$2+1,FALSE),$I23*VLOOKUP($A23,$CD$6:$CP$60,P$2+1,FALSE))</f>
        <v>0</v>
      </c>
      <c r="Q23" s="50">
        <f>IF(ISBLANK('User Interface (Start Here!)'!#REF!),$I23*VLOOKUP($A23,$BA$5:$BM$60,Q$2+1,FALSE),$I23*VLOOKUP($A23,$CD$6:$CP$60,Q$2+1,FALSE))</f>
        <v>0</v>
      </c>
      <c r="R23" s="50">
        <f>IF(ISBLANK('User Interface (Start Here!)'!#REF!),$I23*VLOOKUP($A23,$BA$5:$BM$60,R$2+1,FALSE),$I23*VLOOKUP($A23,$CD$6:$CP$60,R$2+1,FALSE))</f>
        <v>0</v>
      </c>
      <c r="S23" s="50">
        <f>IF(ISBLANK('User Interface (Start Here!)'!#REF!),$I23*VLOOKUP($A23,$BA$5:$BM$60,S$2+1,FALSE),$I23*VLOOKUP($A23,$CD$6:$CP$60,S$2+1,FALSE))</f>
        <v>0</v>
      </c>
      <c r="T23" s="50">
        <f>IF(ISBLANK('User Interface (Start Here!)'!#REF!),$I23*VLOOKUP($A23,$BA$5:$BM$60,T$2+1,FALSE),$I23*VLOOKUP($A23,$CD$6:$CP$60,T$2+1,FALSE))</f>
        <v>0</v>
      </c>
      <c r="U23" s="50">
        <f>IF(ISBLANK('User Interface (Start Here!)'!#REF!),$I23*VLOOKUP($A23,$BA$5:$BM$60,U$2+1,FALSE),$I23*VLOOKUP($A23,$CD$6:$CP$60,U$2+1,FALSE))</f>
        <v>0</v>
      </c>
      <c r="V23" s="50">
        <f>IF(ISBLANK('User Interface (Start Here!)'!#REF!),$I23*VLOOKUP($A23,$BA$5:$BM$60,V$2+1,FALSE),$I23*VLOOKUP($A23,$CD$6:$CP$60,V$2+1,FALSE))</f>
        <v>0</v>
      </c>
      <c r="W23" s="50">
        <f>IF(ISBLANK('User Interface (Start Here!)'!#REF!),$I23*VLOOKUP($A23,$BA$5:$BM$60,W$2+1,FALSE),$I23*VLOOKUP($A23,$CD$6:$CP$60,W$2+1,FALSE))</f>
        <v>0</v>
      </c>
      <c r="X23" s="51">
        <f>IF($J23&lt;&gt;1,L23,IF(VLOOKUP($A23,'User Interface (Start Here!)'!$B$18:$N$28,X$2+1,FALSE)&lt;&gt;100%,L23-VLOOKUP($A23,'User Interface (Start Here!)'!$B$18:$N$28,X$2+1,FALSE)/'User Interface (Start Here!)'!$L$35*$K23*L23,L23-VLOOKUP($A23,'User Interface (Start Here!)'!$B$18:$N$28,X$2+1,FALSE)*$K23*L23))</f>
        <v>0</v>
      </c>
      <c r="Y23" s="52">
        <f>IF($J23&lt;&gt;1,M23,IF(VLOOKUP($A23,'User Interface (Start Here!)'!$B$18:$N$28,Y$2+1,FALSE)&lt;&gt;100%,M23-VLOOKUP($A23,'User Interface (Start Here!)'!$B$18:$N$28,Y$2+1,FALSE)/'User Interface (Start Here!)'!$L$35*$K23*M23,M23-VLOOKUP($A23,'User Interface (Start Here!)'!$B$18:$N$28,Y$2+1,FALSE)*$K23*M23))</f>
        <v>0</v>
      </c>
      <c r="Z23" s="52">
        <f>IF($J23&lt;&gt;1,N23,IF(VLOOKUP($A23,'User Interface (Start Here!)'!$B$18:$N$28,Z$2+1,FALSE)&lt;&gt;100%,N23-VLOOKUP($A23,'User Interface (Start Here!)'!$B$18:$N$28,Z$2+1,FALSE)/'User Interface (Start Here!)'!$L$35*$K23*N23,N23-VLOOKUP($A23,'User Interface (Start Here!)'!$B$18:$N$28,Z$2+1,FALSE)*$K23*N23))</f>
        <v>0</v>
      </c>
      <c r="AA23" s="52">
        <f>IF($J23&lt;&gt;1,O23,IF(VLOOKUP($A23,'User Interface (Start Here!)'!$B$18:$N$28,AA$2+1,FALSE)&lt;&gt;100%,O23-VLOOKUP($A23,'User Interface (Start Here!)'!$B$18:$N$28,AA$2+1,FALSE)/'User Interface (Start Here!)'!$L$35*$K23*O23,O23-VLOOKUP($A23,'User Interface (Start Here!)'!$B$18:$N$28,AA$2+1,FALSE)*$K23*O23))</f>
        <v>0</v>
      </c>
      <c r="AB23" s="52">
        <f>IF($J23&lt;&gt;1,P23,IF(VLOOKUP($A23,'User Interface (Start Here!)'!$B$18:$N$28,AB$2+1,FALSE)&lt;&gt;100%,P23-VLOOKUP($A23,'User Interface (Start Here!)'!$B$18:$N$28,AB$2+1,FALSE)/'User Interface (Start Here!)'!$L$35*$K23*P23,P23-VLOOKUP($A23,'User Interface (Start Here!)'!$B$18:$N$28,AB$2+1,FALSE)*$K23*P23))</f>
        <v>0</v>
      </c>
      <c r="AC23" s="52">
        <f>IF($J23&lt;&gt;1,Q23,IF(VLOOKUP($A23,'User Interface (Start Here!)'!$B$18:$N$28,AC$2+1,FALSE)&lt;&gt;100%,Q23-VLOOKUP($A23,'User Interface (Start Here!)'!$B$18:$N$28,AC$2+1,FALSE)/'User Interface (Start Here!)'!$L$35*$K23*Q23,Q23-VLOOKUP($A23,'User Interface (Start Here!)'!$B$18:$N$28,AC$2+1,FALSE)*$K23*Q23))</f>
        <v>0</v>
      </c>
      <c r="AD23" s="52">
        <f>IF($J23&lt;&gt;1,R23,IF(VLOOKUP($A23,'User Interface (Start Here!)'!$B$18:$N$28,AD$2+1,FALSE)&lt;&gt;100%,R23-VLOOKUP($A23,'User Interface (Start Here!)'!$B$18:$N$28,AD$2+1,FALSE)/'User Interface (Start Here!)'!$L$35*$K23*R23,R23-VLOOKUP($A23,'User Interface (Start Here!)'!$B$18:$N$28,AD$2+1,FALSE)*$K23*R23))</f>
        <v>0</v>
      </c>
      <c r="AE23" s="52">
        <f>IF($J23&lt;&gt;1,S23,IF(VLOOKUP($A23,'User Interface (Start Here!)'!$B$18:$N$28,AE$2+1,FALSE)&lt;&gt;100%,S23-VLOOKUP($A23,'User Interface (Start Here!)'!$B$18:$N$28,AE$2+1,FALSE)/'User Interface (Start Here!)'!$L$35*$K23*S23,S23-VLOOKUP($A23,'User Interface (Start Here!)'!$B$18:$N$28,AE$2+1,FALSE)*$K23*S23))</f>
        <v>0</v>
      </c>
      <c r="AF23" s="52">
        <f>IF($J23&lt;&gt;1,T23,IF(VLOOKUP($A23,'User Interface (Start Here!)'!$B$18:$N$28,AF$2+1,FALSE)&lt;&gt;100%,T23-VLOOKUP($A23,'User Interface (Start Here!)'!$B$18:$N$28,AF$2+1,FALSE)/'User Interface (Start Here!)'!$L$35*$K23*T23,T23-VLOOKUP($A23,'User Interface (Start Here!)'!$B$18:$N$28,AF$2+1,FALSE)*$K23*T23))</f>
        <v>0</v>
      </c>
      <c r="AG23" s="52">
        <f>IF($J23&lt;&gt;1,U23,IF(VLOOKUP($A23,'User Interface (Start Here!)'!$B$18:$N$28,AG$2+1,FALSE)&lt;&gt;100%,U23-VLOOKUP($A23,'User Interface (Start Here!)'!$B$18:$N$28,AG$2+1,FALSE)/'User Interface (Start Here!)'!$L$35*$K23*U23,U23-VLOOKUP($A23,'User Interface (Start Here!)'!$B$18:$N$28,AG$2+1,FALSE)*$K23*U23))</f>
        <v>0</v>
      </c>
      <c r="AH23" s="52">
        <f>IF($J23&lt;&gt;1,V23,IF(VLOOKUP($A23,'User Interface (Start Here!)'!$B$18:$N$28,AH$2+1,FALSE)&lt;&gt;100%,V23-VLOOKUP($A23,'User Interface (Start Here!)'!$B$18:$N$28,AH$2+1,FALSE)/'User Interface (Start Here!)'!$L$35*$K23*V23,V23-VLOOKUP($A23,'User Interface (Start Here!)'!$B$18:$N$28,AH$2+1,FALSE)*$K23*V23))</f>
        <v>0</v>
      </c>
      <c r="AI23" s="52">
        <f>IF($J23&lt;&gt;1,W23,IF(VLOOKUP($A23,'User Interface (Start Here!)'!$B$18:$N$28,AI$2+1,FALSE)&lt;&gt;100%,W23-VLOOKUP($A23,'User Interface (Start Here!)'!$B$18:$N$28,AI$2+1,FALSE)/'User Interface (Start Here!)'!$L$35*$K23*W23,W23-VLOOKUP($A23,'User Interface (Start Here!)'!$B$18:$N$28,AI$2+1,FALSE)*$K23*W23))</f>
        <v>0</v>
      </c>
      <c r="AJ23" s="42">
        <f t="shared" si="0"/>
        <v>0</v>
      </c>
      <c r="AL23" s="1">
        <v>2980</v>
      </c>
      <c r="AM23" s="1">
        <v>4.1968279926627874</v>
      </c>
      <c r="AN23" s="1">
        <v>4.5593899937868105</v>
      </c>
      <c r="AO23" s="1">
        <v>2.9490699960589408</v>
      </c>
      <c r="AP23" s="1">
        <v>2.6360049971640112</v>
      </c>
      <c r="AQ23" s="1">
        <v>3.4698999954909087</v>
      </c>
      <c r="AR23" s="1">
        <v>3.8483199950605629</v>
      </c>
      <c r="AS23" s="1">
        <v>1.9181299974918367</v>
      </c>
      <c r="AT23" s="1">
        <v>2.1295399967581035</v>
      </c>
      <c r="AU23" s="1">
        <v>1.7926299983561038</v>
      </c>
      <c r="AV23" s="1">
        <v>0.73358999934792524</v>
      </c>
      <c r="AW23" s="1">
        <v>2.2942099974751473</v>
      </c>
      <c r="AX23" s="1">
        <v>2.1258299978375432</v>
      </c>
      <c r="AY23" s="1">
        <v>32.653442957490682</v>
      </c>
      <c r="BA23" s="1">
        <v>2980</v>
      </c>
      <c r="BB23" s="31">
        <f t="shared" si="13"/>
        <v>0.12852635472854593</v>
      </c>
      <c r="BC23" s="31">
        <f t="shared" si="15"/>
        <v>0.13962968620866023</v>
      </c>
      <c r="BD23" s="31">
        <f t="shared" si="16"/>
        <v>9.0314212804393598E-2</v>
      </c>
      <c r="BE23" s="31">
        <f t="shared" si="17"/>
        <v>8.0726709296647478E-2</v>
      </c>
      <c r="BF23" s="31">
        <f t="shared" si="18"/>
        <v>0.10626444506964051</v>
      </c>
      <c r="BG23" s="31">
        <f t="shared" si="19"/>
        <v>0.11785342207467775</v>
      </c>
      <c r="BH23" s="31">
        <f t="shared" si="20"/>
        <v>5.8742044445019806E-2</v>
      </c>
      <c r="BI23" s="31">
        <f t="shared" si="21"/>
        <v>6.5216399983622192E-2</v>
      </c>
      <c r="BJ23" s="31">
        <f t="shared" si="22"/>
        <v>5.4898651902949652E-2</v>
      </c>
      <c r="BK23" s="31">
        <f t="shared" si="23"/>
        <v>2.2465931090419368E-2</v>
      </c>
      <c r="BL23" s="31">
        <f t="shared" si="24"/>
        <v>7.0259359800491014E-2</v>
      </c>
      <c r="BM23" s="31">
        <f t="shared" si="25"/>
        <v>6.5102782594932421E-2</v>
      </c>
      <c r="BO23" s="1">
        <v>2980</v>
      </c>
      <c r="BP23" s="1">
        <v>1.5554079977422952</v>
      </c>
      <c r="BQ23" s="1">
        <v>0.41624999982118605</v>
      </c>
      <c r="BR23" s="1">
        <v>0.87136443711461142</v>
      </c>
      <c r="BS23" s="1">
        <v>0.65660999935865405</v>
      </c>
      <c r="BT23" s="1">
        <v>1.5638699977993964</v>
      </c>
      <c r="BU23" s="1">
        <v>1.2333499985933305</v>
      </c>
      <c r="BV23" s="1">
        <v>1.0112599986791611</v>
      </c>
      <c r="BW23" s="1">
        <v>0.81917999869585034</v>
      </c>
      <c r="BX23" s="1">
        <v>1.2471711757326316</v>
      </c>
      <c r="BY23" s="1">
        <v>0.30706999975442884</v>
      </c>
      <c r="BZ23" s="1">
        <v>0.12329999995231627</v>
      </c>
      <c r="CA23" s="1">
        <v>0.69021614903269324</v>
      </c>
      <c r="CB23" s="1">
        <v>10.495049752276554</v>
      </c>
      <c r="CD23" s="1">
        <v>2980</v>
      </c>
      <c r="CE23" s="31">
        <f t="shared" si="14"/>
        <v>0.1482039661036291</v>
      </c>
      <c r="CF23" s="31">
        <f t="shared" si="2"/>
        <v>3.966155565207248E-2</v>
      </c>
      <c r="CG23" s="31">
        <f t="shared" si="3"/>
        <v>8.3026232145835974E-2</v>
      </c>
      <c r="CH23" s="31">
        <f t="shared" si="4"/>
        <v>6.2563781483382125E-2</v>
      </c>
      <c r="CI23" s="31">
        <f t="shared" si="5"/>
        <v>0.14901025099572934</v>
      </c>
      <c r="CJ23" s="31">
        <f t="shared" si="6"/>
        <v>0.11751730841731323</v>
      </c>
      <c r="CK23" s="31">
        <f t="shared" si="7"/>
        <v>9.6355903263803167E-2</v>
      </c>
      <c r="CL23" s="31">
        <f t="shared" si="8"/>
        <v>7.8053941432545987E-2</v>
      </c>
      <c r="CM23" s="31">
        <f t="shared" si="9"/>
        <v>0.11883423186841958</v>
      </c>
      <c r="CN23" s="31">
        <f t="shared" si="10"/>
        <v>2.9258555890868468E-2</v>
      </c>
      <c r="CO23" s="31">
        <f t="shared" si="11"/>
        <v>1.1748395945009257E-2</v>
      </c>
      <c r="CP23" s="31">
        <f t="shared" si="12"/>
        <v>6.5765876801391412E-2</v>
      </c>
    </row>
    <row r="24" spans="1:94">
      <c r="A24" s="28">
        <v>3175</v>
      </c>
      <c r="B24" s="29">
        <v>1.4944448809438408E-2</v>
      </c>
      <c r="C24" s="29">
        <v>4.3260246568920281E-3</v>
      </c>
      <c r="D24" s="22">
        <v>3.5530329376230888E-3</v>
      </c>
      <c r="E24" s="22">
        <v>1.028509534938452E-3</v>
      </c>
      <c r="G24" s="29">
        <f>IF(ISBLANK('User Interface (Start Here!)'!$L$4),commercial!B24,commercial!C24)</f>
        <v>4.3260246568920281E-3</v>
      </c>
      <c r="H24" s="22">
        <f>IF(ISBLANK('User Interface (Start Here!)'!$L$4),commercial!D24,commercial!E24)</f>
        <v>1.028509534938452E-3</v>
      </c>
      <c r="I24" s="40">
        <f>(G24+H24)*'User Interface (Start Here!)'!$L$10</f>
        <v>4.819080772647432E-3</v>
      </c>
      <c r="J24" s="2">
        <f>IF(VLOOKUP(A24,'User Interface (Start Here!)'!$DO$2:$DP$73,2,FALSE)&lt;&gt;0,1,0)</f>
        <v>0</v>
      </c>
      <c r="K24" s="41">
        <f>IF(AND(J24=1,ISBLANK('User Interface (Start Here!)'!$L$14),ISBLANK('User Interface (Start Here!)'!$M$14),ISBLANK('User Interface (Start Here!)'!$N$14)),100%*'User Interface (Start Here!)'!$L$30,IF(J24=1,VLOOKUP(A24,'Bathymetric Closures'!$A$2:$C$57,3,FALSE)*'User Interface (Start Here!)'!$L$30,0%))</f>
        <v>0</v>
      </c>
      <c r="L24" s="50">
        <f>IF(ISBLANK('User Interface (Start Here!)'!#REF!),$I24*VLOOKUP($A24,$BA$5:$BM$60,L$2+1,FALSE),$I24*VLOOKUP($A24,$CD$6:$CP$60,L$2+1,FALSE))</f>
        <v>0</v>
      </c>
      <c r="M24" s="50">
        <f>IF(ISBLANK('User Interface (Start Here!)'!#REF!),$I24*VLOOKUP($A24,$BA$5:$BM$60,M$2+1,FALSE),$I24*VLOOKUP($A24,$CD$6:$CP$60,M$2+1,FALSE))</f>
        <v>0</v>
      </c>
      <c r="N24" s="50">
        <f>IF(ISBLANK('User Interface (Start Here!)'!#REF!),$I24*VLOOKUP($A24,$BA$5:$BM$60,N$2+1,FALSE),$I24*VLOOKUP($A24,$CD$6:$CP$60,N$2+1,FALSE))</f>
        <v>0</v>
      </c>
      <c r="O24" s="50">
        <f>IF(ISBLANK('User Interface (Start Here!)'!#REF!),$I24*VLOOKUP($A24,$BA$5:$BM$60,O$2+1,FALSE),$I24*VLOOKUP($A24,$CD$6:$CP$60,O$2+1,FALSE))</f>
        <v>0</v>
      </c>
      <c r="P24" s="50">
        <f>IF(ISBLANK('User Interface (Start Here!)'!#REF!),$I24*VLOOKUP($A24,$BA$5:$BM$60,P$2+1,FALSE),$I24*VLOOKUP($A24,$CD$6:$CP$60,P$2+1,FALSE))</f>
        <v>0</v>
      </c>
      <c r="Q24" s="50">
        <f>IF(ISBLANK('User Interface (Start Here!)'!#REF!),$I24*VLOOKUP($A24,$BA$5:$BM$60,Q$2+1,FALSE),$I24*VLOOKUP($A24,$CD$6:$CP$60,Q$2+1,FALSE))</f>
        <v>0</v>
      </c>
      <c r="R24" s="50">
        <f>IF(ISBLANK('User Interface (Start Here!)'!#REF!),$I24*VLOOKUP($A24,$BA$5:$BM$60,R$2+1,FALSE),$I24*VLOOKUP($A24,$CD$6:$CP$60,R$2+1,FALSE))</f>
        <v>0</v>
      </c>
      <c r="S24" s="50">
        <f>IF(ISBLANK('User Interface (Start Here!)'!#REF!),$I24*VLOOKUP($A24,$BA$5:$BM$60,S$2+1,FALSE),$I24*VLOOKUP($A24,$CD$6:$CP$60,S$2+1,FALSE))</f>
        <v>4.819080772647432E-3</v>
      </c>
      <c r="T24" s="50">
        <f>IF(ISBLANK('User Interface (Start Here!)'!#REF!),$I24*VLOOKUP($A24,$BA$5:$BM$60,T$2+1,FALSE),$I24*VLOOKUP($A24,$CD$6:$CP$60,T$2+1,FALSE))</f>
        <v>0</v>
      </c>
      <c r="U24" s="50">
        <f>IF(ISBLANK('User Interface (Start Here!)'!#REF!),$I24*VLOOKUP($A24,$BA$5:$BM$60,U$2+1,FALSE),$I24*VLOOKUP($A24,$CD$6:$CP$60,U$2+1,FALSE))</f>
        <v>0</v>
      </c>
      <c r="V24" s="50">
        <f>IF(ISBLANK('User Interface (Start Here!)'!#REF!),$I24*VLOOKUP($A24,$BA$5:$BM$60,V$2+1,FALSE),$I24*VLOOKUP($A24,$CD$6:$CP$60,V$2+1,FALSE))</f>
        <v>0</v>
      </c>
      <c r="W24" s="50">
        <f>IF(ISBLANK('User Interface (Start Here!)'!#REF!),$I24*VLOOKUP($A24,$BA$5:$BM$60,W$2+1,FALSE),$I24*VLOOKUP($A24,$CD$6:$CP$60,W$2+1,FALSE))</f>
        <v>0</v>
      </c>
      <c r="X24" s="51">
        <f>IF($J24&lt;&gt;1,L24,IF(VLOOKUP($A24,'User Interface (Start Here!)'!$B$18:$N$28,X$2+1,FALSE)&lt;&gt;100%,L24-VLOOKUP($A24,'User Interface (Start Here!)'!$B$18:$N$28,X$2+1,FALSE)/'User Interface (Start Here!)'!$L$35*$K24*L24,L24-VLOOKUP($A24,'User Interface (Start Here!)'!$B$18:$N$28,X$2+1,FALSE)*$K24*L24))</f>
        <v>0</v>
      </c>
      <c r="Y24" s="52">
        <f>IF($J24&lt;&gt;1,M24,IF(VLOOKUP($A24,'User Interface (Start Here!)'!$B$18:$N$28,Y$2+1,FALSE)&lt;&gt;100%,M24-VLOOKUP($A24,'User Interface (Start Here!)'!$B$18:$N$28,Y$2+1,FALSE)/'User Interface (Start Here!)'!$L$35*$K24*M24,M24-VLOOKUP($A24,'User Interface (Start Here!)'!$B$18:$N$28,Y$2+1,FALSE)*$K24*M24))</f>
        <v>0</v>
      </c>
      <c r="Z24" s="52">
        <f>IF($J24&lt;&gt;1,N24,IF(VLOOKUP($A24,'User Interface (Start Here!)'!$B$18:$N$28,Z$2+1,FALSE)&lt;&gt;100%,N24-VLOOKUP($A24,'User Interface (Start Here!)'!$B$18:$N$28,Z$2+1,FALSE)/'User Interface (Start Here!)'!$L$35*$K24*N24,N24-VLOOKUP($A24,'User Interface (Start Here!)'!$B$18:$N$28,Z$2+1,FALSE)*$K24*N24))</f>
        <v>0</v>
      </c>
      <c r="AA24" s="52">
        <f>IF($J24&lt;&gt;1,O24,IF(VLOOKUP($A24,'User Interface (Start Here!)'!$B$18:$N$28,AA$2+1,FALSE)&lt;&gt;100%,O24-VLOOKUP($A24,'User Interface (Start Here!)'!$B$18:$N$28,AA$2+1,FALSE)/'User Interface (Start Here!)'!$L$35*$K24*O24,O24-VLOOKUP($A24,'User Interface (Start Here!)'!$B$18:$N$28,AA$2+1,FALSE)*$K24*O24))</f>
        <v>0</v>
      </c>
      <c r="AB24" s="52">
        <f>IF($J24&lt;&gt;1,P24,IF(VLOOKUP($A24,'User Interface (Start Here!)'!$B$18:$N$28,AB$2+1,FALSE)&lt;&gt;100%,P24-VLOOKUP($A24,'User Interface (Start Here!)'!$B$18:$N$28,AB$2+1,FALSE)/'User Interface (Start Here!)'!$L$35*$K24*P24,P24-VLOOKUP($A24,'User Interface (Start Here!)'!$B$18:$N$28,AB$2+1,FALSE)*$K24*P24))</f>
        <v>0</v>
      </c>
      <c r="AC24" s="52">
        <f>IF($J24&lt;&gt;1,Q24,IF(VLOOKUP($A24,'User Interface (Start Here!)'!$B$18:$N$28,AC$2+1,FALSE)&lt;&gt;100%,Q24-VLOOKUP($A24,'User Interface (Start Here!)'!$B$18:$N$28,AC$2+1,FALSE)/'User Interface (Start Here!)'!$L$35*$K24*Q24,Q24-VLOOKUP($A24,'User Interface (Start Here!)'!$B$18:$N$28,AC$2+1,FALSE)*$K24*Q24))</f>
        <v>0</v>
      </c>
      <c r="AD24" s="52">
        <f>IF($J24&lt;&gt;1,R24,IF(VLOOKUP($A24,'User Interface (Start Here!)'!$B$18:$N$28,AD$2+1,FALSE)&lt;&gt;100%,R24-VLOOKUP($A24,'User Interface (Start Here!)'!$B$18:$N$28,AD$2+1,FALSE)/'User Interface (Start Here!)'!$L$35*$K24*R24,R24-VLOOKUP($A24,'User Interface (Start Here!)'!$B$18:$N$28,AD$2+1,FALSE)*$K24*R24))</f>
        <v>0</v>
      </c>
      <c r="AE24" s="52">
        <f>IF($J24&lt;&gt;1,S24,IF(VLOOKUP($A24,'User Interface (Start Here!)'!$B$18:$N$28,AE$2+1,FALSE)&lt;&gt;100%,S24-VLOOKUP($A24,'User Interface (Start Here!)'!$B$18:$N$28,AE$2+1,FALSE)/'User Interface (Start Here!)'!$L$35*$K24*S24,S24-VLOOKUP($A24,'User Interface (Start Here!)'!$B$18:$N$28,AE$2+1,FALSE)*$K24*S24))</f>
        <v>4.819080772647432E-3</v>
      </c>
      <c r="AF24" s="52">
        <f>IF($J24&lt;&gt;1,T24,IF(VLOOKUP($A24,'User Interface (Start Here!)'!$B$18:$N$28,AF$2+1,FALSE)&lt;&gt;100%,T24-VLOOKUP($A24,'User Interface (Start Here!)'!$B$18:$N$28,AF$2+1,FALSE)/'User Interface (Start Here!)'!$L$35*$K24*T24,T24-VLOOKUP($A24,'User Interface (Start Here!)'!$B$18:$N$28,AF$2+1,FALSE)*$K24*T24))</f>
        <v>0</v>
      </c>
      <c r="AG24" s="52">
        <f>IF($J24&lt;&gt;1,U24,IF(VLOOKUP($A24,'User Interface (Start Here!)'!$B$18:$N$28,AG$2+1,FALSE)&lt;&gt;100%,U24-VLOOKUP($A24,'User Interface (Start Here!)'!$B$18:$N$28,AG$2+1,FALSE)/'User Interface (Start Here!)'!$L$35*$K24*U24,U24-VLOOKUP($A24,'User Interface (Start Here!)'!$B$18:$N$28,AG$2+1,FALSE)*$K24*U24))</f>
        <v>0</v>
      </c>
      <c r="AH24" s="52">
        <f>IF($J24&lt;&gt;1,V24,IF(VLOOKUP($A24,'User Interface (Start Here!)'!$B$18:$N$28,AH$2+1,FALSE)&lt;&gt;100%,V24-VLOOKUP($A24,'User Interface (Start Here!)'!$B$18:$N$28,AH$2+1,FALSE)/'User Interface (Start Here!)'!$L$35*$K24*V24,V24-VLOOKUP($A24,'User Interface (Start Here!)'!$B$18:$N$28,AH$2+1,FALSE)*$K24*V24))</f>
        <v>0</v>
      </c>
      <c r="AI24" s="52">
        <f>IF($J24&lt;&gt;1,W24,IF(VLOOKUP($A24,'User Interface (Start Here!)'!$B$18:$N$28,AI$2+1,FALSE)&lt;&gt;100%,W24-VLOOKUP($A24,'User Interface (Start Here!)'!$B$18:$N$28,AI$2+1,FALSE)/'User Interface (Start Here!)'!$L$35*$K24*W24,W24-VLOOKUP($A24,'User Interface (Start Here!)'!$B$18:$N$28,AI$2+1,FALSE)*$K24*W24))</f>
        <v>0</v>
      </c>
      <c r="AJ24" s="42">
        <f t="shared" si="0"/>
        <v>4.819080772647432E-3</v>
      </c>
      <c r="AL24" s="1">
        <v>2981</v>
      </c>
      <c r="AM24" s="1">
        <v>1.4429999977350234E-2</v>
      </c>
      <c r="AP24" s="1">
        <v>0.57941999912261966</v>
      </c>
      <c r="AQ24" s="1">
        <v>4.8839999884366991E-2</v>
      </c>
      <c r="AR24" s="1">
        <v>0.18203999996185302</v>
      </c>
      <c r="AS24" s="1">
        <v>3.2189999938011173E-2</v>
      </c>
      <c r="AT24" s="1">
        <v>3.9959999978542327E-2</v>
      </c>
      <c r="AU24" s="1">
        <v>0.11210999989509582</v>
      </c>
      <c r="AW24" s="1">
        <v>0</v>
      </c>
      <c r="AY24" s="1">
        <v>1.0089899987578392</v>
      </c>
      <c r="BA24" s="1">
        <v>2981</v>
      </c>
      <c r="BB24" s="31">
        <f t="shared" si="13"/>
        <v>1.4301430138172738E-2</v>
      </c>
      <c r="BC24" s="31">
        <f t="shared" si="15"/>
        <v>0</v>
      </c>
      <c r="BD24" s="31">
        <f t="shared" si="16"/>
        <v>0</v>
      </c>
      <c r="BE24" s="31">
        <f t="shared" si="17"/>
        <v>0.57425742557997572</v>
      </c>
      <c r="BF24" s="31">
        <f t="shared" si="18"/>
        <v>4.8404840429036547E-2</v>
      </c>
      <c r="BG24" s="31">
        <f t="shared" si="19"/>
        <v>0.18041804198848477</v>
      </c>
      <c r="BH24" s="31">
        <f t="shared" si="20"/>
        <v>3.1903190296871192E-2</v>
      </c>
      <c r="BI24" s="31">
        <f t="shared" si="21"/>
        <v>3.9603960423529282E-2</v>
      </c>
      <c r="BJ24" s="31">
        <f t="shared" si="22"/>
        <v>0.11111111114392976</v>
      </c>
      <c r="BK24" s="31">
        <f t="shared" si="23"/>
        <v>0</v>
      </c>
      <c r="BL24" s="31">
        <f t="shared" si="24"/>
        <v>0</v>
      </c>
      <c r="BM24" s="31">
        <f t="shared" si="25"/>
        <v>0</v>
      </c>
      <c r="BO24" s="1">
        <v>2981</v>
      </c>
      <c r="BP24" s="1">
        <v>0</v>
      </c>
      <c r="BS24" s="1">
        <v>0</v>
      </c>
      <c r="BT24" s="1">
        <v>3.8849999904632566E-2</v>
      </c>
      <c r="BU24" s="1">
        <v>0</v>
      </c>
      <c r="BV24" s="1">
        <v>0</v>
      </c>
      <c r="BW24" s="1">
        <v>0</v>
      </c>
      <c r="BX24" s="1">
        <v>6.9929999947547922E-2</v>
      </c>
      <c r="BZ24" s="1">
        <v>0</v>
      </c>
      <c r="CB24" s="1">
        <v>0.10877999985218048</v>
      </c>
      <c r="CD24" s="1">
        <v>2981</v>
      </c>
      <c r="CE24" s="31">
        <f t="shared" si="14"/>
        <v>0</v>
      </c>
      <c r="CF24" s="31">
        <f t="shared" si="2"/>
        <v>0</v>
      </c>
      <c r="CG24" s="31">
        <f t="shared" si="3"/>
        <v>0</v>
      </c>
      <c r="CH24" s="31">
        <f t="shared" si="4"/>
        <v>0</v>
      </c>
      <c r="CI24" s="31">
        <f t="shared" si="5"/>
        <v>0.35714285675147317</v>
      </c>
      <c r="CJ24" s="31">
        <f t="shared" si="6"/>
        <v>0</v>
      </c>
      <c r="CK24" s="31">
        <f t="shared" si="7"/>
        <v>0</v>
      </c>
      <c r="CL24" s="31">
        <f t="shared" si="8"/>
        <v>0</v>
      </c>
      <c r="CM24" s="31">
        <f t="shared" si="9"/>
        <v>0.64285714324852694</v>
      </c>
      <c r="CN24" s="31">
        <f t="shared" si="10"/>
        <v>0</v>
      </c>
      <c r="CO24" s="31">
        <f t="shared" si="11"/>
        <v>0</v>
      </c>
      <c r="CP24" s="31">
        <f t="shared" si="12"/>
        <v>0</v>
      </c>
    </row>
    <row r="25" spans="1:94">
      <c r="A25" s="28">
        <v>3176</v>
      </c>
      <c r="B25" s="29">
        <v>0</v>
      </c>
      <c r="C25" s="29">
        <v>0</v>
      </c>
      <c r="D25" s="22">
        <v>0</v>
      </c>
      <c r="E25" s="22">
        <v>0</v>
      </c>
      <c r="G25" s="29">
        <f>IF(ISBLANK('User Interface (Start Here!)'!$L$4),commercial!B25,commercial!C25)</f>
        <v>0</v>
      </c>
      <c r="H25" s="22">
        <f>IF(ISBLANK('User Interface (Start Here!)'!$L$4),commercial!D25,commercial!E25)</f>
        <v>0</v>
      </c>
      <c r="I25" s="40">
        <f>(G25+H25)*'User Interface (Start Here!)'!$L$10</f>
        <v>0</v>
      </c>
      <c r="J25" s="2">
        <f>IF(VLOOKUP(A25,'User Interface (Start Here!)'!$DO$2:$DP$73,2,FALSE)&lt;&gt;0,1,0)</f>
        <v>0</v>
      </c>
      <c r="K25" s="41">
        <f>IF(AND(J25=1,ISBLANK('User Interface (Start Here!)'!$L$14),ISBLANK('User Interface (Start Here!)'!$M$14),ISBLANK('User Interface (Start Here!)'!$N$14)),100%*'User Interface (Start Here!)'!$L$30,IF(J25=1,VLOOKUP(A25,'Bathymetric Closures'!$A$2:$C$57,3,FALSE)*'User Interface (Start Here!)'!$L$30,0%))</f>
        <v>0</v>
      </c>
      <c r="L25" s="50">
        <f>IF(ISBLANK('User Interface (Start Here!)'!#REF!),$I25*VLOOKUP($A25,$BA$5:$BM$60,L$2+1,FALSE),$I25*VLOOKUP($A25,$CD$6:$CP$60,L$2+1,FALSE))</f>
        <v>0</v>
      </c>
      <c r="M25" s="50">
        <f>IF(ISBLANK('User Interface (Start Here!)'!#REF!),$I25*VLOOKUP($A25,$BA$5:$BM$60,M$2+1,FALSE),$I25*VLOOKUP($A25,$CD$6:$CP$60,M$2+1,FALSE))</f>
        <v>0</v>
      </c>
      <c r="N25" s="50">
        <f>IF(ISBLANK('User Interface (Start Here!)'!#REF!),$I25*VLOOKUP($A25,$BA$5:$BM$60,N$2+1,FALSE),$I25*VLOOKUP($A25,$CD$6:$CP$60,N$2+1,FALSE))</f>
        <v>0</v>
      </c>
      <c r="O25" s="50">
        <f>IF(ISBLANK('User Interface (Start Here!)'!#REF!),$I25*VLOOKUP($A25,$BA$5:$BM$60,O$2+1,FALSE),$I25*VLOOKUP($A25,$CD$6:$CP$60,O$2+1,FALSE))</f>
        <v>0</v>
      </c>
      <c r="P25" s="50">
        <f>IF(ISBLANK('User Interface (Start Here!)'!#REF!),$I25*VLOOKUP($A25,$BA$5:$BM$60,P$2+1,FALSE),$I25*VLOOKUP($A25,$CD$6:$CP$60,P$2+1,FALSE))</f>
        <v>0</v>
      </c>
      <c r="Q25" s="50">
        <f>IF(ISBLANK('User Interface (Start Here!)'!#REF!),$I25*VLOOKUP($A25,$BA$5:$BM$60,Q$2+1,FALSE),$I25*VLOOKUP($A25,$CD$6:$CP$60,Q$2+1,FALSE))</f>
        <v>0</v>
      </c>
      <c r="R25" s="50">
        <f>IF(ISBLANK('User Interface (Start Here!)'!#REF!),$I25*VLOOKUP($A25,$BA$5:$BM$60,R$2+1,FALSE),$I25*VLOOKUP($A25,$CD$6:$CP$60,R$2+1,FALSE))</f>
        <v>0</v>
      </c>
      <c r="S25" s="50">
        <f>IF(ISBLANK('User Interface (Start Here!)'!#REF!),$I25*VLOOKUP($A25,$BA$5:$BM$60,S$2+1,FALSE),$I25*VLOOKUP($A25,$CD$6:$CP$60,S$2+1,FALSE))</f>
        <v>0</v>
      </c>
      <c r="T25" s="50">
        <f>IF(ISBLANK('User Interface (Start Here!)'!#REF!),$I25*VLOOKUP($A25,$BA$5:$BM$60,T$2+1,FALSE),$I25*VLOOKUP($A25,$CD$6:$CP$60,T$2+1,FALSE))</f>
        <v>0</v>
      </c>
      <c r="U25" s="50">
        <f>IF(ISBLANK('User Interface (Start Here!)'!#REF!),$I25*VLOOKUP($A25,$BA$5:$BM$60,U$2+1,FALSE),$I25*VLOOKUP($A25,$CD$6:$CP$60,U$2+1,FALSE))</f>
        <v>0</v>
      </c>
      <c r="V25" s="50">
        <f>IF(ISBLANK('User Interface (Start Here!)'!#REF!),$I25*VLOOKUP($A25,$BA$5:$BM$60,V$2+1,FALSE),$I25*VLOOKUP($A25,$CD$6:$CP$60,V$2+1,FALSE))</f>
        <v>0</v>
      </c>
      <c r="W25" s="50">
        <f>IF(ISBLANK('User Interface (Start Here!)'!#REF!),$I25*VLOOKUP($A25,$BA$5:$BM$60,W$2+1,FALSE),$I25*VLOOKUP($A25,$CD$6:$CP$60,W$2+1,FALSE))</f>
        <v>0</v>
      </c>
      <c r="X25" s="51">
        <f>IF($J25&lt;&gt;1,L25,IF(VLOOKUP($A25,'User Interface (Start Here!)'!$B$18:$N$28,X$2+1,FALSE)&lt;&gt;100%,L25-VLOOKUP($A25,'User Interface (Start Here!)'!$B$18:$N$28,X$2+1,FALSE)/'User Interface (Start Here!)'!$L$35*$K25*L25,L25-VLOOKUP($A25,'User Interface (Start Here!)'!$B$18:$N$28,X$2+1,FALSE)*$K25*L25))</f>
        <v>0</v>
      </c>
      <c r="Y25" s="52">
        <f>IF($J25&lt;&gt;1,M25,IF(VLOOKUP($A25,'User Interface (Start Here!)'!$B$18:$N$28,Y$2+1,FALSE)&lt;&gt;100%,M25-VLOOKUP($A25,'User Interface (Start Here!)'!$B$18:$N$28,Y$2+1,FALSE)/'User Interface (Start Here!)'!$L$35*$K25*M25,M25-VLOOKUP($A25,'User Interface (Start Here!)'!$B$18:$N$28,Y$2+1,FALSE)*$K25*M25))</f>
        <v>0</v>
      </c>
      <c r="Z25" s="52">
        <f>IF($J25&lt;&gt;1,N25,IF(VLOOKUP($A25,'User Interface (Start Here!)'!$B$18:$N$28,Z$2+1,FALSE)&lt;&gt;100%,N25-VLOOKUP($A25,'User Interface (Start Here!)'!$B$18:$N$28,Z$2+1,FALSE)/'User Interface (Start Here!)'!$L$35*$K25*N25,N25-VLOOKUP($A25,'User Interface (Start Here!)'!$B$18:$N$28,Z$2+1,FALSE)*$K25*N25))</f>
        <v>0</v>
      </c>
      <c r="AA25" s="52">
        <f>IF($J25&lt;&gt;1,O25,IF(VLOOKUP($A25,'User Interface (Start Here!)'!$B$18:$N$28,AA$2+1,FALSE)&lt;&gt;100%,O25-VLOOKUP($A25,'User Interface (Start Here!)'!$B$18:$N$28,AA$2+1,FALSE)/'User Interface (Start Here!)'!$L$35*$K25*O25,O25-VLOOKUP($A25,'User Interface (Start Here!)'!$B$18:$N$28,AA$2+1,FALSE)*$K25*O25))</f>
        <v>0</v>
      </c>
      <c r="AB25" s="52">
        <f>IF($J25&lt;&gt;1,P25,IF(VLOOKUP($A25,'User Interface (Start Here!)'!$B$18:$N$28,AB$2+1,FALSE)&lt;&gt;100%,P25-VLOOKUP($A25,'User Interface (Start Here!)'!$B$18:$N$28,AB$2+1,FALSE)/'User Interface (Start Here!)'!$L$35*$K25*P25,P25-VLOOKUP($A25,'User Interface (Start Here!)'!$B$18:$N$28,AB$2+1,FALSE)*$K25*P25))</f>
        <v>0</v>
      </c>
      <c r="AC25" s="52">
        <f>IF($J25&lt;&gt;1,Q25,IF(VLOOKUP($A25,'User Interface (Start Here!)'!$B$18:$N$28,AC$2+1,FALSE)&lt;&gt;100%,Q25-VLOOKUP($A25,'User Interface (Start Here!)'!$B$18:$N$28,AC$2+1,FALSE)/'User Interface (Start Here!)'!$L$35*$K25*Q25,Q25-VLOOKUP($A25,'User Interface (Start Here!)'!$B$18:$N$28,AC$2+1,FALSE)*$K25*Q25))</f>
        <v>0</v>
      </c>
      <c r="AD25" s="52">
        <f>IF($J25&lt;&gt;1,R25,IF(VLOOKUP($A25,'User Interface (Start Here!)'!$B$18:$N$28,AD$2+1,FALSE)&lt;&gt;100%,R25-VLOOKUP($A25,'User Interface (Start Here!)'!$B$18:$N$28,AD$2+1,FALSE)/'User Interface (Start Here!)'!$L$35*$K25*R25,R25-VLOOKUP($A25,'User Interface (Start Here!)'!$B$18:$N$28,AD$2+1,FALSE)*$K25*R25))</f>
        <v>0</v>
      </c>
      <c r="AE25" s="52">
        <f>IF($J25&lt;&gt;1,S25,IF(VLOOKUP($A25,'User Interface (Start Here!)'!$B$18:$N$28,AE$2+1,FALSE)&lt;&gt;100%,S25-VLOOKUP($A25,'User Interface (Start Here!)'!$B$18:$N$28,AE$2+1,FALSE)/'User Interface (Start Here!)'!$L$35*$K25*S25,S25-VLOOKUP($A25,'User Interface (Start Here!)'!$B$18:$N$28,AE$2+1,FALSE)*$K25*S25))</f>
        <v>0</v>
      </c>
      <c r="AF25" s="52">
        <f>IF($J25&lt;&gt;1,T25,IF(VLOOKUP($A25,'User Interface (Start Here!)'!$B$18:$N$28,AF$2+1,FALSE)&lt;&gt;100%,T25-VLOOKUP($A25,'User Interface (Start Here!)'!$B$18:$N$28,AF$2+1,FALSE)/'User Interface (Start Here!)'!$L$35*$K25*T25,T25-VLOOKUP($A25,'User Interface (Start Here!)'!$B$18:$N$28,AF$2+1,FALSE)*$K25*T25))</f>
        <v>0</v>
      </c>
      <c r="AG25" s="52">
        <f>IF($J25&lt;&gt;1,U25,IF(VLOOKUP($A25,'User Interface (Start Here!)'!$B$18:$N$28,AG$2+1,FALSE)&lt;&gt;100%,U25-VLOOKUP($A25,'User Interface (Start Here!)'!$B$18:$N$28,AG$2+1,FALSE)/'User Interface (Start Here!)'!$L$35*$K25*U25,U25-VLOOKUP($A25,'User Interface (Start Here!)'!$B$18:$N$28,AG$2+1,FALSE)*$K25*U25))</f>
        <v>0</v>
      </c>
      <c r="AH25" s="52">
        <f>IF($J25&lt;&gt;1,V25,IF(VLOOKUP($A25,'User Interface (Start Here!)'!$B$18:$N$28,AH$2+1,FALSE)&lt;&gt;100%,V25-VLOOKUP($A25,'User Interface (Start Here!)'!$B$18:$N$28,AH$2+1,FALSE)/'User Interface (Start Here!)'!$L$35*$K25*V25,V25-VLOOKUP($A25,'User Interface (Start Here!)'!$B$18:$N$28,AH$2+1,FALSE)*$K25*V25))</f>
        <v>0</v>
      </c>
      <c r="AI25" s="52">
        <f>IF($J25&lt;&gt;1,W25,IF(VLOOKUP($A25,'User Interface (Start Here!)'!$B$18:$N$28,AI$2+1,FALSE)&lt;&gt;100%,W25-VLOOKUP($A25,'User Interface (Start Here!)'!$B$18:$N$28,AI$2+1,FALSE)/'User Interface (Start Here!)'!$L$35*$K25*W25,W25-VLOOKUP($A25,'User Interface (Start Here!)'!$B$18:$N$28,AI$2+1,FALSE)*$K25*W25))</f>
        <v>0</v>
      </c>
      <c r="AJ25" s="42">
        <f t="shared" si="0"/>
        <v>0</v>
      </c>
      <c r="AL25" s="1">
        <v>3079</v>
      </c>
      <c r="AM25" s="1">
        <v>0.37961999940872193</v>
      </c>
      <c r="AN25" s="1">
        <v>1.6649999976158143E-2</v>
      </c>
      <c r="AP25" s="1">
        <v>0.11765999984741211</v>
      </c>
      <c r="AQ25" s="1">
        <v>7.6589999914169316E-2</v>
      </c>
      <c r="AS25" s="1">
        <v>3.7739999890327454E-2</v>
      </c>
      <c r="AT25" s="1">
        <v>2.8859999954700469E-2</v>
      </c>
      <c r="AU25" s="1">
        <v>7.7699999958276752E-3</v>
      </c>
      <c r="AV25" s="1">
        <v>8.3249999880790709E-2</v>
      </c>
      <c r="AY25" s="1">
        <v>0.748139998868108</v>
      </c>
      <c r="BA25" s="1">
        <v>3079</v>
      </c>
      <c r="BB25" s="31">
        <f t="shared" si="13"/>
        <v>0.50741839760347629</v>
      </c>
      <c r="BC25" s="31">
        <f t="shared" si="15"/>
        <v>2.2255192880140905E-2</v>
      </c>
      <c r="BD25" s="31">
        <f t="shared" si="16"/>
        <v>0</v>
      </c>
      <c r="BE25" s="31">
        <f t="shared" si="17"/>
        <v>0.15727002970757453</v>
      </c>
      <c r="BF25" s="31">
        <f t="shared" si="18"/>
        <v>0.10237388728051634</v>
      </c>
      <c r="BG25" s="31">
        <f t="shared" si="19"/>
        <v>0</v>
      </c>
      <c r="BH25" s="31">
        <f t="shared" si="20"/>
        <v>5.0445103787293638E-2</v>
      </c>
      <c r="BI25" s="31">
        <f t="shared" si="21"/>
        <v>3.8575667653599537E-2</v>
      </c>
      <c r="BJ25" s="31">
        <f t="shared" si="22"/>
        <v>1.0385756686693974E-2</v>
      </c>
      <c r="BK25" s="31">
        <f t="shared" si="23"/>
        <v>0.11127596440070453</v>
      </c>
      <c r="BL25" s="31">
        <f t="shared" si="24"/>
        <v>0</v>
      </c>
      <c r="BM25" s="31">
        <f t="shared" si="25"/>
        <v>0</v>
      </c>
      <c r="BO25" s="1">
        <v>3079</v>
      </c>
      <c r="BP25" s="1">
        <v>0.34631999945640562</v>
      </c>
      <c r="BQ25" s="1">
        <v>0</v>
      </c>
      <c r="BS25" s="1">
        <v>0.11765999984741211</v>
      </c>
      <c r="BT25" s="1">
        <v>7.6589999914169316E-2</v>
      </c>
      <c r="BV25" s="1">
        <v>3.7739999890327454E-2</v>
      </c>
      <c r="BW25" s="1">
        <v>2.8859999954700469E-2</v>
      </c>
      <c r="BX25" s="1">
        <v>7.7699999958276752E-3</v>
      </c>
      <c r="BY25" s="1">
        <v>4.9949999928474424E-2</v>
      </c>
      <c r="CB25" s="1">
        <v>0.66488999898731715</v>
      </c>
      <c r="CD25" s="1">
        <v>3079</v>
      </c>
      <c r="CE25" s="31">
        <f t="shared" si="14"/>
        <v>0.52086811349829265</v>
      </c>
      <c r="CF25" s="31">
        <f t="shared" si="2"/>
        <v>0</v>
      </c>
      <c r="CG25" s="31">
        <f t="shared" si="3"/>
        <v>0</v>
      </c>
      <c r="CH25" s="31">
        <f t="shared" si="4"/>
        <v>0.17696160271115235</v>
      </c>
      <c r="CI25" s="31">
        <f t="shared" si="5"/>
        <v>0.11519198669076429</v>
      </c>
      <c r="CJ25" s="31">
        <f t="shared" si="6"/>
        <v>0</v>
      </c>
      <c r="CK25" s="31">
        <f t="shared" si="7"/>
        <v>5.67612687028059E-2</v>
      </c>
      <c r="CL25" s="31">
        <f t="shared" si="8"/>
        <v>4.3405676124857726E-2</v>
      </c>
      <c r="CM25" s="31">
        <f t="shared" si="9"/>
        <v>1.1686143584144795E-2</v>
      </c>
      <c r="CN25" s="31">
        <f t="shared" si="10"/>
        <v>7.5125208687982128E-2</v>
      </c>
      <c r="CO25" s="31">
        <f t="shared" si="11"/>
        <v>0</v>
      </c>
      <c r="CP25" s="31">
        <f t="shared" si="12"/>
        <v>0</v>
      </c>
    </row>
    <row r="26" spans="1:94">
      <c r="A26" s="28">
        <v>3177</v>
      </c>
      <c r="B26" s="29">
        <v>0.8167210783554536</v>
      </c>
      <c r="C26" s="29">
        <v>0.8055264109326431</v>
      </c>
      <c r="D26" s="22">
        <v>0.19417490261770459</v>
      </c>
      <c r="E26" s="22">
        <v>0.19151337775411367</v>
      </c>
      <c r="G26" s="29">
        <f>IF(ISBLANK('User Interface (Start Here!)'!$L$4),commercial!B26,commercial!C26)</f>
        <v>0.8055264109326431</v>
      </c>
      <c r="H26" s="22">
        <f>IF(ISBLANK('User Interface (Start Here!)'!$L$4),commercial!D26,commercial!E26)</f>
        <v>0.19151337775411367</v>
      </c>
      <c r="I26" s="40">
        <f>(G26+H26)*'User Interface (Start Here!)'!$L$10</f>
        <v>0.89733580981808114</v>
      </c>
      <c r="J26" s="2">
        <f>IF(VLOOKUP(A26,'User Interface (Start Here!)'!$DO$2:$DP$73,2,FALSE)&lt;&gt;0,1,0)</f>
        <v>0</v>
      </c>
      <c r="K26" s="41">
        <f>IF(AND(J26=1,ISBLANK('User Interface (Start Here!)'!$L$14),ISBLANK('User Interface (Start Here!)'!$M$14),ISBLANK('User Interface (Start Here!)'!$N$14)),100%*'User Interface (Start Here!)'!$L$30,IF(J26=1,VLOOKUP(A26,'Bathymetric Closures'!$A$2:$C$57,3,FALSE)*'User Interface (Start Here!)'!$L$30,0%))</f>
        <v>0</v>
      </c>
      <c r="L26" s="50">
        <f>IF(ISBLANK('User Interface (Start Here!)'!$L21),$I26*VLOOKUP($A26,$BA$5:$BM$60,L$2+1,FALSE),$I26*VLOOKUP($A26,$CD$6:$CP$60,L$2+1,FALSE))</f>
        <v>0.25561824081609619</v>
      </c>
      <c r="M26" s="50">
        <f>IF(ISBLANK('User Interface (Start Here!)'!$L21),$I26*VLOOKUP($A26,$BA$5:$BM$60,M$2+1,FALSE),$I26*VLOOKUP($A26,$CD$6:$CP$60,M$2+1,FALSE))</f>
        <v>0</v>
      </c>
      <c r="N26" s="50">
        <f>IF(ISBLANK('User Interface (Start Here!)'!$L21),$I26*VLOOKUP($A26,$BA$5:$BM$60,N$2+1,FALSE),$I26*VLOOKUP($A26,$CD$6:$CP$60,N$2+1,FALSE))</f>
        <v>5.5220665257283433E-2</v>
      </c>
      <c r="O26" s="50">
        <f>IF(ISBLANK('User Interface (Start Here!)'!$L21),$I26*VLOOKUP($A26,$BA$5:$BM$60,O$2+1,FALSE),$I26*VLOOKUP($A26,$CD$6:$CP$60,O$2+1,FALSE))</f>
        <v>5.7447304835460289E-2</v>
      </c>
      <c r="P26" s="50">
        <f>IF(ISBLANK('User Interface (Start Here!)'!$L21),$I26*VLOOKUP($A26,$BA$5:$BM$60,P$2+1,FALSE),$I26*VLOOKUP($A26,$CD$6:$CP$60,P$2+1,FALSE))</f>
        <v>0.2369144669485338</v>
      </c>
      <c r="Q26" s="50">
        <f>IF(ISBLANK('User Interface (Start Here!)'!$L21),$I26*VLOOKUP($A26,$BA$5:$BM$60,Q$2+1,FALSE),$I26*VLOOKUP($A26,$CD$6:$CP$60,Q$2+1,FALSE))</f>
        <v>0.21910134889430724</v>
      </c>
      <c r="R26" s="50">
        <f>IF(ISBLANK('User Interface (Start Here!)'!$L21),$I26*VLOOKUP($A26,$BA$5:$BM$60,R$2+1,FALSE),$I26*VLOOKUP($A26,$CD$6:$CP$60,R$2+1,FALSE))</f>
        <v>2.8500988489803914E-2</v>
      </c>
      <c r="S26" s="50">
        <f>IF(ISBLANK('User Interface (Start Here!)'!$L21),$I26*VLOOKUP($A26,$BA$5:$BM$60,S$2+1,FALSE),$I26*VLOOKUP($A26,$CD$6:$CP$60,S$2+1,FALSE))</f>
        <v>4.4532794576596105E-2</v>
      </c>
      <c r="T26" s="50">
        <f>IF(ISBLANK('User Interface (Start Here!)'!$L21),$I26*VLOOKUP($A26,$BA$5:$BM$60,T$2+1,FALSE),$I26*VLOOKUP($A26,$CD$6:$CP$60,T$2+1,FALSE))</f>
        <v>0</v>
      </c>
      <c r="U26" s="50">
        <f>IF(ISBLANK('User Interface (Start Here!)'!$L21),$I26*VLOOKUP($A26,$BA$5:$BM$60,U$2+1,FALSE),$I26*VLOOKUP($A26,$CD$6:$CP$60,U$2+1,FALSE))</f>
        <v>0</v>
      </c>
      <c r="V26" s="50">
        <f>IF(ISBLANK('User Interface (Start Here!)'!$L21),$I26*VLOOKUP($A26,$BA$5:$BM$60,V$2+1,FALSE),$I26*VLOOKUP($A26,$CD$6:$CP$60,V$2+1,FALSE))</f>
        <v>0</v>
      </c>
      <c r="W26" s="50">
        <f>IF(ISBLANK('User Interface (Start Here!)'!$L21),$I26*VLOOKUP($A26,$BA$5:$BM$60,W$2+1,FALSE),$I26*VLOOKUP($A26,$CD$6:$CP$60,W$2+1,FALSE))</f>
        <v>0</v>
      </c>
      <c r="X26" s="51">
        <f>IF($J26&lt;&gt;1,L26,IF(VLOOKUP($A26,'User Interface (Start Here!)'!$B$18:$N$28,X$2+1,FALSE)&lt;&gt;100%,L26-VLOOKUP($A26,'User Interface (Start Here!)'!$B$18:$N$28,X$2+1,FALSE)/'User Interface (Start Here!)'!$L$35*$K26*L26,L26-VLOOKUP($A26,'User Interface (Start Here!)'!$B$18:$N$28,X$2+1,FALSE)*$K26*L26))</f>
        <v>0.25561824081609619</v>
      </c>
      <c r="Y26" s="52">
        <f>IF($J26&lt;&gt;1,M26,IF(VLOOKUP($A26,'User Interface (Start Here!)'!$B$18:$N$28,Y$2+1,FALSE)&lt;&gt;100%,M26-VLOOKUP($A26,'User Interface (Start Here!)'!$B$18:$N$28,Y$2+1,FALSE)/'User Interface (Start Here!)'!$L$35*$K26*M26,M26-VLOOKUP($A26,'User Interface (Start Here!)'!$B$18:$N$28,Y$2+1,FALSE)*$K26*M26))</f>
        <v>0</v>
      </c>
      <c r="Z26" s="52">
        <f>IF($J26&lt;&gt;1,N26,IF(VLOOKUP($A26,'User Interface (Start Here!)'!$B$18:$N$28,Z$2+1,FALSE)&lt;&gt;100%,N26-VLOOKUP($A26,'User Interface (Start Here!)'!$B$18:$N$28,Z$2+1,FALSE)/'User Interface (Start Here!)'!$L$35*$K26*N26,N26-VLOOKUP($A26,'User Interface (Start Here!)'!$B$18:$N$28,Z$2+1,FALSE)*$K26*N26))</f>
        <v>5.5220665257283433E-2</v>
      </c>
      <c r="AA26" s="52">
        <f>IF($J26&lt;&gt;1,O26,IF(VLOOKUP($A26,'User Interface (Start Here!)'!$B$18:$N$28,AA$2+1,FALSE)&lt;&gt;100%,O26-VLOOKUP($A26,'User Interface (Start Here!)'!$B$18:$N$28,AA$2+1,FALSE)/'User Interface (Start Here!)'!$L$35*$K26*O26,O26-VLOOKUP($A26,'User Interface (Start Here!)'!$B$18:$N$28,AA$2+1,FALSE)*$K26*O26))</f>
        <v>5.7447304835460289E-2</v>
      </c>
      <c r="AB26" s="52">
        <f>IF($J26&lt;&gt;1,P26,IF(VLOOKUP($A26,'User Interface (Start Here!)'!$B$18:$N$28,AB$2+1,FALSE)&lt;&gt;100%,P26-VLOOKUP($A26,'User Interface (Start Here!)'!$B$18:$N$28,AB$2+1,FALSE)/'User Interface (Start Here!)'!$L$35*$K26*P26,P26-VLOOKUP($A26,'User Interface (Start Here!)'!$B$18:$N$28,AB$2+1,FALSE)*$K26*P26))</f>
        <v>0.2369144669485338</v>
      </c>
      <c r="AC26" s="52">
        <f>IF($J26&lt;&gt;1,Q26,IF(VLOOKUP($A26,'User Interface (Start Here!)'!$B$18:$N$28,AC$2+1,FALSE)&lt;&gt;100%,Q26-VLOOKUP($A26,'User Interface (Start Here!)'!$B$18:$N$28,AC$2+1,FALSE)/'User Interface (Start Here!)'!$L$35*$K26*Q26,Q26-VLOOKUP($A26,'User Interface (Start Here!)'!$B$18:$N$28,AC$2+1,FALSE)*$K26*Q26))</f>
        <v>0.21910134889430724</v>
      </c>
      <c r="AD26" s="52">
        <f>IF($J26&lt;&gt;1,R26,IF(VLOOKUP($A26,'User Interface (Start Here!)'!$B$18:$N$28,AD$2+1,FALSE)&lt;&gt;100%,R26-VLOOKUP($A26,'User Interface (Start Here!)'!$B$18:$N$28,AD$2+1,FALSE)/'User Interface (Start Here!)'!$L$35*$K26*R26,R26-VLOOKUP($A26,'User Interface (Start Here!)'!$B$18:$N$28,AD$2+1,FALSE)*$K26*R26))</f>
        <v>2.8500988489803914E-2</v>
      </c>
      <c r="AE26" s="52">
        <f>IF($J26&lt;&gt;1,S26,IF(VLOOKUP($A26,'User Interface (Start Here!)'!$B$18:$N$28,AE$2+1,FALSE)&lt;&gt;100%,S26-VLOOKUP($A26,'User Interface (Start Here!)'!$B$18:$N$28,AE$2+1,FALSE)/'User Interface (Start Here!)'!$L$35*$K26*S26,S26-VLOOKUP($A26,'User Interface (Start Here!)'!$B$18:$N$28,AE$2+1,FALSE)*$K26*S26))</f>
        <v>4.4532794576596105E-2</v>
      </c>
      <c r="AF26" s="52">
        <f>IF($J26&lt;&gt;1,T26,IF(VLOOKUP($A26,'User Interface (Start Here!)'!$B$18:$N$28,AF$2+1,FALSE)&lt;&gt;100%,T26-VLOOKUP($A26,'User Interface (Start Here!)'!$B$18:$N$28,AF$2+1,FALSE)/'User Interface (Start Here!)'!$L$35*$K26*T26,T26-VLOOKUP($A26,'User Interface (Start Here!)'!$B$18:$N$28,AF$2+1,FALSE)*$K26*T26))</f>
        <v>0</v>
      </c>
      <c r="AG26" s="52">
        <f>IF($J26&lt;&gt;1,U26,IF(VLOOKUP($A26,'User Interface (Start Here!)'!$B$18:$N$28,AG$2+1,FALSE)&lt;&gt;100%,U26-VLOOKUP($A26,'User Interface (Start Here!)'!$B$18:$N$28,AG$2+1,FALSE)/'User Interface (Start Here!)'!$L$35*$K26*U26,U26-VLOOKUP($A26,'User Interface (Start Here!)'!$B$18:$N$28,AG$2+1,FALSE)*$K26*U26))</f>
        <v>0</v>
      </c>
      <c r="AH26" s="52">
        <f>IF($J26&lt;&gt;1,V26,IF(VLOOKUP($A26,'User Interface (Start Here!)'!$B$18:$N$28,AH$2+1,FALSE)&lt;&gt;100%,V26-VLOOKUP($A26,'User Interface (Start Here!)'!$B$18:$N$28,AH$2+1,FALSE)/'User Interface (Start Here!)'!$L$35*$K26*V26,V26-VLOOKUP($A26,'User Interface (Start Here!)'!$B$18:$N$28,AH$2+1,FALSE)*$K26*V26))</f>
        <v>0</v>
      </c>
      <c r="AI26" s="52">
        <f>IF($J26&lt;&gt;1,W26,IF(VLOOKUP($A26,'User Interface (Start Here!)'!$B$18:$N$28,AI$2+1,FALSE)&lt;&gt;100%,W26-VLOOKUP($A26,'User Interface (Start Here!)'!$B$18:$N$28,AI$2+1,FALSE)/'User Interface (Start Here!)'!$L$35*$K26*W26,W26-VLOOKUP($A26,'User Interface (Start Here!)'!$B$18:$N$28,AI$2+1,FALSE)*$K26*W26))</f>
        <v>0</v>
      </c>
      <c r="AJ26" s="42">
        <f t="shared" si="0"/>
        <v>0.89733580981808092</v>
      </c>
      <c r="AL26" s="1">
        <v>3080</v>
      </c>
      <c r="AM26" s="1">
        <v>7.5375919909626248</v>
      </c>
      <c r="AN26" s="1">
        <v>11.435219978228211</v>
      </c>
      <c r="AO26" s="1">
        <v>7.5341799941360925</v>
      </c>
      <c r="AP26" s="1">
        <v>4.2235499947965138</v>
      </c>
      <c r="AQ26" s="1">
        <v>8.8986659895479683</v>
      </c>
      <c r="AR26" s="1">
        <v>8.7186799875497822</v>
      </c>
      <c r="AS26" s="1">
        <v>7.7997599919736373</v>
      </c>
      <c r="AT26" s="1">
        <v>4.7611399935483938</v>
      </c>
      <c r="AU26" s="1">
        <v>4.7298599955290559</v>
      </c>
      <c r="AV26" s="1">
        <v>4.1724899950027465</v>
      </c>
      <c r="AW26" s="1">
        <v>7.5362199913859369</v>
      </c>
      <c r="AX26" s="1">
        <v>9.6963399870842686</v>
      </c>
      <c r="AY26" s="1">
        <v>87.043697889745232</v>
      </c>
      <c r="BA26" s="1">
        <v>3080</v>
      </c>
      <c r="BB26" s="31">
        <f t="shared" si="13"/>
        <v>8.6595493685369285E-2</v>
      </c>
      <c r="BC26" s="31">
        <f t="shared" si="15"/>
        <v>0.13137332461119411</v>
      </c>
      <c r="BD26" s="31">
        <f t="shared" si="16"/>
        <v>8.6556295019535323E-2</v>
      </c>
      <c r="BE26" s="31">
        <f t="shared" si="17"/>
        <v>4.8522180205927322E-2</v>
      </c>
      <c r="BF26" s="31">
        <f t="shared" si="18"/>
        <v>0.10223216850023481</v>
      </c>
      <c r="BG26" s="31">
        <f t="shared" si="19"/>
        <v>0.10016440246591299</v>
      </c>
      <c r="BH26" s="31">
        <f t="shared" si="20"/>
        <v>8.96074061772201E-2</v>
      </c>
      <c r="BI26" s="31">
        <f t="shared" si="21"/>
        <v>5.4698273499123845E-2</v>
      </c>
      <c r="BJ26" s="31">
        <f t="shared" si="22"/>
        <v>5.4338913789257669E-2</v>
      </c>
      <c r="BK26" s="31">
        <f t="shared" si="23"/>
        <v>4.7935578291812379E-2</v>
      </c>
      <c r="BL26" s="31">
        <f t="shared" si="24"/>
        <v>8.6579731492241574E-2</v>
      </c>
      <c r="BM26" s="31">
        <f t="shared" si="25"/>
        <v>0.1113962322621706</v>
      </c>
      <c r="BO26" s="1">
        <v>3080</v>
      </c>
      <c r="BP26" s="1">
        <v>3.4509899967610833</v>
      </c>
      <c r="BQ26" s="1">
        <v>3.8006399936825037</v>
      </c>
      <c r="BR26" s="1">
        <v>3.4987199966013431</v>
      </c>
      <c r="BS26" s="1">
        <v>1.9968899974524976</v>
      </c>
      <c r="BT26" s="1">
        <v>7.2003659916669136</v>
      </c>
      <c r="BU26" s="1">
        <v>4.5928099933862692</v>
      </c>
      <c r="BV26" s="1">
        <v>4.7516999950408927</v>
      </c>
      <c r="BW26" s="1">
        <v>4.3282399939000609</v>
      </c>
      <c r="BX26" s="1">
        <v>4.1637599962204694</v>
      </c>
      <c r="BY26" s="1">
        <v>1.474079998373985</v>
      </c>
      <c r="BZ26" s="1">
        <v>1.478649998128414</v>
      </c>
      <c r="CA26" s="1">
        <v>1.7249399981498716</v>
      </c>
      <c r="CB26" s="1">
        <v>42.461785949364305</v>
      </c>
      <c r="CD26" s="1">
        <v>3080</v>
      </c>
      <c r="CE26" s="31">
        <f t="shared" si="14"/>
        <v>8.1272841440922672E-2</v>
      </c>
      <c r="CF26" s="31">
        <f t="shared" si="2"/>
        <v>8.9507304243273425E-2</v>
      </c>
      <c r="CG26" s="31">
        <f t="shared" si="3"/>
        <v>8.2396910972458104E-2</v>
      </c>
      <c r="CH26" s="31">
        <f t="shared" si="4"/>
        <v>4.7027932358610393E-2</v>
      </c>
      <c r="CI26" s="31">
        <f t="shared" si="5"/>
        <v>0.16957284840193373</v>
      </c>
      <c r="CJ26" s="31">
        <f t="shared" si="6"/>
        <v>0.10816337303530277</v>
      </c>
      <c r="CK26" s="31">
        <f t="shared" si="7"/>
        <v>0.11190532590191322</v>
      </c>
      <c r="CL26" s="31">
        <f t="shared" si="8"/>
        <v>0.10193259414621629</v>
      </c>
      <c r="CM26" s="31">
        <f t="shared" si="9"/>
        <v>9.805899358980695E-2</v>
      </c>
      <c r="CN26" s="31">
        <f t="shared" si="10"/>
        <v>3.4715449796007776E-2</v>
      </c>
      <c r="CO26" s="31">
        <f t="shared" si="11"/>
        <v>3.4823075974517524E-2</v>
      </c>
      <c r="CP26" s="31">
        <f t="shared" si="12"/>
        <v>4.062335013903709E-2</v>
      </c>
    </row>
    <row r="27" spans="1:94">
      <c r="A27" s="28">
        <v>3178</v>
      </c>
      <c r="B27" s="29">
        <v>0.19672090258785013</v>
      </c>
      <c r="C27" s="29">
        <v>0.13988489949683355</v>
      </c>
      <c r="D27" s="22">
        <v>4.6770266024942837E-2</v>
      </c>
      <c r="E27" s="22">
        <v>3.3257543434753296E-2</v>
      </c>
      <c r="G27" s="29">
        <f>IF(ISBLANK('User Interface (Start Here!)'!$L$4),commercial!B27,commercial!C27)</f>
        <v>0.13988489949683355</v>
      </c>
      <c r="H27" s="22">
        <f>IF(ISBLANK('User Interface (Start Here!)'!$L$4),commercial!D27,commercial!E27)</f>
        <v>3.3257543434753296E-2</v>
      </c>
      <c r="I27" s="40">
        <f>(G27+H27)*'User Interface (Start Here!)'!$L$10</f>
        <v>0.15582819863842817</v>
      </c>
      <c r="J27" s="2">
        <f>IF(VLOOKUP(A27,'User Interface (Start Here!)'!$DO$2:$DP$73,2,FALSE)&lt;&gt;0,1,0)</f>
        <v>0</v>
      </c>
      <c r="K27" s="41">
        <f>IF(AND(J27=1,ISBLANK('User Interface (Start Here!)'!$L$14),ISBLANK('User Interface (Start Here!)'!$M$14),ISBLANK('User Interface (Start Here!)'!$N$14)),100%*'User Interface (Start Here!)'!$L$30,IF(J27=1,VLOOKUP(A27,'Bathymetric Closures'!$A$2:$C$57,3,FALSE)*'User Interface (Start Here!)'!$L$30,0%))</f>
        <v>0</v>
      </c>
      <c r="L27" s="50">
        <f>IF(ISBLANK('User Interface (Start Here!)'!#REF!),$I27*VLOOKUP($A27,$BA$5:$BM$60,L$2+1,FALSE),$I27*VLOOKUP($A27,$CD$6:$CP$60,L$2+1,FALSE))</f>
        <v>5.6222105737613159E-2</v>
      </c>
      <c r="M27" s="50">
        <f>IF(ISBLANK('User Interface (Start Here!)'!#REF!),$I27*VLOOKUP($A27,$BA$5:$BM$60,M$2+1,FALSE),$I27*VLOOKUP($A27,$CD$6:$CP$60,M$2+1,FALSE))</f>
        <v>6.1977124491692119E-2</v>
      </c>
      <c r="N27" s="50">
        <f>IF(ISBLANK('User Interface (Start Here!)'!#REF!),$I27*VLOOKUP($A27,$BA$5:$BM$60,N$2+1,FALSE),$I27*VLOOKUP($A27,$CD$6:$CP$60,N$2+1,FALSE))</f>
        <v>0</v>
      </c>
      <c r="O27" s="50">
        <f>IF(ISBLANK('User Interface (Start Here!)'!#REF!),$I27*VLOOKUP($A27,$BA$5:$BM$60,O$2+1,FALSE),$I27*VLOOKUP($A27,$CD$6:$CP$60,O$2+1,FALSE))</f>
        <v>4.8696312022508178E-3</v>
      </c>
      <c r="P27" s="50">
        <f>IF(ISBLANK('User Interface (Start Here!)'!#REF!),$I27*VLOOKUP($A27,$BA$5:$BM$60,P$2+1,FALSE),$I27*VLOOKUP($A27,$CD$6:$CP$60,P$2+1,FALSE))</f>
        <v>0</v>
      </c>
      <c r="Q27" s="50">
        <f>IF(ISBLANK('User Interface (Start Here!)'!#REF!),$I27*VLOOKUP($A27,$BA$5:$BM$60,Q$2+1,FALSE),$I27*VLOOKUP($A27,$CD$6:$CP$60,Q$2+1,FALSE))</f>
        <v>2.080660606543035E-2</v>
      </c>
      <c r="R27" s="50">
        <f>IF(ISBLANK('User Interface (Start Here!)'!#REF!),$I27*VLOOKUP($A27,$BA$5:$BM$60,R$2+1,FALSE),$I27*VLOOKUP($A27,$CD$6:$CP$60,R$2+1,FALSE))</f>
        <v>0</v>
      </c>
      <c r="S27" s="50">
        <f>IF(ISBLANK('User Interface (Start Here!)'!#REF!),$I27*VLOOKUP($A27,$BA$5:$BM$60,S$2+1,FALSE),$I27*VLOOKUP($A27,$CD$6:$CP$60,S$2+1,FALSE))</f>
        <v>1.1952731141441721E-2</v>
      </c>
      <c r="T27" s="50">
        <f>IF(ISBLANK('User Interface (Start Here!)'!#REF!),$I27*VLOOKUP($A27,$BA$5:$BM$60,T$2+1,FALSE),$I27*VLOOKUP($A27,$CD$6:$CP$60,T$2+1,FALSE))</f>
        <v>0</v>
      </c>
      <c r="U27" s="50">
        <f>IF(ISBLANK('User Interface (Start Here!)'!#REF!),$I27*VLOOKUP($A27,$BA$5:$BM$60,U$2+1,FALSE),$I27*VLOOKUP($A27,$CD$6:$CP$60,U$2+1,FALSE))</f>
        <v>0</v>
      </c>
      <c r="V27" s="50">
        <f>IF(ISBLANK('User Interface (Start Here!)'!#REF!),$I27*VLOOKUP($A27,$BA$5:$BM$60,V$2+1,FALSE),$I27*VLOOKUP($A27,$CD$6:$CP$60,V$2+1,FALSE))</f>
        <v>0</v>
      </c>
      <c r="W27" s="50">
        <f>IF(ISBLANK('User Interface (Start Here!)'!#REF!),$I27*VLOOKUP($A27,$BA$5:$BM$60,W$2+1,FALSE),$I27*VLOOKUP($A27,$CD$6:$CP$60,W$2+1,FALSE))</f>
        <v>0</v>
      </c>
      <c r="X27" s="51">
        <f>IF($J27&lt;&gt;1,L27,IF(VLOOKUP($A27,'User Interface (Start Here!)'!$B$18:$N$28,X$2+1,FALSE)&lt;&gt;100%,L27-VLOOKUP($A27,'User Interface (Start Here!)'!$B$18:$N$28,X$2+1,FALSE)/'User Interface (Start Here!)'!$L$35*$K27*L27,L27-VLOOKUP($A27,'User Interface (Start Here!)'!$B$18:$N$28,X$2+1,FALSE)*$K27*L27))</f>
        <v>5.6222105737613159E-2</v>
      </c>
      <c r="Y27" s="52">
        <f>IF($J27&lt;&gt;1,M27,IF(VLOOKUP($A27,'User Interface (Start Here!)'!$B$18:$N$28,Y$2+1,FALSE)&lt;&gt;100%,M27-VLOOKUP($A27,'User Interface (Start Here!)'!$B$18:$N$28,Y$2+1,FALSE)/'User Interface (Start Here!)'!$L$35*$K27*M27,M27-VLOOKUP($A27,'User Interface (Start Here!)'!$B$18:$N$28,Y$2+1,FALSE)*$K27*M27))</f>
        <v>6.1977124491692119E-2</v>
      </c>
      <c r="Z27" s="52">
        <f>IF($J27&lt;&gt;1,N27,IF(VLOOKUP($A27,'User Interface (Start Here!)'!$B$18:$N$28,Z$2+1,FALSE)&lt;&gt;100%,N27-VLOOKUP($A27,'User Interface (Start Here!)'!$B$18:$N$28,Z$2+1,FALSE)/'User Interface (Start Here!)'!$L$35*$K27*N27,N27-VLOOKUP($A27,'User Interface (Start Here!)'!$B$18:$N$28,Z$2+1,FALSE)*$K27*N27))</f>
        <v>0</v>
      </c>
      <c r="AA27" s="52">
        <f>IF($J27&lt;&gt;1,O27,IF(VLOOKUP($A27,'User Interface (Start Here!)'!$B$18:$N$28,AA$2+1,FALSE)&lt;&gt;100%,O27-VLOOKUP($A27,'User Interface (Start Here!)'!$B$18:$N$28,AA$2+1,FALSE)/'User Interface (Start Here!)'!$L$35*$K27*O27,O27-VLOOKUP($A27,'User Interface (Start Here!)'!$B$18:$N$28,AA$2+1,FALSE)*$K27*O27))</f>
        <v>4.8696312022508178E-3</v>
      </c>
      <c r="AB27" s="52">
        <f>IF($J27&lt;&gt;1,P27,IF(VLOOKUP($A27,'User Interface (Start Here!)'!$B$18:$N$28,AB$2+1,FALSE)&lt;&gt;100%,P27-VLOOKUP($A27,'User Interface (Start Here!)'!$B$18:$N$28,AB$2+1,FALSE)/'User Interface (Start Here!)'!$L$35*$K27*P27,P27-VLOOKUP($A27,'User Interface (Start Here!)'!$B$18:$N$28,AB$2+1,FALSE)*$K27*P27))</f>
        <v>0</v>
      </c>
      <c r="AC27" s="52">
        <f>IF($J27&lt;&gt;1,Q27,IF(VLOOKUP($A27,'User Interface (Start Here!)'!$B$18:$N$28,AC$2+1,FALSE)&lt;&gt;100%,Q27-VLOOKUP($A27,'User Interface (Start Here!)'!$B$18:$N$28,AC$2+1,FALSE)/'User Interface (Start Here!)'!$L$35*$K27*Q27,Q27-VLOOKUP($A27,'User Interface (Start Here!)'!$B$18:$N$28,AC$2+1,FALSE)*$K27*Q27))</f>
        <v>2.080660606543035E-2</v>
      </c>
      <c r="AD27" s="52">
        <f>IF($J27&lt;&gt;1,R27,IF(VLOOKUP($A27,'User Interface (Start Here!)'!$B$18:$N$28,AD$2+1,FALSE)&lt;&gt;100%,R27-VLOOKUP($A27,'User Interface (Start Here!)'!$B$18:$N$28,AD$2+1,FALSE)/'User Interface (Start Here!)'!$L$35*$K27*R27,R27-VLOOKUP($A27,'User Interface (Start Here!)'!$B$18:$N$28,AD$2+1,FALSE)*$K27*R27))</f>
        <v>0</v>
      </c>
      <c r="AE27" s="52">
        <f>IF($J27&lt;&gt;1,S27,IF(VLOOKUP($A27,'User Interface (Start Here!)'!$B$18:$N$28,AE$2+1,FALSE)&lt;&gt;100%,S27-VLOOKUP($A27,'User Interface (Start Here!)'!$B$18:$N$28,AE$2+1,FALSE)/'User Interface (Start Here!)'!$L$35*$K27*S27,S27-VLOOKUP($A27,'User Interface (Start Here!)'!$B$18:$N$28,AE$2+1,FALSE)*$K27*S27))</f>
        <v>1.1952731141441721E-2</v>
      </c>
      <c r="AF27" s="52">
        <f>IF($J27&lt;&gt;1,T27,IF(VLOOKUP($A27,'User Interface (Start Here!)'!$B$18:$N$28,AF$2+1,FALSE)&lt;&gt;100%,T27-VLOOKUP($A27,'User Interface (Start Here!)'!$B$18:$N$28,AF$2+1,FALSE)/'User Interface (Start Here!)'!$L$35*$K27*T27,T27-VLOOKUP($A27,'User Interface (Start Here!)'!$B$18:$N$28,AF$2+1,FALSE)*$K27*T27))</f>
        <v>0</v>
      </c>
      <c r="AG27" s="52">
        <f>IF($J27&lt;&gt;1,U27,IF(VLOOKUP($A27,'User Interface (Start Here!)'!$B$18:$N$28,AG$2+1,FALSE)&lt;&gt;100%,U27-VLOOKUP($A27,'User Interface (Start Here!)'!$B$18:$N$28,AG$2+1,FALSE)/'User Interface (Start Here!)'!$L$35*$K27*U27,U27-VLOOKUP($A27,'User Interface (Start Here!)'!$B$18:$N$28,AG$2+1,FALSE)*$K27*U27))</f>
        <v>0</v>
      </c>
      <c r="AH27" s="52">
        <f>IF($J27&lt;&gt;1,V27,IF(VLOOKUP($A27,'User Interface (Start Here!)'!$B$18:$N$28,AH$2+1,FALSE)&lt;&gt;100%,V27-VLOOKUP($A27,'User Interface (Start Here!)'!$B$18:$N$28,AH$2+1,FALSE)/'User Interface (Start Here!)'!$L$35*$K27*V27,V27-VLOOKUP($A27,'User Interface (Start Here!)'!$B$18:$N$28,AH$2+1,FALSE)*$K27*V27))</f>
        <v>0</v>
      </c>
      <c r="AI27" s="52">
        <f>IF($J27&lt;&gt;1,W27,IF(VLOOKUP($A27,'User Interface (Start Here!)'!$B$18:$N$28,AI$2+1,FALSE)&lt;&gt;100%,W27-VLOOKUP($A27,'User Interface (Start Here!)'!$B$18:$N$28,AI$2+1,FALSE)/'User Interface (Start Here!)'!$L$35*$K27*W27,W27-VLOOKUP($A27,'User Interface (Start Here!)'!$B$18:$N$28,AI$2+1,FALSE)*$K27*W27))</f>
        <v>0</v>
      </c>
      <c r="AJ27" s="42">
        <f t="shared" si="0"/>
        <v>0.15582819863842817</v>
      </c>
      <c r="AL27" s="1">
        <v>3081</v>
      </c>
      <c r="AM27" s="1">
        <v>1.6117199973464014</v>
      </c>
      <c r="AN27" s="1">
        <v>0.11099999988079072</v>
      </c>
      <c r="AO27" s="1">
        <v>2.2976999974101786</v>
      </c>
      <c r="AP27" s="1">
        <v>0.53279999950528145</v>
      </c>
      <c r="AQ27" s="1">
        <v>1.0411799979805947</v>
      </c>
      <c r="AR27" s="1">
        <v>0.76367999958992006</v>
      </c>
      <c r="AS27" s="1">
        <v>1.0766999989748001</v>
      </c>
      <c r="AT27" s="1">
        <v>1.2334499989748</v>
      </c>
      <c r="AU27" s="1">
        <v>1.1130099981874229</v>
      </c>
      <c r="AV27" s="1">
        <v>0.60716999870538713</v>
      </c>
      <c r="AW27" s="1">
        <v>1.1621699986010792</v>
      </c>
      <c r="AX27" s="1">
        <v>2.1234299981445073</v>
      </c>
      <c r="AY27" s="1">
        <v>13.674009983301163</v>
      </c>
      <c r="BA27" s="1">
        <v>3081</v>
      </c>
      <c r="BB27" s="31">
        <f t="shared" si="13"/>
        <v>0.11786739949105272</v>
      </c>
      <c r="BC27" s="31">
        <f t="shared" si="15"/>
        <v>8.1175895012761453E-3</v>
      </c>
      <c r="BD27" s="31">
        <f t="shared" si="16"/>
        <v>0.16803410266748034</v>
      </c>
      <c r="BE27" s="31">
        <f t="shared" si="17"/>
        <v>3.896442961179216E-2</v>
      </c>
      <c r="BF27" s="31">
        <f t="shared" si="18"/>
        <v>7.6142989456062557E-2</v>
      </c>
      <c r="BG27" s="31">
        <f t="shared" si="19"/>
        <v>5.5849015798769615E-2</v>
      </c>
      <c r="BH27" s="31">
        <f t="shared" si="20"/>
        <v>7.8740618171968341E-2</v>
      </c>
      <c r="BI27" s="31">
        <f t="shared" si="21"/>
        <v>9.0203970925946481E-2</v>
      </c>
      <c r="BJ27" s="31">
        <f t="shared" si="22"/>
        <v>8.1396020592835738E-2</v>
      </c>
      <c r="BK27" s="31">
        <f t="shared" si="23"/>
        <v>4.4403214524990776E-2</v>
      </c>
      <c r="BL27" s="31">
        <f t="shared" si="24"/>
        <v>8.4991162067333051E-2</v>
      </c>
      <c r="BM27" s="31">
        <f t="shared" si="25"/>
        <v>0.15528948719049213</v>
      </c>
      <c r="BO27" s="1">
        <v>3081</v>
      </c>
      <c r="BP27" s="1">
        <v>1.1543999977111816</v>
      </c>
      <c r="BQ27" s="1">
        <v>0</v>
      </c>
      <c r="BR27" s="1">
        <v>0</v>
      </c>
      <c r="BS27" s="1">
        <v>0.1454099998474121</v>
      </c>
      <c r="BT27" s="1">
        <v>0.91796999812126168</v>
      </c>
      <c r="BU27" s="1">
        <v>0.13541999983787537</v>
      </c>
      <c r="BV27" s="1">
        <v>8.5469999939203276E-2</v>
      </c>
      <c r="BW27" s="1">
        <v>0.2510999997854233</v>
      </c>
      <c r="BX27" s="1">
        <v>0.73893999914824959</v>
      </c>
      <c r="BY27" s="1">
        <v>0.19424999976158142</v>
      </c>
      <c r="BZ27" s="1">
        <v>0.19646999974548818</v>
      </c>
      <c r="CA27" s="1">
        <v>0.21311999988555907</v>
      </c>
      <c r="CB27" s="1">
        <v>4.0325499937832348</v>
      </c>
      <c r="CD27" s="1">
        <v>3081</v>
      </c>
      <c r="CE27" s="31">
        <f t="shared" si="14"/>
        <v>0.28627047389142302</v>
      </c>
      <c r="CF27" s="31">
        <f t="shared" si="2"/>
        <v>0</v>
      </c>
      <c r="CG27" s="31">
        <f t="shared" si="3"/>
        <v>0</v>
      </c>
      <c r="CH27" s="31">
        <f t="shared" si="4"/>
        <v>3.6059069341132254E-2</v>
      </c>
      <c r="CI27" s="31">
        <f t="shared" si="5"/>
        <v>0.22764007874333775</v>
      </c>
      <c r="CJ27" s="31">
        <f t="shared" si="6"/>
        <v>3.3581728694410506E-2</v>
      </c>
      <c r="CK27" s="31">
        <f t="shared" si="7"/>
        <v>2.1195025497753969E-2</v>
      </c>
      <c r="CL27" s="31">
        <f t="shared" si="8"/>
        <v>6.2268291818459942E-2</v>
      </c>
      <c r="CM27" s="31">
        <f t="shared" si="9"/>
        <v>0.18324385321631068</v>
      </c>
      <c r="CN27" s="31">
        <f t="shared" si="10"/>
        <v>4.8170512470036619E-2</v>
      </c>
      <c r="CO27" s="31">
        <f t="shared" si="11"/>
        <v>4.8721032609236194E-2</v>
      </c>
      <c r="CP27" s="31">
        <f t="shared" si="12"/>
        <v>5.284993371789927E-2</v>
      </c>
    </row>
    <row r="28" spans="1:94">
      <c r="A28" s="28">
        <v>3179</v>
      </c>
      <c r="B28" s="29">
        <v>5.5694155079805352</v>
      </c>
      <c r="C28" s="29">
        <v>3.2854229347311859</v>
      </c>
      <c r="D28" s="22">
        <v>1.3241248971769395</v>
      </c>
      <c r="E28" s="22">
        <v>0.7811071555713589</v>
      </c>
      <c r="G28" s="29">
        <f>IF(ISBLANK('User Interface (Start Here!)'!$L$4),commercial!B28,commercial!C28)</f>
        <v>3.2854229347311859</v>
      </c>
      <c r="H28" s="22">
        <f>IF(ISBLANK('User Interface (Start Here!)'!$L$4),commercial!D28,commercial!E28)</f>
        <v>0.7811071555713589</v>
      </c>
      <c r="I28" s="40">
        <f>(G28+H28)*'User Interface (Start Here!)'!$L$10</f>
        <v>3.6598770812722901</v>
      </c>
      <c r="J28" s="2">
        <f>IF(VLOOKUP(A28,'User Interface (Start Here!)'!$DO$2:$DP$73,2,FALSE)&lt;&gt;0,1,0)</f>
        <v>1</v>
      </c>
      <c r="K28" s="41">
        <f>IF(AND(J28=1,ISBLANK('User Interface (Start Here!)'!$L$14),ISBLANK('User Interface (Start Here!)'!$M$14),ISBLANK('User Interface (Start Here!)'!$N$14)),100%*'User Interface (Start Here!)'!$L$30,IF(J28=1,VLOOKUP(A28,'Bathymetric Closures'!$A$2:$C$57,3,FALSE)*'User Interface (Start Here!)'!$L$30,0%))</f>
        <v>0.92134501698042015</v>
      </c>
      <c r="L28" s="50">
        <f>IF(ISBLANK('User Interface (Start Here!)'!#REF!),$I28*VLOOKUP($A28,$BA$5:$BM$60,L$2+1,FALSE),$I28*VLOOKUP($A28,$CD$6:$CP$60,L$2+1,FALSE))</f>
        <v>8.7192342572150097E-2</v>
      </c>
      <c r="M28" s="50">
        <f>IF(ISBLANK('User Interface (Start Here!)'!#REF!),$I28*VLOOKUP($A28,$BA$5:$BM$60,M$2+1,FALSE),$I28*VLOOKUP($A28,$CD$6:$CP$60,M$2+1,FALSE))</f>
        <v>7.29568581866019E-2</v>
      </c>
      <c r="N28" s="50">
        <f>IF(ISBLANK('User Interface (Start Here!)'!#REF!),$I28*VLOOKUP($A28,$BA$5:$BM$60,N$2+1,FALSE),$I28*VLOOKUP($A28,$CD$6:$CP$60,N$2+1,FALSE))</f>
        <v>0.42039165206936002</v>
      </c>
      <c r="O28" s="50">
        <f>IF(ISBLANK('User Interface (Start Here!)'!#REF!),$I28*VLOOKUP($A28,$BA$5:$BM$60,O$2+1,FALSE),$I28*VLOOKUP($A28,$CD$6:$CP$60,O$2+1,FALSE))</f>
        <v>9.4310084890336099E-2</v>
      </c>
      <c r="P28" s="50">
        <f>IF(ISBLANK('User Interface (Start Here!)'!#REF!),$I28*VLOOKUP($A28,$BA$5:$BM$60,P$2+1,FALSE),$I28*VLOOKUP($A28,$CD$6:$CP$60,P$2+1,FALSE))</f>
        <v>0.86124681347146692</v>
      </c>
      <c r="Q28" s="50">
        <f>IF(ISBLANK('User Interface (Start Here!)'!#REF!),$I28*VLOOKUP($A28,$BA$5:$BM$60,Q$2+1,FALSE),$I28*VLOOKUP($A28,$CD$6:$CP$60,Q$2+1,FALSE))</f>
        <v>0.42617481778462774</v>
      </c>
      <c r="R28" s="50">
        <f>IF(ISBLANK('User Interface (Start Here!)'!#REF!),$I28*VLOOKUP($A28,$BA$5:$BM$60,R$2+1,FALSE),$I28*VLOOKUP($A28,$CD$6:$CP$60,R$2+1,FALSE))</f>
        <v>0.33675818072498076</v>
      </c>
      <c r="S28" s="50">
        <f>IF(ISBLANK('User Interface (Start Here!)'!#REF!),$I28*VLOOKUP($A28,$BA$5:$BM$60,S$2+1,FALSE),$I28*VLOOKUP($A28,$CD$6:$CP$60,S$2+1,FALSE))</f>
        <v>0.73490688842101981</v>
      </c>
      <c r="T28" s="50">
        <f>IF(ISBLANK('User Interface (Start Here!)'!#REF!),$I28*VLOOKUP($A28,$BA$5:$BM$60,T$2+1,FALSE),$I28*VLOOKUP($A28,$CD$6:$CP$60,T$2+1,FALSE))</f>
        <v>0.11744274723184372</v>
      </c>
      <c r="U28" s="50">
        <f>IF(ISBLANK('User Interface (Start Here!)'!#REF!),$I28*VLOOKUP($A28,$BA$5:$BM$60,U$2+1,FALSE),$I28*VLOOKUP($A28,$CD$6:$CP$60,U$2+1,FALSE))</f>
        <v>6.2280244694392937E-2</v>
      </c>
      <c r="V28" s="50">
        <f>IF(ISBLANK('User Interface (Start Here!)'!#REF!),$I28*VLOOKUP($A28,$BA$5:$BM$60,V$2+1,FALSE),$I28*VLOOKUP($A28,$CD$6:$CP$60,V$2+1,FALSE))</f>
        <v>0.44621645122550907</v>
      </c>
      <c r="W28" s="50">
        <f>IF(ISBLANK('User Interface (Start Here!)'!#REF!),$I28*VLOOKUP($A28,$BA$5:$BM$60,W$2+1,FALSE),$I28*VLOOKUP($A28,$CD$6:$CP$60,W$2+1,FALSE))</f>
        <v>0</v>
      </c>
      <c r="X28" s="51">
        <f>IF($J28&lt;&gt;1,L28,IF(VLOOKUP($A28,'User Interface (Start Here!)'!$B$18:$N$28,X$2+1,FALSE)&lt;&gt;100%,L28-VLOOKUP($A28,'User Interface (Start Here!)'!$B$18:$N$28,X$2+1,FALSE)/'User Interface (Start Here!)'!$L$35*$K28*L28,L28-VLOOKUP($A28,'User Interface (Start Here!)'!$B$18:$N$28,X$2+1,FALSE)*$K28*L28))</f>
        <v>6.858112224449861E-3</v>
      </c>
      <c r="Y28" s="52">
        <f>IF($J28&lt;&gt;1,M28,IF(VLOOKUP($A28,'User Interface (Start Here!)'!$B$18:$N$28,Y$2+1,FALSE)&lt;&gt;100%,M28-VLOOKUP($A28,'User Interface (Start Here!)'!$B$18:$N$28,Y$2+1,FALSE)/'User Interface (Start Here!)'!$L$35*$K28*M28,M28-VLOOKUP($A28,'User Interface (Start Here!)'!$B$18:$N$28,Y$2+1,FALSE)*$K28*M28))</f>
        <v>5.7384204418290674E-3</v>
      </c>
      <c r="Z28" s="52">
        <f>IF($J28&lt;&gt;1,N28,IF(VLOOKUP($A28,'User Interface (Start Here!)'!$B$18:$N$28,Z$2+1,FALSE)&lt;&gt;100%,N28-VLOOKUP($A28,'User Interface (Start Here!)'!$B$18:$N$28,Z$2+1,FALSE)/'User Interface (Start Here!)'!$L$35*$K28*N28,N28-VLOOKUP($A28,'User Interface (Start Here!)'!$B$18:$N$28,Z$2+1,FALSE)*$K28*N28))</f>
        <v>3.3065898255088655E-2</v>
      </c>
      <c r="AA28" s="52">
        <f>IF($J28&lt;&gt;1,O28,IF(VLOOKUP($A28,'User Interface (Start Here!)'!$B$18:$N$28,AA$2+1,FALSE)&lt;&gt;100%,O28-VLOOKUP($A28,'User Interface (Start Here!)'!$B$18:$N$28,AA$2+1,FALSE)/'User Interface (Start Here!)'!$L$35*$K28*O28,O28-VLOOKUP($A28,'User Interface (Start Here!)'!$B$18:$N$28,AA$2+1,FALSE)*$K28*O28))</f>
        <v>7.4179581256245131E-3</v>
      </c>
      <c r="AB28" s="52">
        <f>IF($J28&lt;&gt;1,P28,IF(VLOOKUP($A28,'User Interface (Start Here!)'!$B$18:$N$28,AB$2+1,FALSE)&lt;&gt;100%,P28-VLOOKUP($A28,'User Interface (Start Here!)'!$B$18:$N$28,AB$2+1,FALSE)/'User Interface (Start Here!)'!$L$35*$K28*P28,P28-VLOOKUP($A28,'User Interface (Start Here!)'!$B$18:$N$28,AB$2+1,FALSE)*$K28*P28))</f>
        <v>6.7741353489265466E-2</v>
      </c>
      <c r="AC28" s="52">
        <f>IF($J28&lt;&gt;1,Q28,IF(VLOOKUP($A28,'User Interface (Start Here!)'!$B$18:$N$28,AC$2+1,FALSE)&lt;&gt;100%,Q28-VLOOKUP($A28,'User Interface (Start Here!)'!$B$18:$N$28,AC$2+1,FALSE)/'User Interface (Start Here!)'!$L$35*$K28*Q28,Q28-VLOOKUP($A28,'User Interface (Start Here!)'!$B$18:$N$28,AC$2+1,FALSE)*$K28*Q28))</f>
        <v>3.3520773056222419E-2</v>
      </c>
      <c r="AD28" s="52">
        <f>IF($J28&lt;&gt;1,R28,IF(VLOOKUP($A28,'User Interface (Start Here!)'!$B$18:$N$28,AD$2+1,FALSE)&lt;&gt;100%,R28-VLOOKUP($A28,'User Interface (Start Here!)'!$B$18:$N$28,AD$2+1,FALSE)/'User Interface (Start Here!)'!$L$35*$K28*R28,R28-VLOOKUP($A28,'User Interface (Start Here!)'!$B$18:$N$28,AD$2+1,FALSE)*$K28*R28))</f>
        <v>2.6487708986627945E-2</v>
      </c>
      <c r="AE28" s="52">
        <f>IF($J28&lt;&gt;1,S28,IF(VLOOKUP($A28,'User Interface (Start Here!)'!$B$18:$N$28,AE$2+1,FALSE)&lt;&gt;100%,S28-VLOOKUP($A28,'User Interface (Start Here!)'!$B$18:$N$28,AE$2+1,FALSE)/'User Interface (Start Here!)'!$L$35*$K28*S28,S28-VLOOKUP($A28,'User Interface (Start Here!)'!$B$18:$N$28,AE$2+1,FALSE)*$K28*S28))</f>
        <v>5.780408882972754E-2</v>
      </c>
      <c r="AF28" s="52">
        <f>IF($J28&lt;&gt;1,T28,IF(VLOOKUP($A28,'User Interface (Start Here!)'!$B$18:$N$28,AF$2+1,FALSE)&lt;&gt;100%,T28-VLOOKUP($A28,'User Interface (Start Here!)'!$B$18:$N$28,AF$2+1,FALSE)/'User Interface (Start Here!)'!$L$35*$K28*T28,T28-VLOOKUP($A28,'User Interface (Start Here!)'!$B$18:$N$28,AF$2+1,FALSE)*$K28*T28))</f>
        <v>9.2374572892934825E-3</v>
      </c>
      <c r="AG28" s="52">
        <f>IF($J28&lt;&gt;1,U28,IF(VLOOKUP($A28,'User Interface (Start Here!)'!$B$18:$N$28,AG$2+1,FALSE)&lt;&gt;100%,U28-VLOOKUP($A28,'User Interface (Start Here!)'!$B$18:$N$28,AG$2+1,FALSE)/'User Interface (Start Here!)'!$L$35*$K28*U28,U28-VLOOKUP($A28,'User Interface (Start Here!)'!$B$18:$N$28,AG$2+1,FALSE)*$K28*U28))</f>
        <v>4.8986515888927579E-3</v>
      </c>
      <c r="AH28" s="52">
        <f>IF($J28&lt;&gt;1,V28,IF(VLOOKUP($A28,'User Interface (Start Here!)'!$B$18:$N$28,AH$2+1,FALSE)&lt;&gt;100%,V28-VLOOKUP($A28,'User Interface (Start Here!)'!$B$18:$N$28,AH$2+1,FALSE)/'User Interface (Start Here!)'!$L$35*$K28*V28,V28-VLOOKUP($A28,'User Interface (Start Here!)'!$B$18:$N$28,AH$2+1,FALSE)*$K28*V28))</f>
        <v>3.5097147394199613E-2</v>
      </c>
      <c r="AI28" s="52">
        <f>IF($J28&lt;&gt;1,W28,IF(VLOOKUP($A28,'User Interface (Start Here!)'!$B$18:$N$28,AI$2+1,FALSE)&lt;&gt;100%,W28-VLOOKUP($A28,'User Interface (Start Here!)'!$B$18:$N$28,AI$2+1,FALSE)/'User Interface (Start Here!)'!$L$35*$K28*W28,W28-VLOOKUP($A28,'User Interface (Start Here!)'!$B$18:$N$28,AI$2+1,FALSE)*$K28*W28))</f>
        <v>0</v>
      </c>
      <c r="AJ28" s="42">
        <f t="shared" si="0"/>
        <v>0.28786756968122129</v>
      </c>
      <c r="AL28" s="1">
        <v>3174</v>
      </c>
      <c r="AQ28" s="1">
        <v>0</v>
      </c>
      <c r="AY28" s="1">
        <v>0</v>
      </c>
      <c r="BA28" s="1">
        <v>3174</v>
      </c>
      <c r="BB28" s="31">
        <f t="shared" si="13"/>
        <v>0</v>
      </c>
      <c r="BC28" s="31">
        <f t="shared" si="15"/>
        <v>0</v>
      </c>
      <c r="BD28" s="31">
        <f t="shared" si="16"/>
        <v>0</v>
      </c>
      <c r="BE28" s="31">
        <f t="shared" si="17"/>
        <v>0</v>
      </c>
      <c r="BF28" s="31">
        <f t="shared" si="18"/>
        <v>0</v>
      </c>
      <c r="BG28" s="31">
        <f t="shared" si="19"/>
        <v>0</v>
      </c>
      <c r="BH28" s="31">
        <f t="shared" si="20"/>
        <v>0</v>
      </c>
      <c r="BI28" s="31">
        <f t="shared" si="21"/>
        <v>0</v>
      </c>
      <c r="BJ28" s="31">
        <f t="shared" si="22"/>
        <v>0</v>
      </c>
      <c r="BK28" s="31">
        <f t="shared" si="23"/>
        <v>0</v>
      </c>
      <c r="BL28" s="31">
        <f t="shared" si="24"/>
        <v>0</v>
      </c>
      <c r="BM28" s="31">
        <f t="shared" si="25"/>
        <v>0</v>
      </c>
      <c r="BO28" s="1">
        <v>3174</v>
      </c>
      <c r="BT28" s="1">
        <v>0</v>
      </c>
      <c r="CB28" s="1">
        <v>0</v>
      </c>
      <c r="CD28" s="1">
        <v>3174</v>
      </c>
      <c r="CE28" s="31">
        <f t="shared" si="14"/>
        <v>0</v>
      </c>
      <c r="CF28" s="31">
        <f t="shared" si="2"/>
        <v>0</v>
      </c>
      <c r="CG28" s="31">
        <f t="shared" si="3"/>
        <v>0</v>
      </c>
      <c r="CH28" s="31">
        <f t="shared" si="4"/>
        <v>0</v>
      </c>
      <c r="CI28" s="31">
        <f t="shared" si="5"/>
        <v>0</v>
      </c>
      <c r="CJ28" s="31">
        <f t="shared" si="6"/>
        <v>0</v>
      </c>
      <c r="CK28" s="31">
        <f t="shared" si="7"/>
        <v>0</v>
      </c>
      <c r="CL28" s="31">
        <f t="shared" si="8"/>
        <v>0</v>
      </c>
      <c r="CM28" s="31">
        <f t="shared" si="9"/>
        <v>0</v>
      </c>
      <c r="CN28" s="31">
        <f t="shared" si="10"/>
        <v>0</v>
      </c>
      <c r="CO28" s="31">
        <f t="shared" si="11"/>
        <v>0</v>
      </c>
      <c r="CP28" s="31">
        <f t="shared" si="12"/>
        <v>0</v>
      </c>
    </row>
    <row r="29" spans="1:94">
      <c r="A29" s="28">
        <v>3180</v>
      </c>
      <c r="B29" s="29">
        <v>3.4846741605665486</v>
      </c>
      <c r="C29" s="29">
        <v>1.8236963016346877</v>
      </c>
      <c r="D29" s="22">
        <v>0.82847900429472598</v>
      </c>
      <c r="E29" s="22">
        <v>0.43358260385201547</v>
      </c>
      <c r="G29" s="29">
        <f>IF(ISBLANK('User Interface (Start Here!)'!$L$4),commercial!B29,commercial!C29)</f>
        <v>1.8236963016346877</v>
      </c>
      <c r="H29" s="22">
        <f>IF(ISBLANK('User Interface (Start Here!)'!$L$4),commercial!D29,commercial!E29)</f>
        <v>0.43358260385201547</v>
      </c>
      <c r="I29" s="40">
        <f>(G29+H29)*'User Interface (Start Here!)'!$L$10</f>
        <v>2.0315510149380329</v>
      </c>
      <c r="J29" s="2">
        <f>IF(VLOOKUP(A29,'User Interface (Start Here!)'!$DO$2:$DP$73,2,FALSE)&lt;&gt;0,1,0)</f>
        <v>1</v>
      </c>
      <c r="K29" s="41">
        <f>IF(AND(J29=1,ISBLANK('User Interface (Start Here!)'!$L$14),ISBLANK('User Interface (Start Here!)'!$M$14),ISBLANK('User Interface (Start Here!)'!$N$14)),100%*'User Interface (Start Here!)'!$L$30,IF(J29=1,VLOOKUP(A29,'Bathymetric Closures'!$A$2:$C$57,3,FALSE)*'User Interface (Start Here!)'!$L$30,0%))</f>
        <v>0.96642860025017152</v>
      </c>
      <c r="L29" s="50">
        <f>IF(ISBLANK('User Interface (Start Here!)'!#REF!),$I29*VLOOKUP($A29,$BA$5:$BM$60,L$2+1,FALSE),$I29*VLOOKUP($A29,$CD$6:$CP$60,L$2+1,FALSE))</f>
        <v>0.40473099344921576</v>
      </c>
      <c r="M29" s="50">
        <f>IF(ISBLANK('User Interface (Start Here!)'!#REF!),$I29*VLOOKUP($A29,$BA$5:$BM$60,M$2+1,FALSE),$I29*VLOOKUP($A29,$CD$6:$CP$60,M$2+1,FALSE))</f>
        <v>9.8903857675426449E-2</v>
      </c>
      <c r="N29" s="50">
        <f>IF(ISBLANK('User Interface (Start Here!)'!#REF!),$I29*VLOOKUP($A29,$BA$5:$BM$60,N$2+1,FALSE),$I29*VLOOKUP($A29,$CD$6:$CP$60,N$2+1,FALSE))</f>
        <v>0.10437319530435299</v>
      </c>
      <c r="O29" s="50">
        <f>IF(ISBLANK('User Interface (Start Here!)'!#REF!),$I29*VLOOKUP($A29,$BA$5:$BM$60,O$2+1,FALSE),$I29*VLOOKUP($A29,$CD$6:$CP$60,O$2+1,FALSE))</f>
        <v>0.16635902310344985</v>
      </c>
      <c r="P29" s="50">
        <f>IF(ISBLANK('User Interface (Start Here!)'!#REF!),$I29*VLOOKUP($A29,$BA$5:$BM$60,P$2+1,FALSE),$I29*VLOOKUP($A29,$CD$6:$CP$60,P$2+1,FALSE))</f>
        <v>0.29853468542036948</v>
      </c>
      <c r="Q29" s="50">
        <f>IF(ISBLANK('User Interface (Start Here!)'!#REF!),$I29*VLOOKUP($A29,$BA$5:$BM$60,Q$2+1,FALSE),$I29*VLOOKUP($A29,$CD$6:$CP$60,Q$2+1,FALSE))</f>
        <v>0.30962118080083884</v>
      </c>
      <c r="R29" s="50">
        <f>IF(ISBLANK('User Interface (Start Here!)'!#REF!),$I29*VLOOKUP($A29,$BA$5:$BM$60,R$2+1,FALSE),$I29*VLOOKUP($A29,$CD$6:$CP$60,R$2+1,FALSE))</f>
        <v>0.35140495024556884</v>
      </c>
      <c r="S29" s="50">
        <f>IF(ISBLANK('User Interface (Start Here!)'!#REF!),$I29*VLOOKUP($A29,$BA$5:$BM$60,S$2+1,FALSE),$I29*VLOOKUP($A29,$CD$6:$CP$60,S$2+1,FALSE))</f>
        <v>4.8312483408614361E-2</v>
      </c>
      <c r="T29" s="50">
        <f>IF(ISBLANK('User Interface (Start Here!)'!#REF!),$I29*VLOOKUP($A29,$BA$5:$BM$60,T$2+1,FALSE),$I29*VLOOKUP($A29,$CD$6:$CP$60,T$2+1,FALSE))</f>
        <v>0.16727057940757001</v>
      </c>
      <c r="U29" s="50">
        <f>IF(ISBLANK('User Interface (Start Here!)'!#REF!),$I29*VLOOKUP($A29,$BA$5:$BM$60,U$2+1,FALSE),$I29*VLOOKUP($A29,$CD$6:$CP$60,U$2+1,FALSE))</f>
        <v>8.6597847667701268E-3</v>
      </c>
      <c r="V29" s="50">
        <f>IF(ISBLANK('User Interface (Start Here!)'!#REF!),$I29*VLOOKUP($A29,$BA$5:$BM$60,V$2+1,FALSE),$I29*VLOOKUP($A29,$CD$6:$CP$60,V$2+1,FALSE))</f>
        <v>7.338028135585592E-2</v>
      </c>
      <c r="W29" s="50">
        <f>IF(ISBLANK('User Interface (Start Here!)'!#REF!),$I29*VLOOKUP($A29,$BA$5:$BM$60,W$2+1,FALSE),$I29*VLOOKUP($A29,$CD$6:$CP$60,W$2+1,FALSE))</f>
        <v>0</v>
      </c>
      <c r="X29" s="51">
        <f>IF($J29&lt;&gt;1,L29,IF(VLOOKUP($A29,'User Interface (Start Here!)'!$B$18:$N$28,X$2+1,FALSE)&lt;&gt;100%,L29-VLOOKUP($A29,'User Interface (Start Here!)'!$B$18:$N$28,X$2+1,FALSE)/'User Interface (Start Here!)'!$L$35*$K29*L29,L29-VLOOKUP($A29,'User Interface (Start Here!)'!$B$18:$N$28,X$2+1,FALSE)*$K29*L29))</f>
        <v>1.358738597222886E-2</v>
      </c>
      <c r="Y29" s="52">
        <f>IF($J29&lt;&gt;1,M29,IF(VLOOKUP($A29,'User Interface (Start Here!)'!$B$18:$N$28,Y$2+1,FALSE)&lt;&gt;100%,M29-VLOOKUP($A29,'User Interface (Start Here!)'!$B$18:$N$28,Y$2+1,FALSE)/'User Interface (Start Here!)'!$L$35*$K29*M29,M29-VLOOKUP($A29,'User Interface (Start Here!)'!$B$18:$N$28,Y$2+1,FALSE)*$K29*M29))</f>
        <v>3.3203409428218811E-3</v>
      </c>
      <c r="Z29" s="52">
        <f>IF($J29&lt;&gt;1,N29,IF(VLOOKUP($A29,'User Interface (Start Here!)'!$B$18:$N$28,Z$2+1,FALSE)&lt;&gt;100%,N29-VLOOKUP($A29,'User Interface (Start Here!)'!$B$18:$N$28,Z$2+1,FALSE)/'User Interface (Start Here!)'!$L$35*$K29*N29,N29-VLOOKUP($A29,'User Interface (Start Here!)'!$B$18:$N$28,Z$2+1,FALSE)*$K29*N29))</f>
        <v>3.5039542627293557E-3</v>
      </c>
      <c r="AA29" s="52">
        <f>IF($J29&lt;&gt;1,O29,IF(VLOOKUP($A29,'User Interface (Start Here!)'!$B$18:$N$28,AA$2+1,FALSE)&lt;&gt;100%,O29-VLOOKUP($A29,'User Interface (Start Here!)'!$B$18:$N$28,AA$2+1,FALSE)/'User Interface (Start Here!)'!$L$35*$K29*O29,O29-VLOOKUP($A29,'User Interface (Start Here!)'!$B$18:$N$28,AA$2+1,FALSE)*$K29*O29))</f>
        <v>5.5849052665968568E-3</v>
      </c>
      <c r="AB29" s="52">
        <f>IF($J29&lt;&gt;1,P29,IF(VLOOKUP($A29,'User Interface (Start Here!)'!$B$18:$N$28,AB$2+1,FALSE)&lt;&gt;100%,P29-VLOOKUP($A29,'User Interface (Start Here!)'!$B$18:$N$28,AB$2+1,FALSE)/'User Interface (Start Here!)'!$L$35*$K29*P29,P29-VLOOKUP($A29,'User Interface (Start Here!)'!$B$18:$N$28,AB$2+1,FALSE)*$K29*P29))</f>
        <v>1.002222726343649E-2</v>
      </c>
      <c r="AC29" s="52">
        <f>IF($J29&lt;&gt;1,Q29,IF(VLOOKUP($A29,'User Interface (Start Here!)'!$B$18:$N$28,AC$2+1,FALSE)&lt;&gt;100%,Q29-VLOOKUP($A29,'User Interface (Start Here!)'!$B$18:$N$28,AC$2+1,FALSE)/'User Interface (Start Here!)'!$L$35*$K29*Q29,Q29-VLOOKUP($A29,'User Interface (Start Here!)'!$B$18:$N$28,AC$2+1,FALSE)*$K29*Q29))</f>
        <v>1.0394416431678877E-2</v>
      </c>
      <c r="AD29" s="52">
        <f>IF($J29&lt;&gt;1,R29,IF(VLOOKUP($A29,'User Interface (Start Here!)'!$B$18:$N$28,AD$2+1,FALSE)&lt;&gt;100%,R29-VLOOKUP($A29,'User Interface (Start Here!)'!$B$18:$N$28,AD$2+1,FALSE)/'User Interface (Start Here!)'!$L$35*$K29*R29,R29-VLOOKUP($A29,'User Interface (Start Here!)'!$B$18:$N$28,AD$2+1,FALSE)*$K29*R29))</f>
        <v>1.1797156058762581E-2</v>
      </c>
      <c r="AE29" s="52">
        <f>IF($J29&lt;&gt;1,S29,IF(VLOOKUP($A29,'User Interface (Start Here!)'!$B$18:$N$28,AE$2+1,FALSE)&lt;&gt;100%,S29-VLOOKUP($A29,'User Interface (Start Here!)'!$B$18:$N$28,AE$2+1,FALSE)/'User Interface (Start Here!)'!$L$35*$K29*S29,S29-VLOOKUP($A29,'User Interface (Start Here!)'!$B$18:$N$28,AE$2+1,FALSE)*$K29*S29))</f>
        <v>1.6219176934175461E-3</v>
      </c>
      <c r="AF29" s="52">
        <f>IF($J29&lt;&gt;1,T29,IF(VLOOKUP($A29,'User Interface (Start Here!)'!$B$18:$N$28,AF$2+1,FALSE)&lt;&gt;100%,T29-VLOOKUP($A29,'User Interface (Start Here!)'!$B$18:$N$28,AF$2+1,FALSE)/'User Interface (Start Here!)'!$L$35*$K29*T29,T29-VLOOKUP($A29,'User Interface (Start Here!)'!$B$18:$N$28,AF$2+1,FALSE)*$K29*T29))</f>
        <v>5.6155074876769739E-3</v>
      </c>
      <c r="AG29" s="52">
        <f>IF($J29&lt;&gt;1,U29,IF(VLOOKUP($A29,'User Interface (Start Here!)'!$B$18:$N$28,AG$2+1,FALSE)&lt;&gt;100%,U29-VLOOKUP($A29,'User Interface (Start Here!)'!$B$18:$N$28,AG$2+1,FALSE)/'User Interface (Start Here!)'!$L$35*$K29*U29,U29-VLOOKUP($A29,'User Interface (Start Here!)'!$B$18:$N$28,AG$2+1,FALSE)*$K29*U29))</f>
        <v>2.9072109615271499E-4</v>
      </c>
      <c r="AH29" s="52">
        <f>IF($J29&lt;&gt;1,V29,IF(VLOOKUP($A29,'User Interface (Start Here!)'!$B$18:$N$28,AH$2+1,FALSE)&lt;&gt;100%,V29-VLOOKUP($A29,'User Interface (Start Here!)'!$B$18:$N$28,AH$2+1,FALSE)/'User Interface (Start Here!)'!$L$35*$K29*V29,V29-VLOOKUP($A29,'User Interface (Start Here!)'!$B$18:$N$28,AH$2+1,FALSE)*$K29*V29))</f>
        <v>2.4634787591523294E-3</v>
      </c>
      <c r="AI29" s="52">
        <f>IF($J29&lt;&gt;1,W29,IF(VLOOKUP($A29,'User Interface (Start Here!)'!$B$18:$N$28,AI$2+1,FALSE)&lt;&gt;100%,W29-VLOOKUP($A29,'User Interface (Start Here!)'!$B$18:$N$28,AI$2+1,FALSE)/'User Interface (Start Here!)'!$L$35*$K29*W29,W29-VLOOKUP($A29,'User Interface (Start Here!)'!$B$18:$N$28,AI$2+1,FALSE)*$K29*W29))</f>
        <v>0</v>
      </c>
      <c r="AJ29" s="42">
        <f t="shared" si="0"/>
        <v>6.8202011234654469E-2</v>
      </c>
      <c r="AL29" s="1">
        <v>3175</v>
      </c>
      <c r="AT29" s="1">
        <v>1.220999999344349E-2</v>
      </c>
      <c r="AV29" s="1">
        <v>2.9969999969005585E-2</v>
      </c>
      <c r="AY29" s="1">
        <v>4.2179999962449075E-2</v>
      </c>
      <c r="BA29" s="1">
        <v>3175</v>
      </c>
      <c r="BB29" s="31">
        <f t="shared" si="13"/>
        <v>0</v>
      </c>
      <c r="BC29" s="31">
        <f t="shared" si="15"/>
        <v>0</v>
      </c>
      <c r="BD29" s="31">
        <f t="shared" si="16"/>
        <v>0</v>
      </c>
      <c r="BE29" s="31">
        <f t="shared" si="17"/>
        <v>0</v>
      </c>
      <c r="BF29" s="31">
        <f t="shared" si="18"/>
        <v>0</v>
      </c>
      <c r="BG29" s="31">
        <f t="shared" si="19"/>
        <v>0</v>
      </c>
      <c r="BH29" s="31">
        <f t="shared" si="20"/>
        <v>0</v>
      </c>
      <c r="BI29" s="31">
        <f t="shared" si="21"/>
        <v>0.2894736843127903</v>
      </c>
      <c r="BJ29" s="31">
        <f t="shared" si="22"/>
        <v>0</v>
      </c>
      <c r="BK29" s="31">
        <f t="shared" si="23"/>
        <v>0.7105263156872097</v>
      </c>
      <c r="BL29" s="31">
        <f t="shared" si="24"/>
        <v>0</v>
      </c>
      <c r="BM29" s="31">
        <f t="shared" si="25"/>
        <v>0</v>
      </c>
      <c r="BO29" s="1">
        <v>3175</v>
      </c>
      <c r="BW29" s="1">
        <v>1.220999999344349E-2</v>
      </c>
      <c r="BY29" s="1">
        <v>0</v>
      </c>
      <c r="CB29" s="1">
        <v>1.220999999344349E-2</v>
      </c>
      <c r="CD29" s="1">
        <v>3175</v>
      </c>
      <c r="CE29" s="31">
        <f t="shared" si="14"/>
        <v>0</v>
      </c>
      <c r="CF29" s="31">
        <f t="shared" si="2"/>
        <v>0</v>
      </c>
      <c r="CG29" s="31">
        <f t="shared" si="3"/>
        <v>0</v>
      </c>
      <c r="CH29" s="31">
        <f t="shared" si="4"/>
        <v>0</v>
      </c>
      <c r="CI29" s="31">
        <f t="shared" si="5"/>
        <v>0</v>
      </c>
      <c r="CJ29" s="31">
        <f t="shared" si="6"/>
        <v>0</v>
      </c>
      <c r="CK29" s="31">
        <f t="shared" si="7"/>
        <v>0</v>
      </c>
      <c r="CL29" s="31">
        <f t="shared" si="8"/>
        <v>1</v>
      </c>
      <c r="CM29" s="31">
        <f t="shared" si="9"/>
        <v>0</v>
      </c>
      <c r="CN29" s="31">
        <f t="shared" si="10"/>
        <v>0</v>
      </c>
      <c r="CO29" s="31">
        <f t="shared" si="11"/>
        <v>0</v>
      </c>
      <c r="CP29" s="31">
        <f t="shared" si="12"/>
        <v>0</v>
      </c>
    </row>
    <row r="30" spans="1:94">
      <c r="A30" s="28">
        <v>3274</v>
      </c>
      <c r="B30" s="29">
        <v>3.8968188565106134E-4</v>
      </c>
      <c r="C30" s="29">
        <v>3.8968188565106134E-4</v>
      </c>
      <c r="D30" s="22">
        <v>9.2646613640167075E-5</v>
      </c>
      <c r="E30" s="22">
        <v>9.2646613640167075E-5</v>
      </c>
      <c r="G30" s="29">
        <f>IF(ISBLANK('User Interface (Start Here!)'!$L$4),commercial!B30,commercial!C30)</f>
        <v>3.8968188565106134E-4</v>
      </c>
      <c r="H30" s="22">
        <f>IF(ISBLANK('User Interface (Start Here!)'!$L$4),commercial!D30,commercial!E30)</f>
        <v>9.2646613640167075E-5</v>
      </c>
      <c r="I30" s="40">
        <f>(G30+H30)*'User Interface (Start Here!)'!$L$10</f>
        <v>4.340956493621056E-4</v>
      </c>
      <c r="J30" s="2">
        <f>IF(VLOOKUP(A30,'User Interface (Start Here!)'!$DO$2:$DP$73,2,FALSE)&lt;&gt;0,1,0)</f>
        <v>0</v>
      </c>
      <c r="K30" s="41">
        <f>IF(AND(J30=1,ISBLANK('User Interface (Start Here!)'!$L$14),ISBLANK('User Interface (Start Here!)'!$M$14),ISBLANK('User Interface (Start Here!)'!$N$14)),100%*'User Interface (Start Here!)'!$L$30,IF(J30=1,VLOOKUP(A30,'Bathymetric Closures'!$A$2:$C$57,3,FALSE)*'User Interface (Start Here!)'!$L$30,0%))</f>
        <v>0</v>
      </c>
      <c r="L30" s="50">
        <f>IF(ISBLANK('User Interface (Start Here!)'!$L22),$I30*VLOOKUP($A30,$BA$5:$BM$60,L$2+1,FALSE),$I30*VLOOKUP($A30,$CD$6:$CP$60,L$2+1,FALSE))</f>
        <v>0</v>
      </c>
      <c r="M30" s="50">
        <f>IF(ISBLANK('User Interface (Start Here!)'!$L22),$I30*VLOOKUP($A30,$BA$5:$BM$60,M$2+1,FALSE),$I30*VLOOKUP($A30,$CD$6:$CP$60,M$2+1,FALSE))</f>
        <v>0</v>
      </c>
      <c r="N30" s="50">
        <f>IF(ISBLANK('User Interface (Start Here!)'!$L22),$I30*VLOOKUP($A30,$BA$5:$BM$60,N$2+1,FALSE),$I30*VLOOKUP($A30,$CD$6:$CP$60,N$2+1,FALSE))</f>
        <v>0</v>
      </c>
      <c r="O30" s="50">
        <f>IF(ISBLANK('User Interface (Start Here!)'!$L22),$I30*VLOOKUP($A30,$BA$5:$BM$60,O$2+1,FALSE),$I30*VLOOKUP($A30,$CD$6:$CP$60,O$2+1,FALSE))</f>
        <v>0</v>
      </c>
      <c r="P30" s="50">
        <f>IF(ISBLANK('User Interface (Start Here!)'!$L22),$I30*VLOOKUP($A30,$BA$5:$BM$60,P$2+1,FALSE),$I30*VLOOKUP($A30,$CD$6:$CP$60,P$2+1,FALSE))</f>
        <v>0</v>
      </c>
      <c r="Q30" s="50">
        <f>IF(ISBLANK('User Interface (Start Here!)'!$L22),$I30*VLOOKUP($A30,$BA$5:$BM$60,Q$2+1,FALSE),$I30*VLOOKUP($A30,$CD$6:$CP$60,Q$2+1,FALSE))</f>
        <v>4.340956493621056E-4</v>
      </c>
      <c r="R30" s="50">
        <f>IF(ISBLANK('User Interface (Start Here!)'!$L22),$I30*VLOOKUP($A30,$BA$5:$BM$60,R$2+1,FALSE),$I30*VLOOKUP($A30,$CD$6:$CP$60,R$2+1,FALSE))</f>
        <v>0</v>
      </c>
      <c r="S30" s="50">
        <f>IF(ISBLANK('User Interface (Start Here!)'!$L22),$I30*VLOOKUP($A30,$BA$5:$BM$60,S$2+1,FALSE),$I30*VLOOKUP($A30,$CD$6:$CP$60,S$2+1,FALSE))</f>
        <v>0</v>
      </c>
      <c r="T30" s="50">
        <f>IF(ISBLANK('User Interface (Start Here!)'!$L22),$I30*VLOOKUP($A30,$BA$5:$BM$60,T$2+1,FALSE),$I30*VLOOKUP($A30,$CD$6:$CP$60,T$2+1,FALSE))</f>
        <v>0</v>
      </c>
      <c r="U30" s="50">
        <f>IF(ISBLANK('User Interface (Start Here!)'!$L22),$I30*VLOOKUP($A30,$BA$5:$BM$60,U$2+1,FALSE),$I30*VLOOKUP($A30,$CD$6:$CP$60,U$2+1,FALSE))</f>
        <v>0</v>
      </c>
      <c r="V30" s="50">
        <f>IF(ISBLANK('User Interface (Start Here!)'!$L22),$I30*VLOOKUP($A30,$BA$5:$BM$60,V$2+1,FALSE),$I30*VLOOKUP($A30,$CD$6:$CP$60,V$2+1,FALSE))</f>
        <v>0</v>
      </c>
      <c r="W30" s="50">
        <f>IF(ISBLANK('User Interface (Start Here!)'!$L22),$I30*VLOOKUP($A30,$BA$5:$BM$60,W$2+1,FALSE),$I30*VLOOKUP($A30,$CD$6:$CP$60,W$2+1,FALSE))</f>
        <v>0</v>
      </c>
      <c r="X30" s="51">
        <f>IF($J30&lt;&gt;1,L30,IF(VLOOKUP($A30,'User Interface (Start Here!)'!$B$18:$N$28,X$2+1,FALSE)&lt;&gt;100%,L30-VLOOKUP($A30,'User Interface (Start Here!)'!$B$18:$N$28,X$2+1,FALSE)/'User Interface (Start Here!)'!$L$35*$K30*L30,L30-VLOOKUP($A30,'User Interface (Start Here!)'!$B$18:$N$28,X$2+1,FALSE)*$K30*L30))</f>
        <v>0</v>
      </c>
      <c r="Y30" s="52">
        <f>IF($J30&lt;&gt;1,M30,IF(VLOOKUP($A30,'User Interface (Start Here!)'!$B$18:$N$28,Y$2+1,FALSE)&lt;&gt;100%,M30-VLOOKUP($A30,'User Interface (Start Here!)'!$B$18:$N$28,Y$2+1,FALSE)/'User Interface (Start Here!)'!$L$35*$K30*M30,M30-VLOOKUP($A30,'User Interface (Start Here!)'!$B$18:$N$28,Y$2+1,FALSE)*$K30*M30))</f>
        <v>0</v>
      </c>
      <c r="Z30" s="52">
        <f>IF($J30&lt;&gt;1,N30,IF(VLOOKUP($A30,'User Interface (Start Here!)'!$B$18:$N$28,Z$2+1,FALSE)&lt;&gt;100%,N30-VLOOKUP($A30,'User Interface (Start Here!)'!$B$18:$N$28,Z$2+1,FALSE)/'User Interface (Start Here!)'!$L$35*$K30*N30,N30-VLOOKUP($A30,'User Interface (Start Here!)'!$B$18:$N$28,Z$2+1,FALSE)*$K30*N30))</f>
        <v>0</v>
      </c>
      <c r="AA30" s="52">
        <f>IF($J30&lt;&gt;1,O30,IF(VLOOKUP($A30,'User Interface (Start Here!)'!$B$18:$N$28,AA$2+1,FALSE)&lt;&gt;100%,O30-VLOOKUP($A30,'User Interface (Start Here!)'!$B$18:$N$28,AA$2+1,FALSE)/'User Interface (Start Here!)'!$L$35*$K30*O30,O30-VLOOKUP($A30,'User Interface (Start Here!)'!$B$18:$N$28,AA$2+1,FALSE)*$K30*O30))</f>
        <v>0</v>
      </c>
      <c r="AB30" s="52">
        <f>IF($J30&lt;&gt;1,P30,IF(VLOOKUP($A30,'User Interface (Start Here!)'!$B$18:$N$28,AB$2+1,FALSE)&lt;&gt;100%,P30-VLOOKUP($A30,'User Interface (Start Here!)'!$B$18:$N$28,AB$2+1,FALSE)/'User Interface (Start Here!)'!$L$35*$K30*P30,P30-VLOOKUP($A30,'User Interface (Start Here!)'!$B$18:$N$28,AB$2+1,FALSE)*$K30*P30))</f>
        <v>0</v>
      </c>
      <c r="AC30" s="52">
        <f>IF($J30&lt;&gt;1,Q30,IF(VLOOKUP($A30,'User Interface (Start Here!)'!$B$18:$N$28,AC$2+1,FALSE)&lt;&gt;100%,Q30-VLOOKUP($A30,'User Interface (Start Here!)'!$B$18:$N$28,AC$2+1,FALSE)/'User Interface (Start Here!)'!$L$35*$K30*Q30,Q30-VLOOKUP($A30,'User Interface (Start Here!)'!$B$18:$N$28,AC$2+1,FALSE)*$K30*Q30))</f>
        <v>4.340956493621056E-4</v>
      </c>
      <c r="AD30" s="52">
        <f>IF($J30&lt;&gt;1,R30,IF(VLOOKUP($A30,'User Interface (Start Here!)'!$B$18:$N$28,AD$2+1,FALSE)&lt;&gt;100%,R30-VLOOKUP($A30,'User Interface (Start Here!)'!$B$18:$N$28,AD$2+1,FALSE)/'User Interface (Start Here!)'!$L$35*$K30*R30,R30-VLOOKUP($A30,'User Interface (Start Here!)'!$B$18:$N$28,AD$2+1,FALSE)*$K30*R30))</f>
        <v>0</v>
      </c>
      <c r="AE30" s="52">
        <f>IF($J30&lt;&gt;1,S30,IF(VLOOKUP($A30,'User Interface (Start Here!)'!$B$18:$N$28,AE$2+1,FALSE)&lt;&gt;100%,S30-VLOOKUP($A30,'User Interface (Start Here!)'!$B$18:$N$28,AE$2+1,FALSE)/'User Interface (Start Here!)'!$L$35*$K30*S30,S30-VLOOKUP($A30,'User Interface (Start Here!)'!$B$18:$N$28,AE$2+1,FALSE)*$K30*S30))</f>
        <v>0</v>
      </c>
      <c r="AF30" s="52">
        <f>IF($J30&lt;&gt;1,T30,IF(VLOOKUP($A30,'User Interface (Start Here!)'!$B$18:$N$28,AF$2+1,FALSE)&lt;&gt;100%,T30-VLOOKUP($A30,'User Interface (Start Here!)'!$B$18:$N$28,AF$2+1,FALSE)/'User Interface (Start Here!)'!$L$35*$K30*T30,T30-VLOOKUP($A30,'User Interface (Start Here!)'!$B$18:$N$28,AF$2+1,FALSE)*$K30*T30))</f>
        <v>0</v>
      </c>
      <c r="AG30" s="52">
        <f>IF($J30&lt;&gt;1,U30,IF(VLOOKUP($A30,'User Interface (Start Here!)'!$B$18:$N$28,AG$2+1,FALSE)&lt;&gt;100%,U30-VLOOKUP($A30,'User Interface (Start Here!)'!$B$18:$N$28,AG$2+1,FALSE)/'User Interface (Start Here!)'!$L$35*$K30*U30,U30-VLOOKUP($A30,'User Interface (Start Here!)'!$B$18:$N$28,AG$2+1,FALSE)*$K30*U30))</f>
        <v>0</v>
      </c>
      <c r="AH30" s="52">
        <f>IF($J30&lt;&gt;1,V30,IF(VLOOKUP($A30,'User Interface (Start Here!)'!$B$18:$N$28,AH$2+1,FALSE)&lt;&gt;100%,V30-VLOOKUP($A30,'User Interface (Start Here!)'!$B$18:$N$28,AH$2+1,FALSE)/'User Interface (Start Here!)'!$L$35*$K30*V30,V30-VLOOKUP($A30,'User Interface (Start Here!)'!$B$18:$N$28,AH$2+1,FALSE)*$K30*V30))</f>
        <v>0</v>
      </c>
      <c r="AI30" s="52">
        <f>IF($J30&lt;&gt;1,W30,IF(VLOOKUP($A30,'User Interface (Start Here!)'!$B$18:$N$28,AI$2+1,FALSE)&lt;&gt;100%,W30-VLOOKUP($A30,'User Interface (Start Here!)'!$B$18:$N$28,AI$2+1,FALSE)/'User Interface (Start Here!)'!$L$35*$K30*W30,W30-VLOOKUP($A30,'User Interface (Start Here!)'!$B$18:$N$28,AI$2+1,FALSE)*$K30*W30))</f>
        <v>0</v>
      </c>
      <c r="AJ30" s="42">
        <f t="shared" si="0"/>
        <v>4.340956493621056E-4</v>
      </c>
      <c r="AL30" s="1">
        <v>3176</v>
      </c>
      <c r="AN30" s="1">
        <v>3.8849999904632566E-2</v>
      </c>
      <c r="AY30" s="1">
        <v>3.8849999904632566E-2</v>
      </c>
      <c r="BA30" s="1">
        <v>3176</v>
      </c>
      <c r="BB30" s="31">
        <f t="shared" si="13"/>
        <v>0</v>
      </c>
      <c r="BC30" s="31">
        <f t="shared" si="15"/>
        <v>1</v>
      </c>
      <c r="BD30" s="31">
        <f t="shared" si="16"/>
        <v>0</v>
      </c>
      <c r="BE30" s="31">
        <f t="shared" si="17"/>
        <v>0</v>
      </c>
      <c r="BF30" s="31">
        <f t="shared" si="18"/>
        <v>0</v>
      </c>
      <c r="BG30" s="31">
        <f t="shared" si="19"/>
        <v>0</v>
      </c>
      <c r="BH30" s="31">
        <f t="shared" si="20"/>
        <v>0</v>
      </c>
      <c r="BI30" s="31">
        <f t="shared" si="21"/>
        <v>0</v>
      </c>
      <c r="BJ30" s="31">
        <f t="shared" si="22"/>
        <v>0</v>
      </c>
      <c r="BK30" s="31">
        <f t="shared" si="23"/>
        <v>0</v>
      </c>
      <c r="BL30" s="31">
        <f t="shared" si="24"/>
        <v>0</v>
      </c>
      <c r="BM30" s="31">
        <f t="shared" si="25"/>
        <v>0</v>
      </c>
      <c r="BO30" s="1">
        <v>3176</v>
      </c>
      <c r="BQ30" s="1">
        <v>2.0491947404502465E-3</v>
      </c>
      <c r="CB30" s="1">
        <v>2.0491947404502465E-3</v>
      </c>
      <c r="CD30" s="1">
        <v>3176</v>
      </c>
      <c r="CE30" s="31">
        <f t="shared" si="14"/>
        <v>0</v>
      </c>
      <c r="CF30" s="31">
        <f t="shared" si="2"/>
        <v>1</v>
      </c>
      <c r="CG30" s="31">
        <f t="shared" si="3"/>
        <v>0</v>
      </c>
      <c r="CH30" s="31">
        <f t="shared" si="4"/>
        <v>0</v>
      </c>
      <c r="CI30" s="31">
        <f t="shared" si="5"/>
        <v>0</v>
      </c>
      <c r="CJ30" s="31">
        <f t="shared" si="6"/>
        <v>0</v>
      </c>
      <c r="CK30" s="31">
        <f t="shared" si="7"/>
        <v>0</v>
      </c>
      <c r="CL30" s="31">
        <f t="shared" si="8"/>
        <v>0</v>
      </c>
      <c r="CM30" s="31">
        <f t="shared" si="9"/>
        <v>0</v>
      </c>
      <c r="CN30" s="31">
        <f t="shared" si="10"/>
        <v>0</v>
      </c>
      <c r="CO30" s="31">
        <f t="shared" si="11"/>
        <v>0</v>
      </c>
      <c r="CP30" s="31">
        <f t="shared" si="12"/>
        <v>0</v>
      </c>
    </row>
    <row r="31" spans="1:94">
      <c r="A31" s="28">
        <v>3276</v>
      </c>
      <c r="B31" s="29">
        <v>0</v>
      </c>
      <c r="C31" s="29">
        <v>0</v>
      </c>
      <c r="D31" s="22">
        <v>0</v>
      </c>
      <c r="E31" s="22">
        <v>0</v>
      </c>
      <c r="G31" s="29">
        <f>IF(ISBLANK('User Interface (Start Here!)'!$L$4),commercial!B31,commercial!C31)</f>
        <v>0</v>
      </c>
      <c r="H31" s="22">
        <f>IF(ISBLANK('User Interface (Start Here!)'!$L$4),commercial!D31,commercial!E31)</f>
        <v>0</v>
      </c>
      <c r="I31" s="40">
        <f>(G31+H31)*'User Interface (Start Here!)'!$L$10</f>
        <v>0</v>
      </c>
      <c r="J31" s="2">
        <f>IF(VLOOKUP(A31,'User Interface (Start Here!)'!$DO$2:$DP$73,2,FALSE)&lt;&gt;0,1,0)</f>
        <v>0</v>
      </c>
      <c r="K31" s="41">
        <f>IF(AND(J31=1,ISBLANK('User Interface (Start Here!)'!$L$14),ISBLANK('User Interface (Start Here!)'!$M$14),ISBLANK('User Interface (Start Here!)'!$N$14)),100%*'User Interface (Start Here!)'!$L$30,IF(J31=1,VLOOKUP(A31,'Bathymetric Closures'!$A$2:$C$57,3,FALSE)*'User Interface (Start Here!)'!$L$30,0%))</f>
        <v>0</v>
      </c>
      <c r="L31" s="50">
        <f>IF(ISBLANK('User Interface (Start Here!)'!#REF!),$I31*VLOOKUP($A31,$BA$5:$BM$60,L$2+1,FALSE),$I31*VLOOKUP($A31,$CD$6:$CP$60,L$2+1,FALSE))</f>
        <v>0</v>
      </c>
      <c r="M31" s="50">
        <f>IF(ISBLANK('User Interface (Start Here!)'!#REF!),$I31*VLOOKUP($A31,$BA$5:$BM$60,M$2+1,FALSE),$I31*VLOOKUP($A31,$CD$6:$CP$60,M$2+1,FALSE))</f>
        <v>0</v>
      </c>
      <c r="N31" s="50">
        <f>IF(ISBLANK('User Interface (Start Here!)'!#REF!),$I31*VLOOKUP($A31,$BA$5:$BM$60,N$2+1,FALSE),$I31*VLOOKUP($A31,$CD$6:$CP$60,N$2+1,FALSE))</f>
        <v>0</v>
      </c>
      <c r="O31" s="50">
        <f>IF(ISBLANK('User Interface (Start Here!)'!#REF!),$I31*VLOOKUP($A31,$BA$5:$BM$60,O$2+1,FALSE),$I31*VLOOKUP($A31,$CD$6:$CP$60,O$2+1,FALSE))</f>
        <v>0</v>
      </c>
      <c r="P31" s="50">
        <f>IF(ISBLANK('User Interface (Start Here!)'!#REF!),$I31*VLOOKUP($A31,$BA$5:$BM$60,P$2+1,FALSE),$I31*VLOOKUP($A31,$CD$6:$CP$60,P$2+1,FALSE))</f>
        <v>0</v>
      </c>
      <c r="Q31" s="50">
        <f>IF(ISBLANK('User Interface (Start Here!)'!#REF!),$I31*VLOOKUP($A31,$BA$5:$BM$60,Q$2+1,FALSE),$I31*VLOOKUP($A31,$CD$6:$CP$60,Q$2+1,FALSE))</f>
        <v>0</v>
      </c>
      <c r="R31" s="50">
        <f>IF(ISBLANK('User Interface (Start Here!)'!#REF!),$I31*VLOOKUP($A31,$BA$5:$BM$60,R$2+1,FALSE),$I31*VLOOKUP($A31,$CD$6:$CP$60,R$2+1,FALSE))</f>
        <v>0</v>
      </c>
      <c r="S31" s="50">
        <f>IF(ISBLANK('User Interface (Start Here!)'!#REF!),$I31*VLOOKUP($A31,$BA$5:$BM$60,S$2+1,FALSE),$I31*VLOOKUP($A31,$CD$6:$CP$60,S$2+1,FALSE))</f>
        <v>0</v>
      </c>
      <c r="T31" s="50">
        <f>IF(ISBLANK('User Interface (Start Here!)'!#REF!),$I31*VLOOKUP($A31,$BA$5:$BM$60,T$2+1,FALSE),$I31*VLOOKUP($A31,$CD$6:$CP$60,T$2+1,FALSE))</f>
        <v>0</v>
      </c>
      <c r="U31" s="50">
        <f>IF(ISBLANK('User Interface (Start Here!)'!#REF!),$I31*VLOOKUP($A31,$BA$5:$BM$60,U$2+1,FALSE),$I31*VLOOKUP($A31,$CD$6:$CP$60,U$2+1,FALSE))</f>
        <v>0</v>
      </c>
      <c r="V31" s="50">
        <f>IF(ISBLANK('User Interface (Start Here!)'!#REF!),$I31*VLOOKUP($A31,$BA$5:$BM$60,V$2+1,FALSE),$I31*VLOOKUP($A31,$CD$6:$CP$60,V$2+1,FALSE))</f>
        <v>0</v>
      </c>
      <c r="W31" s="50">
        <f>IF(ISBLANK('User Interface (Start Here!)'!#REF!),$I31*VLOOKUP($A31,$BA$5:$BM$60,W$2+1,FALSE),$I31*VLOOKUP($A31,$CD$6:$CP$60,W$2+1,FALSE))</f>
        <v>0</v>
      </c>
      <c r="X31" s="51">
        <f>IF($J31&lt;&gt;1,L31,IF(VLOOKUP($A31,'User Interface (Start Here!)'!$B$18:$N$28,X$2+1,FALSE)&lt;&gt;100%,L31-VLOOKUP($A31,'User Interface (Start Here!)'!$B$18:$N$28,X$2+1,FALSE)/'User Interface (Start Here!)'!$L$35*$K31*L31,L31-VLOOKUP($A31,'User Interface (Start Here!)'!$B$18:$N$28,X$2+1,FALSE)*$K31*L31))</f>
        <v>0</v>
      </c>
      <c r="Y31" s="52">
        <f>IF($J31&lt;&gt;1,M31,IF(VLOOKUP($A31,'User Interface (Start Here!)'!$B$18:$N$28,Y$2+1,FALSE)&lt;&gt;100%,M31-VLOOKUP($A31,'User Interface (Start Here!)'!$B$18:$N$28,Y$2+1,FALSE)/'User Interface (Start Here!)'!$L$35*$K31*M31,M31-VLOOKUP($A31,'User Interface (Start Here!)'!$B$18:$N$28,Y$2+1,FALSE)*$K31*M31))</f>
        <v>0</v>
      </c>
      <c r="Z31" s="52">
        <f>IF($J31&lt;&gt;1,N31,IF(VLOOKUP($A31,'User Interface (Start Here!)'!$B$18:$N$28,Z$2+1,FALSE)&lt;&gt;100%,N31-VLOOKUP($A31,'User Interface (Start Here!)'!$B$18:$N$28,Z$2+1,FALSE)/'User Interface (Start Here!)'!$L$35*$K31*N31,N31-VLOOKUP($A31,'User Interface (Start Here!)'!$B$18:$N$28,Z$2+1,FALSE)*$K31*N31))</f>
        <v>0</v>
      </c>
      <c r="AA31" s="52">
        <f>IF($J31&lt;&gt;1,O31,IF(VLOOKUP($A31,'User Interface (Start Here!)'!$B$18:$N$28,AA$2+1,FALSE)&lt;&gt;100%,O31-VLOOKUP($A31,'User Interface (Start Here!)'!$B$18:$N$28,AA$2+1,FALSE)/'User Interface (Start Here!)'!$L$35*$K31*O31,O31-VLOOKUP($A31,'User Interface (Start Here!)'!$B$18:$N$28,AA$2+1,FALSE)*$K31*O31))</f>
        <v>0</v>
      </c>
      <c r="AB31" s="52">
        <f>IF($J31&lt;&gt;1,P31,IF(VLOOKUP($A31,'User Interface (Start Here!)'!$B$18:$N$28,AB$2+1,FALSE)&lt;&gt;100%,P31-VLOOKUP($A31,'User Interface (Start Here!)'!$B$18:$N$28,AB$2+1,FALSE)/'User Interface (Start Here!)'!$L$35*$K31*P31,P31-VLOOKUP($A31,'User Interface (Start Here!)'!$B$18:$N$28,AB$2+1,FALSE)*$K31*P31))</f>
        <v>0</v>
      </c>
      <c r="AC31" s="52">
        <f>IF($J31&lt;&gt;1,Q31,IF(VLOOKUP($A31,'User Interface (Start Here!)'!$B$18:$N$28,AC$2+1,FALSE)&lt;&gt;100%,Q31-VLOOKUP($A31,'User Interface (Start Here!)'!$B$18:$N$28,AC$2+1,FALSE)/'User Interface (Start Here!)'!$L$35*$K31*Q31,Q31-VLOOKUP($A31,'User Interface (Start Here!)'!$B$18:$N$28,AC$2+1,FALSE)*$K31*Q31))</f>
        <v>0</v>
      </c>
      <c r="AD31" s="52">
        <f>IF($J31&lt;&gt;1,R31,IF(VLOOKUP($A31,'User Interface (Start Here!)'!$B$18:$N$28,AD$2+1,FALSE)&lt;&gt;100%,R31-VLOOKUP($A31,'User Interface (Start Here!)'!$B$18:$N$28,AD$2+1,FALSE)/'User Interface (Start Here!)'!$L$35*$K31*R31,R31-VLOOKUP($A31,'User Interface (Start Here!)'!$B$18:$N$28,AD$2+1,FALSE)*$K31*R31))</f>
        <v>0</v>
      </c>
      <c r="AE31" s="52">
        <f>IF($J31&lt;&gt;1,S31,IF(VLOOKUP($A31,'User Interface (Start Here!)'!$B$18:$N$28,AE$2+1,FALSE)&lt;&gt;100%,S31-VLOOKUP($A31,'User Interface (Start Here!)'!$B$18:$N$28,AE$2+1,FALSE)/'User Interface (Start Here!)'!$L$35*$K31*S31,S31-VLOOKUP($A31,'User Interface (Start Here!)'!$B$18:$N$28,AE$2+1,FALSE)*$K31*S31))</f>
        <v>0</v>
      </c>
      <c r="AF31" s="52">
        <f>IF($J31&lt;&gt;1,T31,IF(VLOOKUP($A31,'User Interface (Start Here!)'!$B$18:$N$28,AF$2+1,FALSE)&lt;&gt;100%,T31-VLOOKUP($A31,'User Interface (Start Here!)'!$B$18:$N$28,AF$2+1,FALSE)/'User Interface (Start Here!)'!$L$35*$K31*T31,T31-VLOOKUP($A31,'User Interface (Start Here!)'!$B$18:$N$28,AF$2+1,FALSE)*$K31*T31))</f>
        <v>0</v>
      </c>
      <c r="AG31" s="52">
        <f>IF($J31&lt;&gt;1,U31,IF(VLOOKUP($A31,'User Interface (Start Here!)'!$B$18:$N$28,AG$2+1,FALSE)&lt;&gt;100%,U31-VLOOKUP($A31,'User Interface (Start Here!)'!$B$18:$N$28,AG$2+1,FALSE)/'User Interface (Start Here!)'!$L$35*$K31*U31,U31-VLOOKUP($A31,'User Interface (Start Here!)'!$B$18:$N$28,AG$2+1,FALSE)*$K31*U31))</f>
        <v>0</v>
      </c>
      <c r="AH31" s="52">
        <f>IF($J31&lt;&gt;1,V31,IF(VLOOKUP($A31,'User Interface (Start Here!)'!$B$18:$N$28,AH$2+1,FALSE)&lt;&gt;100%,V31-VLOOKUP($A31,'User Interface (Start Here!)'!$B$18:$N$28,AH$2+1,FALSE)/'User Interface (Start Here!)'!$L$35*$K31*V31,V31-VLOOKUP($A31,'User Interface (Start Here!)'!$B$18:$N$28,AH$2+1,FALSE)*$K31*V31))</f>
        <v>0</v>
      </c>
      <c r="AI31" s="52">
        <f>IF($J31&lt;&gt;1,W31,IF(VLOOKUP($A31,'User Interface (Start Here!)'!$B$18:$N$28,AI$2+1,FALSE)&lt;&gt;100%,W31-VLOOKUP($A31,'User Interface (Start Here!)'!$B$18:$N$28,AI$2+1,FALSE)/'User Interface (Start Here!)'!$L$35*$K31*W31,W31-VLOOKUP($A31,'User Interface (Start Here!)'!$B$18:$N$28,AI$2+1,FALSE)*$K31*W31))</f>
        <v>0</v>
      </c>
      <c r="AJ31" s="42">
        <f t="shared" si="0"/>
        <v>0</v>
      </c>
      <c r="AL31" s="1">
        <v>3177</v>
      </c>
      <c r="AM31" s="1">
        <v>0.63713999986648562</v>
      </c>
      <c r="AN31" s="1">
        <v>0</v>
      </c>
      <c r="AO31" s="1">
        <v>0.13763999995589257</v>
      </c>
      <c r="AP31" s="1">
        <v>0.15761999955773354</v>
      </c>
      <c r="AQ31" s="1">
        <v>0.5905199995040894</v>
      </c>
      <c r="AR31" s="1">
        <v>0.5627699989229441</v>
      </c>
      <c r="AS31" s="1">
        <v>7.103999990224838E-2</v>
      </c>
      <c r="AT31" s="1">
        <v>0.111</v>
      </c>
      <c r="AY31" s="1">
        <v>2.2677299977093939</v>
      </c>
      <c r="BA31" s="1">
        <v>3177</v>
      </c>
      <c r="BB31" s="31">
        <f t="shared" si="13"/>
        <v>0.28095937369530449</v>
      </c>
      <c r="BC31" s="31">
        <f t="shared" si="15"/>
        <v>0</v>
      </c>
      <c r="BD31" s="31">
        <f t="shared" si="16"/>
        <v>6.0695056331627237E-2</v>
      </c>
      <c r="BE31" s="31">
        <f t="shared" si="17"/>
        <v>6.950562885217533E-2</v>
      </c>
      <c r="BF31" s="31">
        <f t="shared" si="18"/>
        <v>0.26040137057787582</v>
      </c>
      <c r="BG31" s="31">
        <f t="shared" si="19"/>
        <v>0.24816446379921381</v>
      </c>
      <c r="BH31" s="31">
        <f t="shared" si="20"/>
        <v>3.1326480654224713E-2</v>
      </c>
      <c r="BI31" s="31">
        <f t="shared" si="21"/>
        <v>4.894762608957845E-2</v>
      </c>
      <c r="BJ31" s="31">
        <f t="shared" si="22"/>
        <v>0</v>
      </c>
      <c r="BK31" s="31">
        <f t="shared" si="23"/>
        <v>0</v>
      </c>
      <c r="BL31" s="31">
        <f t="shared" si="24"/>
        <v>0</v>
      </c>
      <c r="BM31" s="31">
        <f t="shared" si="25"/>
        <v>0</v>
      </c>
      <c r="BO31" s="1">
        <v>3177</v>
      </c>
      <c r="BP31" s="1">
        <v>0.63713999986648562</v>
      </c>
      <c r="BQ31" s="1">
        <v>0</v>
      </c>
      <c r="BR31" s="1">
        <v>0.13763999995589257</v>
      </c>
      <c r="BS31" s="1">
        <v>0.14318999958038331</v>
      </c>
      <c r="BT31" s="1">
        <v>0.5905199995040894</v>
      </c>
      <c r="BU31" s="1">
        <v>0.54611999894678598</v>
      </c>
      <c r="BV31" s="1">
        <v>7.103999990224838E-2</v>
      </c>
      <c r="BW31" s="1">
        <v>0.111</v>
      </c>
      <c r="CB31" s="1">
        <v>2.2366499977558858</v>
      </c>
      <c r="CD31" s="1">
        <v>3177</v>
      </c>
      <c r="CE31" s="31">
        <f t="shared" si="14"/>
        <v>0.28486352379932128</v>
      </c>
      <c r="CF31" s="31">
        <f t="shared" si="2"/>
        <v>0</v>
      </c>
      <c r="CG31" s="31">
        <f t="shared" si="3"/>
        <v>6.1538461580485058E-2</v>
      </c>
      <c r="CH31" s="31">
        <f t="shared" si="4"/>
        <v>6.4019850993249347E-2</v>
      </c>
      <c r="CI31" s="31">
        <f t="shared" si="5"/>
        <v>0.26401985115980603</v>
      </c>
      <c r="CJ31" s="31">
        <f t="shared" si="6"/>
        <v>0.24416873426540966</v>
      </c>
      <c r="CK31" s="31">
        <f t="shared" si="7"/>
        <v>3.176178658865958E-2</v>
      </c>
      <c r="CL31" s="31">
        <f t="shared" si="8"/>
        <v>4.9627791613068843E-2</v>
      </c>
      <c r="CM31" s="31">
        <f t="shared" si="9"/>
        <v>0</v>
      </c>
      <c r="CN31" s="31">
        <f t="shared" si="10"/>
        <v>0</v>
      </c>
      <c r="CO31" s="31">
        <f t="shared" si="11"/>
        <v>0</v>
      </c>
      <c r="CP31" s="31">
        <f t="shared" si="12"/>
        <v>0</v>
      </c>
    </row>
    <row r="32" spans="1:94">
      <c r="A32" s="28">
        <v>3277</v>
      </c>
      <c r="B32" s="29">
        <v>0.36320385874531119</v>
      </c>
      <c r="C32" s="29">
        <v>0.23242180461418871</v>
      </c>
      <c r="D32" s="22">
        <v>8.6351480047820423E-2</v>
      </c>
      <c r="E32" s="22">
        <v>5.5258132149675655E-2</v>
      </c>
      <c r="G32" s="29">
        <f>IF(ISBLANK('User Interface (Start Here!)'!$L$4),commercial!B32,commercial!C32)</f>
        <v>0.23242180461418871</v>
      </c>
      <c r="H32" s="22">
        <f>IF(ISBLANK('User Interface (Start Here!)'!$L$4),commercial!D32,commercial!E32)</f>
        <v>5.5258132149675655E-2</v>
      </c>
      <c r="I32" s="40">
        <f>(G32+H32)*'User Interface (Start Here!)'!$L$10</f>
        <v>0.25891194308747795</v>
      </c>
      <c r="J32" s="2">
        <f>IF(VLOOKUP(A32,'User Interface (Start Here!)'!$DO$2:$DP$73,2,FALSE)&lt;&gt;0,1,0)</f>
        <v>0</v>
      </c>
      <c r="K32" s="41">
        <f>IF(AND(J32=1,ISBLANK('User Interface (Start Here!)'!$L$14),ISBLANK('User Interface (Start Here!)'!$M$14),ISBLANK('User Interface (Start Here!)'!$N$14)),100%*'User Interface (Start Here!)'!$L$30,IF(J32=1,VLOOKUP(A32,'Bathymetric Closures'!$A$2:$C$57,3,FALSE)*'User Interface (Start Here!)'!$L$30,0%))</f>
        <v>0</v>
      </c>
      <c r="L32" s="50">
        <f>IF(ISBLANK('User Interface (Start Here!)'!#REF!),$I32*VLOOKUP($A32,$BA$5:$BM$60,L$2+1,FALSE),$I32*VLOOKUP($A32,$CD$6:$CP$60,L$2+1,FALSE))</f>
        <v>9.4397318735418307E-3</v>
      </c>
      <c r="M32" s="50">
        <f>IF(ISBLANK('User Interface (Start Here!)'!#REF!),$I32*VLOOKUP($A32,$BA$5:$BM$60,M$2+1,FALSE),$I32*VLOOKUP($A32,$CD$6:$CP$60,M$2+1,FALSE))</f>
        <v>5.8998324209636431E-3</v>
      </c>
      <c r="N32" s="50">
        <f>IF(ISBLANK('User Interface (Start Here!)'!#REF!),$I32*VLOOKUP($A32,$BA$5:$BM$60,N$2+1,FALSE),$I32*VLOOKUP($A32,$CD$6:$CP$60,N$2+1,FALSE))</f>
        <v>1.8879463747083661E-2</v>
      </c>
      <c r="O32" s="50">
        <f>IF(ISBLANK('User Interface (Start Here!)'!#REF!),$I32*VLOOKUP($A32,$BA$5:$BM$60,O$2+1,FALSE),$I32*VLOOKUP($A32,$CD$6:$CP$60,O$2+1,FALSE))</f>
        <v>1.3569614560296168E-2</v>
      </c>
      <c r="P32" s="50">
        <f>IF(ISBLANK('User Interface (Start Here!)'!#REF!),$I32*VLOOKUP($A32,$BA$5:$BM$60,P$2+1,FALSE),$I32*VLOOKUP($A32,$CD$6:$CP$60,P$2+1,FALSE))</f>
        <v>0.10324706735894355</v>
      </c>
      <c r="Q32" s="50">
        <f>IF(ISBLANK('User Interface (Start Here!)'!#REF!),$I32*VLOOKUP($A32,$BA$5:$BM$60,Q$2+1,FALSE),$I32*VLOOKUP($A32,$CD$6:$CP$60,Q$2+1,FALSE))</f>
        <v>0</v>
      </c>
      <c r="R32" s="50">
        <f>IF(ISBLANK('User Interface (Start Here!)'!#REF!),$I32*VLOOKUP($A32,$BA$5:$BM$60,R$2+1,FALSE),$I32*VLOOKUP($A32,$CD$6:$CP$60,R$2+1,FALSE))</f>
        <v>7.9350741113497714E-2</v>
      </c>
      <c r="S32" s="50">
        <f>IF(ISBLANK('User Interface (Start Here!)'!#REF!),$I32*VLOOKUP($A32,$BA$5:$BM$60,S$2+1,FALSE),$I32*VLOOKUP($A32,$CD$6:$CP$60,S$2+1,FALSE))</f>
        <v>9.6460282819081089E-3</v>
      </c>
      <c r="T32" s="50">
        <f>IF(ISBLANK('User Interface (Start Here!)'!#REF!),$I32*VLOOKUP($A32,$BA$5:$BM$60,T$2+1,FALSE),$I32*VLOOKUP($A32,$CD$6:$CP$60,T$2+1,FALSE))</f>
        <v>1.8879463731243232E-2</v>
      </c>
      <c r="U32" s="50">
        <f>IF(ISBLANK('User Interface (Start Here!)'!#REF!),$I32*VLOOKUP($A32,$BA$5:$BM$60,U$2+1,FALSE),$I32*VLOOKUP($A32,$CD$6:$CP$60,U$2+1,FALSE))</f>
        <v>0</v>
      </c>
      <c r="V32" s="50">
        <f>IF(ISBLANK('User Interface (Start Here!)'!#REF!),$I32*VLOOKUP($A32,$BA$5:$BM$60,V$2+1,FALSE),$I32*VLOOKUP($A32,$CD$6:$CP$60,V$2+1,FALSE))</f>
        <v>0</v>
      </c>
      <c r="W32" s="50">
        <f>IF(ISBLANK('User Interface (Start Here!)'!#REF!),$I32*VLOOKUP($A32,$BA$5:$BM$60,W$2+1,FALSE),$I32*VLOOKUP($A32,$CD$6:$CP$60,W$2+1,FALSE))</f>
        <v>0</v>
      </c>
      <c r="X32" s="51">
        <f>IF($J32&lt;&gt;1,L32,IF(VLOOKUP($A32,'User Interface (Start Here!)'!$B$18:$N$28,X$2+1,FALSE)&lt;&gt;100%,L32-VLOOKUP($A32,'User Interface (Start Here!)'!$B$18:$N$28,X$2+1,FALSE)/'User Interface (Start Here!)'!$L$35*$K32*L32,L32-VLOOKUP($A32,'User Interface (Start Here!)'!$B$18:$N$28,X$2+1,FALSE)*$K32*L32))</f>
        <v>9.4397318735418307E-3</v>
      </c>
      <c r="Y32" s="52">
        <f>IF($J32&lt;&gt;1,M32,IF(VLOOKUP($A32,'User Interface (Start Here!)'!$B$18:$N$28,Y$2+1,FALSE)&lt;&gt;100%,M32-VLOOKUP($A32,'User Interface (Start Here!)'!$B$18:$N$28,Y$2+1,FALSE)/'User Interface (Start Here!)'!$L$35*$K32*M32,M32-VLOOKUP($A32,'User Interface (Start Here!)'!$B$18:$N$28,Y$2+1,FALSE)*$K32*M32))</f>
        <v>5.8998324209636431E-3</v>
      </c>
      <c r="Z32" s="52">
        <f>IF($J32&lt;&gt;1,N32,IF(VLOOKUP($A32,'User Interface (Start Here!)'!$B$18:$N$28,Z$2+1,FALSE)&lt;&gt;100%,N32-VLOOKUP($A32,'User Interface (Start Here!)'!$B$18:$N$28,Z$2+1,FALSE)/'User Interface (Start Here!)'!$L$35*$K32*N32,N32-VLOOKUP($A32,'User Interface (Start Here!)'!$B$18:$N$28,Z$2+1,FALSE)*$K32*N32))</f>
        <v>1.8879463747083661E-2</v>
      </c>
      <c r="AA32" s="52">
        <f>IF($J32&lt;&gt;1,O32,IF(VLOOKUP($A32,'User Interface (Start Here!)'!$B$18:$N$28,AA$2+1,FALSE)&lt;&gt;100%,O32-VLOOKUP($A32,'User Interface (Start Here!)'!$B$18:$N$28,AA$2+1,FALSE)/'User Interface (Start Here!)'!$L$35*$K32*O32,O32-VLOOKUP($A32,'User Interface (Start Here!)'!$B$18:$N$28,AA$2+1,FALSE)*$K32*O32))</f>
        <v>1.3569614560296168E-2</v>
      </c>
      <c r="AB32" s="52">
        <f>IF($J32&lt;&gt;1,P32,IF(VLOOKUP($A32,'User Interface (Start Here!)'!$B$18:$N$28,AB$2+1,FALSE)&lt;&gt;100%,P32-VLOOKUP($A32,'User Interface (Start Here!)'!$B$18:$N$28,AB$2+1,FALSE)/'User Interface (Start Here!)'!$L$35*$K32*P32,P32-VLOOKUP($A32,'User Interface (Start Here!)'!$B$18:$N$28,AB$2+1,FALSE)*$K32*P32))</f>
        <v>0.10324706735894355</v>
      </c>
      <c r="AC32" s="52">
        <f>IF($J32&lt;&gt;1,Q32,IF(VLOOKUP($A32,'User Interface (Start Here!)'!$B$18:$N$28,AC$2+1,FALSE)&lt;&gt;100%,Q32-VLOOKUP($A32,'User Interface (Start Here!)'!$B$18:$N$28,AC$2+1,FALSE)/'User Interface (Start Here!)'!$L$35*$K32*Q32,Q32-VLOOKUP($A32,'User Interface (Start Here!)'!$B$18:$N$28,AC$2+1,FALSE)*$K32*Q32))</f>
        <v>0</v>
      </c>
      <c r="AD32" s="52">
        <f>IF($J32&lt;&gt;1,R32,IF(VLOOKUP($A32,'User Interface (Start Here!)'!$B$18:$N$28,AD$2+1,FALSE)&lt;&gt;100%,R32-VLOOKUP($A32,'User Interface (Start Here!)'!$B$18:$N$28,AD$2+1,FALSE)/'User Interface (Start Here!)'!$L$35*$K32*R32,R32-VLOOKUP($A32,'User Interface (Start Here!)'!$B$18:$N$28,AD$2+1,FALSE)*$K32*R32))</f>
        <v>7.9350741113497714E-2</v>
      </c>
      <c r="AE32" s="52">
        <f>IF($J32&lt;&gt;1,S32,IF(VLOOKUP($A32,'User Interface (Start Here!)'!$B$18:$N$28,AE$2+1,FALSE)&lt;&gt;100%,S32-VLOOKUP($A32,'User Interface (Start Here!)'!$B$18:$N$28,AE$2+1,FALSE)/'User Interface (Start Here!)'!$L$35*$K32*S32,S32-VLOOKUP($A32,'User Interface (Start Here!)'!$B$18:$N$28,AE$2+1,FALSE)*$K32*S32))</f>
        <v>9.6460282819081089E-3</v>
      </c>
      <c r="AF32" s="52">
        <f>IF($J32&lt;&gt;1,T32,IF(VLOOKUP($A32,'User Interface (Start Here!)'!$B$18:$N$28,AF$2+1,FALSE)&lt;&gt;100%,T32-VLOOKUP($A32,'User Interface (Start Here!)'!$B$18:$N$28,AF$2+1,FALSE)/'User Interface (Start Here!)'!$L$35*$K32*T32,T32-VLOOKUP($A32,'User Interface (Start Here!)'!$B$18:$N$28,AF$2+1,FALSE)*$K32*T32))</f>
        <v>1.8879463731243232E-2</v>
      </c>
      <c r="AG32" s="52">
        <f>IF($J32&lt;&gt;1,U32,IF(VLOOKUP($A32,'User Interface (Start Here!)'!$B$18:$N$28,AG$2+1,FALSE)&lt;&gt;100%,U32-VLOOKUP($A32,'User Interface (Start Here!)'!$B$18:$N$28,AG$2+1,FALSE)/'User Interface (Start Here!)'!$L$35*$K32*U32,U32-VLOOKUP($A32,'User Interface (Start Here!)'!$B$18:$N$28,AG$2+1,FALSE)*$K32*U32))</f>
        <v>0</v>
      </c>
      <c r="AH32" s="52">
        <f>IF($J32&lt;&gt;1,V32,IF(VLOOKUP($A32,'User Interface (Start Here!)'!$B$18:$N$28,AH$2+1,FALSE)&lt;&gt;100%,V32-VLOOKUP($A32,'User Interface (Start Here!)'!$B$18:$N$28,AH$2+1,FALSE)/'User Interface (Start Here!)'!$L$35*$K32*V32,V32-VLOOKUP($A32,'User Interface (Start Here!)'!$B$18:$N$28,AH$2+1,FALSE)*$K32*V32))</f>
        <v>0</v>
      </c>
      <c r="AI32" s="52">
        <f>IF($J32&lt;&gt;1,W32,IF(VLOOKUP($A32,'User Interface (Start Here!)'!$B$18:$N$28,AI$2+1,FALSE)&lt;&gt;100%,W32-VLOOKUP($A32,'User Interface (Start Here!)'!$B$18:$N$28,AI$2+1,FALSE)/'User Interface (Start Here!)'!$L$35*$K32*W32,W32-VLOOKUP($A32,'User Interface (Start Here!)'!$B$18:$N$28,AI$2+1,FALSE)*$K32*W32))</f>
        <v>0</v>
      </c>
      <c r="AJ32" s="42">
        <f t="shared" si="0"/>
        <v>0.25891194308747789</v>
      </c>
      <c r="AL32" s="1">
        <v>3178</v>
      </c>
      <c r="AM32" s="1">
        <v>0.1409699998497963</v>
      </c>
      <c r="AN32" s="1">
        <v>0.15539999997615814</v>
      </c>
      <c r="AO32" s="1">
        <v>0</v>
      </c>
      <c r="AP32" s="1">
        <v>1.2209999978542328E-2</v>
      </c>
      <c r="AR32" s="1">
        <v>0.11876999986171723</v>
      </c>
      <c r="AS32" s="1">
        <v>9.1019999980926511E-2</v>
      </c>
      <c r="AT32" s="1">
        <v>2.9969999969005585E-2</v>
      </c>
      <c r="AU32" s="1">
        <v>0</v>
      </c>
      <c r="AY32" s="1">
        <v>0.5483399996161461</v>
      </c>
      <c r="BA32" s="1">
        <v>3178</v>
      </c>
      <c r="BB32" s="31">
        <f t="shared" si="13"/>
        <v>0.25708502014895757</v>
      </c>
      <c r="BC32" s="31">
        <f t="shared" si="15"/>
        <v>0.2834008098715079</v>
      </c>
      <c r="BD32" s="31">
        <f t="shared" si="16"/>
        <v>0</v>
      </c>
      <c r="BE32" s="31">
        <f t="shared" si="17"/>
        <v>2.2267206454188428E-2</v>
      </c>
      <c r="BF32" s="31">
        <f t="shared" si="18"/>
        <v>0</v>
      </c>
      <c r="BG32" s="31">
        <f t="shared" si="19"/>
        <v>0.21659919018284216</v>
      </c>
      <c r="BH32" s="31">
        <f t="shared" si="20"/>
        <v>0.16599190291542318</v>
      </c>
      <c r="BI32" s="31">
        <f t="shared" si="21"/>
        <v>5.4655870427080741E-2</v>
      </c>
      <c r="BJ32" s="31">
        <f t="shared" si="22"/>
        <v>0</v>
      </c>
      <c r="BK32" s="31">
        <f t="shared" si="23"/>
        <v>0</v>
      </c>
      <c r="BL32" s="31">
        <f t="shared" si="24"/>
        <v>0</v>
      </c>
      <c r="BM32" s="31">
        <f t="shared" si="25"/>
        <v>0</v>
      </c>
      <c r="BO32" s="1">
        <v>3178</v>
      </c>
      <c r="BP32" s="1">
        <v>0.1409699998497963</v>
      </c>
      <c r="BQ32" s="1">
        <v>0.15539999997615814</v>
      </c>
      <c r="BR32" s="1">
        <v>0</v>
      </c>
      <c r="BS32" s="1">
        <v>1.2209999978542328E-2</v>
      </c>
      <c r="BU32" s="1">
        <v>5.2169999957084656E-2</v>
      </c>
      <c r="BV32" s="1">
        <v>0</v>
      </c>
      <c r="BW32" s="1">
        <v>2.9969999969005585E-2</v>
      </c>
      <c r="BX32" s="1">
        <v>0</v>
      </c>
      <c r="CB32" s="1">
        <v>0.39071999973058702</v>
      </c>
      <c r="CD32" s="1">
        <v>3178</v>
      </c>
      <c r="CE32" s="31">
        <f t="shared" si="14"/>
        <v>0.3607954544098057</v>
      </c>
      <c r="CF32" s="31">
        <f t="shared" si="2"/>
        <v>0.39772727294049709</v>
      </c>
      <c r="CG32" s="31">
        <f t="shared" si="3"/>
        <v>0</v>
      </c>
      <c r="CH32" s="31">
        <f t="shared" si="4"/>
        <v>3.1249999966629513E-2</v>
      </c>
      <c r="CI32" s="31">
        <f t="shared" si="5"/>
        <v>0</v>
      </c>
      <c r="CJ32" s="31">
        <f t="shared" si="6"/>
        <v>0.13352272725495856</v>
      </c>
      <c r="CK32" s="31">
        <f t="shared" si="7"/>
        <v>0</v>
      </c>
      <c r="CL32" s="31">
        <f t="shared" si="8"/>
        <v>7.6704545428109089E-2</v>
      </c>
      <c r="CM32" s="31">
        <f t="shared" si="9"/>
        <v>0</v>
      </c>
      <c r="CN32" s="31">
        <f t="shared" si="10"/>
        <v>0</v>
      </c>
      <c r="CO32" s="31">
        <f t="shared" si="11"/>
        <v>0</v>
      </c>
      <c r="CP32" s="31">
        <f t="shared" si="12"/>
        <v>0</v>
      </c>
    </row>
    <row r="33" spans="1:94">
      <c r="A33" s="28">
        <v>3278</v>
      </c>
      <c r="B33" s="29">
        <v>7.6211707089386076</v>
      </c>
      <c r="C33" s="29">
        <v>5.194944507817735</v>
      </c>
      <c r="D33" s="22">
        <v>1.8119283552970824</v>
      </c>
      <c r="E33" s="22">
        <v>1.2350946616206582</v>
      </c>
      <c r="G33" s="29">
        <f>IF(ISBLANK('User Interface (Start Here!)'!$L$4),commercial!B33,commercial!C33)</f>
        <v>5.194944507817735</v>
      </c>
      <c r="H33" s="22">
        <f>IF(ISBLANK('User Interface (Start Here!)'!$L$4),commercial!D33,commercial!E33)</f>
        <v>1.2350946616206582</v>
      </c>
      <c r="I33" s="40">
        <f>(G33+H33)*'User Interface (Start Here!)'!$L$10</f>
        <v>5.7870352524945536</v>
      </c>
      <c r="J33" s="2">
        <f>IF(VLOOKUP(A33,'User Interface (Start Here!)'!$DO$2:$DP$73,2,FALSE)&lt;&gt;0,1,0)</f>
        <v>1</v>
      </c>
      <c r="K33" s="41">
        <f>IF(AND(J33=1,ISBLANK('User Interface (Start Here!)'!$L$14),ISBLANK('User Interface (Start Here!)'!$M$14),ISBLANK('User Interface (Start Here!)'!$N$14)),100%*'User Interface (Start Here!)'!$L$30,IF(J33=1,VLOOKUP(A33,'Bathymetric Closures'!$A$2:$C$57,3,FALSE)*'User Interface (Start Here!)'!$L$30,0%))</f>
        <v>0.79957737321196343</v>
      </c>
      <c r="L33" s="50">
        <f>IF(ISBLANK('User Interface (Start Here!)'!#REF!),$I33*VLOOKUP($A33,$BA$5:$BM$60,L$2+1,FALSE),$I33*VLOOKUP($A33,$CD$6:$CP$60,L$2+1,FALSE))</f>
        <v>0.27711369696191318</v>
      </c>
      <c r="M33" s="50">
        <f>IF(ISBLANK('User Interface (Start Here!)'!#REF!),$I33*VLOOKUP($A33,$BA$5:$BM$60,M$2+1,FALSE),$I33*VLOOKUP($A33,$CD$6:$CP$60,M$2+1,FALSE))</f>
        <v>0.21373369016236909</v>
      </c>
      <c r="N33" s="50">
        <f>IF(ISBLANK('User Interface (Start Here!)'!#REF!),$I33*VLOOKUP($A33,$BA$5:$BM$60,N$2+1,FALSE),$I33*VLOOKUP($A33,$CD$6:$CP$60,N$2+1,FALSE))</f>
        <v>0.27970087836163815</v>
      </c>
      <c r="O33" s="50">
        <f>IF(ISBLANK('User Interface (Start Here!)'!#REF!),$I33*VLOOKUP($A33,$BA$5:$BM$60,O$2+1,FALSE),$I33*VLOOKUP($A33,$CD$6:$CP$60,O$2+1,FALSE))</f>
        <v>0.1178613764713447</v>
      </c>
      <c r="P33" s="50">
        <f>IF(ISBLANK('User Interface (Start Here!)'!#REF!),$I33*VLOOKUP($A33,$BA$5:$BM$60,P$2+1,FALSE),$I33*VLOOKUP($A33,$CD$6:$CP$60,P$2+1,FALSE))</f>
        <v>0.98335088757984945</v>
      </c>
      <c r="Q33" s="50">
        <f>IF(ISBLANK('User Interface (Start Here!)'!#REF!),$I33*VLOOKUP($A33,$BA$5:$BM$60,Q$2+1,FALSE),$I33*VLOOKUP($A33,$CD$6:$CP$60,Q$2+1,FALSE))</f>
        <v>0.67595567561999759</v>
      </c>
      <c r="R33" s="50">
        <f>IF(ISBLANK('User Interface (Start Here!)'!#REF!),$I33*VLOOKUP($A33,$BA$5:$BM$60,R$2+1,FALSE),$I33*VLOOKUP($A33,$CD$6:$CP$60,R$2+1,FALSE))</f>
        <v>0.89132692381683909</v>
      </c>
      <c r="S33" s="50">
        <f>IF(ISBLANK('User Interface (Start Here!)'!#REF!),$I33*VLOOKUP($A33,$BA$5:$BM$60,S$2+1,FALSE),$I33*VLOOKUP($A33,$CD$6:$CP$60,S$2+1,FALSE))</f>
        <v>0.49651303761009669</v>
      </c>
      <c r="T33" s="50">
        <f>IF(ISBLANK('User Interface (Start Here!)'!#REF!),$I33*VLOOKUP($A33,$BA$5:$BM$60,T$2+1,FALSE),$I33*VLOOKUP($A33,$CD$6:$CP$60,T$2+1,FALSE))</f>
        <v>0.50882691264970792</v>
      </c>
      <c r="U33" s="50">
        <f>IF(ISBLANK('User Interface (Start Here!)'!#REF!),$I33*VLOOKUP($A33,$BA$5:$BM$60,U$2+1,FALSE),$I33*VLOOKUP($A33,$CD$6:$CP$60,U$2+1,FALSE))</f>
        <v>0.78149129111859539</v>
      </c>
      <c r="V33" s="50">
        <f>IF(ISBLANK('User Interface (Start Here!)'!#REF!),$I33*VLOOKUP($A33,$BA$5:$BM$60,V$2+1,FALSE),$I33*VLOOKUP($A33,$CD$6:$CP$60,V$2+1,FALSE))</f>
        <v>0.54708788196114511</v>
      </c>
      <c r="W33" s="50">
        <f>IF(ISBLANK('User Interface (Start Here!)'!#REF!),$I33*VLOOKUP($A33,$BA$5:$BM$60,W$2+1,FALSE),$I33*VLOOKUP($A33,$CD$6:$CP$60,W$2+1,FALSE))</f>
        <v>1.407300018105808E-2</v>
      </c>
      <c r="X33" s="51">
        <f>IF($J33&lt;&gt;1,L33,IF(VLOOKUP($A33,'User Interface (Start Here!)'!$B$18:$N$28,X$2+1,FALSE)&lt;&gt;100%,L33-VLOOKUP($A33,'User Interface (Start Here!)'!$B$18:$N$28,X$2+1,FALSE)/'User Interface (Start Here!)'!$L$35*$K33*L33,L33-VLOOKUP($A33,'User Interface (Start Here!)'!$B$18:$N$28,X$2+1,FALSE)*$K33*L33))</f>
        <v>5.5539855064050597E-2</v>
      </c>
      <c r="Y33" s="52">
        <f>IF($J33&lt;&gt;1,M33,IF(VLOOKUP($A33,'User Interface (Start Here!)'!$B$18:$N$28,Y$2+1,FALSE)&lt;&gt;100%,M33-VLOOKUP($A33,'User Interface (Start Here!)'!$B$18:$N$28,Y$2+1,FALSE)/'User Interface (Start Here!)'!$L$35*$K33*M33,M33-VLOOKUP($A33,'User Interface (Start Here!)'!$B$18:$N$28,Y$2+1,FALSE)*$K33*M33))</f>
        <v>4.2837067615442342E-2</v>
      </c>
      <c r="Z33" s="52">
        <f>IF($J33&lt;&gt;1,N33,IF(VLOOKUP($A33,'User Interface (Start Here!)'!$B$18:$N$28,Z$2+1,FALSE)&lt;&gt;100%,N33-VLOOKUP($A33,'User Interface (Start Here!)'!$B$18:$N$28,Z$2+1,FALSE)/'User Interface (Start Here!)'!$L$35*$K33*N33,N33-VLOOKUP($A33,'User Interface (Start Here!)'!$B$18:$N$28,Z$2+1,FALSE)*$K33*N33))</f>
        <v>5.6058384756160623E-2</v>
      </c>
      <c r="AA33" s="52">
        <f>IF($J33&lt;&gt;1,O33,IF(VLOOKUP($A33,'User Interface (Start Here!)'!$B$18:$N$28,AA$2+1,FALSE)&lt;&gt;100%,O33-VLOOKUP($A33,'User Interface (Start Here!)'!$B$18:$N$28,AA$2+1,FALSE)/'User Interface (Start Here!)'!$L$35*$K33*O33,O33-VLOOKUP($A33,'User Interface (Start Here!)'!$B$18:$N$28,AA$2+1,FALSE)*$K33*O33))</f>
        <v>2.3622086669240594E-2</v>
      </c>
      <c r="AB33" s="52">
        <f>IF($J33&lt;&gt;1,P33,IF(VLOOKUP($A33,'User Interface (Start Here!)'!$B$18:$N$28,AB$2+1,FALSE)&lt;&gt;100%,P33-VLOOKUP($A33,'User Interface (Start Here!)'!$B$18:$N$28,AB$2+1,FALSE)/'User Interface (Start Here!)'!$L$35*$K33*P33,P33-VLOOKUP($A33,'User Interface (Start Here!)'!$B$18:$N$28,AB$2+1,FALSE)*$K33*P33))</f>
        <v>0.19708576794310062</v>
      </c>
      <c r="AC33" s="52">
        <f>IF($J33&lt;&gt;1,Q33,IF(VLOOKUP($A33,'User Interface (Start Here!)'!$B$18:$N$28,AC$2+1,FALSE)&lt;&gt;100%,Q33-VLOOKUP($A33,'User Interface (Start Here!)'!$B$18:$N$28,AC$2+1,FALSE)/'User Interface (Start Here!)'!$L$35*$K33*Q33,Q33-VLOOKUP($A33,'User Interface (Start Here!)'!$B$18:$N$28,AC$2+1,FALSE)*$K33*Q33))</f>
        <v>0.13547681210004192</v>
      </c>
      <c r="AD33" s="52">
        <f>IF($J33&lt;&gt;1,R33,IF(VLOOKUP($A33,'User Interface (Start Here!)'!$B$18:$N$28,AD$2+1,FALSE)&lt;&gt;100%,R33-VLOOKUP($A33,'User Interface (Start Here!)'!$B$18:$N$28,AD$2+1,FALSE)/'User Interface (Start Here!)'!$L$35*$K33*R33,R33-VLOOKUP($A33,'User Interface (Start Here!)'!$B$18:$N$28,AD$2+1,FALSE)*$K33*R33))</f>
        <v>0.17864208339827103</v>
      </c>
      <c r="AE33" s="52">
        <f>IF($J33&lt;&gt;1,S33,IF(VLOOKUP($A33,'User Interface (Start Here!)'!$B$18:$N$28,AE$2+1,FALSE)&lt;&gt;100%,S33-VLOOKUP($A33,'User Interface (Start Here!)'!$B$18:$N$28,AE$2+1,FALSE)/'User Interface (Start Here!)'!$L$35*$K33*S33,S33-VLOOKUP($A33,'User Interface (Start Here!)'!$B$18:$N$28,AE$2+1,FALSE)*$K33*S33))</f>
        <v>9.9512447232322776E-2</v>
      </c>
      <c r="AF33" s="52">
        <f>IF($J33&lt;&gt;1,T33,IF(VLOOKUP($A33,'User Interface (Start Here!)'!$B$18:$N$28,AF$2+1,FALSE)&lt;&gt;100%,T33-VLOOKUP($A33,'User Interface (Start Here!)'!$B$18:$N$28,AF$2+1,FALSE)/'User Interface (Start Here!)'!$L$35*$K33*T33,T33-VLOOKUP($A33,'User Interface (Start Here!)'!$B$18:$N$28,AF$2+1,FALSE)*$K33*T33))</f>
        <v>0.10198042641370131</v>
      </c>
      <c r="AG33" s="52">
        <f>IF($J33&lt;&gt;1,U33,IF(VLOOKUP($A33,'User Interface (Start Here!)'!$B$18:$N$28,AG$2+1,FALSE)&lt;&gt;100%,U33-VLOOKUP($A33,'User Interface (Start Here!)'!$B$18:$N$28,AG$2+1,FALSE)/'User Interface (Start Here!)'!$L$35*$K33*U33,U33-VLOOKUP($A33,'User Interface (Start Here!)'!$B$18:$N$28,AG$2+1,FALSE)*$K33*U33))</f>
        <v>0.15662853737796312</v>
      </c>
      <c r="AH33" s="52">
        <f>IF($J33&lt;&gt;1,V33,IF(VLOOKUP($A33,'User Interface (Start Here!)'!$B$18:$N$28,AH$2+1,FALSE)&lt;&gt;100%,V33-VLOOKUP($A33,'User Interface (Start Here!)'!$B$18:$N$28,AH$2+1,FALSE)/'User Interface (Start Here!)'!$L$35*$K33*V33,V33-VLOOKUP($A33,'User Interface (Start Here!)'!$B$18:$N$28,AH$2+1,FALSE)*$K33*V33))</f>
        <v>0.10964879038655601</v>
      </c>
      <c r="AI33" s="52">
        <f>IF($J33&lt;&gt;1,W33,IF(VLOOKUP($A33,'User Interface (Start Here!)'!$B$18:$N$28,AI$2+1,FALSE)&lt;&gt;100%,W33-VLOOKUP($A33,'User Interface (Start Here!)'!$B$18:$N$28,AI$2+1,FALSE)/'User Interface (Start Here!)'!$L$35*$K33*W33,W33-VLOOKUP($A33,'User Interface (Start Here!)'!$B$18:$N$28,AI$2+1,FALSE)*$K33*W33))</f>
        <v>2.8205476630761752E-3</v>
      </c>
      <c r="AJ33" s="42">
        <f t="shared" si="0"/>
        <v>1.1598528066199272</v>
      </c>
      <c r="AL33" s="1">
        <v>3179</v>
      </c>
      <c r="AM33" s="1">
        <v>1.2021299985200169</v>
      </c>
      <c r="AN33" s="1">
        <v>0.63602999925613402</v>
      </c>
      <c r="AO33" s="1">
        <v>2.1278699970245363</v>
      </c>
      <c r="AP33" s="1">
        <v>0.67043999853730196</v>
      </c>
      <c r="AQ33" s="1">
        <v>2.1489599975347518</v>
      </c>
      <c r="AR33" s="1">
        <v>1.5495599977970123</v>
      </c>
      <c r="AS33" s="1">
        <v>0.95570999896526332</v>
      </c>
      <c r="AT33" s="1">
        <v>1.8925499979853631</v>
      </c>
      <c r="AU33" s="1">
        <v>0.29303999951481824</v>
      </c>
      <c r="AV33" s="1">
        <v>0.20867999953031541</v>
      </c>
      <c r="AW33" s="1">
        <v>3.2423099959492689</v>
      </c>
      <c r="AX33" s="1">
        <v>0.52835999915003773</v>
      </c>
      <c r="AY33" s="1">
        <v>15.455639979764817</v>
      </c>
      <c r="BA33" s="1">
        <v>3179</v>
      </c>
      <c r="BB33" s="31">
        <f t="shared" si="13"/>
        <v>7.7779373749252492E-2</v>
      </c>
      <c r="BC33" s="31">
        <f t="shared" si="15"/>
        <v>4.1151967831086364E-2</v>
      </c>
      <c r="BD33" s="31">
        <f t="shared" si="16"/>
        <v>0.13767595517302644</v>
      </c>
      <c r="BE33" s="31">
        <f t="shared" si="17"/>
        <v>4.3378339519752701E-2</v>
      </c>
      <c r="BF33" s="31">
        <f t="shared" si="18"/>
        <v>0.13904050562437156</v>
      </c>
      <c r="BG33" s="31">
        <f t="shared" si="19"/>
        <v>0.10025854638344076</v>
      </c>
      <c r="BH33" s="31">
        <f t="shared" si="20"/>
        <v>6.1835679416479654E-2</v>
      </c>
      <c r="BI33" s="31">
        <f t="shared" si="21"/>
        <v>0.12245044530431418</v>
      </c>
      <c r="BJ33" s="31">
        <f t="shared" si="22"/>
        <v>1.8960068939136699E-2</v>
      </c>
      <c r="BK33" s="31">
        <f t="shared" si="23"/>
        <v>1.3501867266805398E-2</v>
      </c>
      <c r="BL33" s="31">
        <f t="shared" si="24"/>
        <v>0.20978167194592004</v>
      </c>
      <c r="BM33" s="31">
        <f t="shared" si="25"/>
        <v>3.418557884641394E-2</v>
      </c>
      <c r="BO33" s="1">
        <v>3179</v>
      </c>
      <c r="BP33" s="1">
        <v>0.21755999946594237</v>
      </c>
      <c r="BQ33" s="1">
        <v>0.18203999984264374</v>
      </c>
      <c r="BR33" s="1">
        <v>1.0489499983787538</v>
      </c>
      <c r="BS33" s="1">
        <v>0.23531999959051608</v>
      </c>
      <c r="BT33" s="1">
        <v>2.1489599975347518</v>
      </c>
      <c r="BU33" s="1">
        <v>1.0633799986839294</v>
      </c>
      <c r="BV33" s="1">
        <v>0.8402699991464615</v>
      </c>
      <c r="BW33" s="1">
        <v>1.8337199980616572</v>
      </c>
      <c r="BX33" s="1">
        <v>0.29303999951481818</v>
      </c>
      <c r="BY33" s="1">
        <v>0.15539999961853027</v>
      </c>
      <c r="BZ33" s="1">
        <v>1.1133873460273813</v>
      </c>
      <c r="CA33" s="1">
        <v>0</v>
      </c>
      <c r="CB33" s="1">
        <v>9.1320273358653878</v>
      </c>
      <c r="CD33" s="1">
        <v>3179</v>
      </c>
      <c r="CE33" s="31">
        <f t="shared" si="14"/>
        <v>2.3823844526996863E-2</v>
      </c>
      <c r="CF33" s="31">
        <f t="shared" si="2"/>
        <v>1.993423728898561E-2</v>
      </c>
      <c r="CG33" s="31">
        <f t="shared" si="3"/>
        <v>0.11486496478816673</v>
      </c>
      <c r="CH33" s="31">
        <f t="shared" si="4"/>
        <v>2.5768648180269187E-2</v>
      </c>
      <c r="CI33" s="31">
        <f t="shared" si="5"/>
        <v>0.23532124012538422</v>
      </c>
      <c r="CJ33" s="31">
        <f t="shared" si="6"/>
        <v>0.11644511777878501</v>
      </c>
      <c r="CK33" s="31">
        <f t="shared" si="7"/>
        <v>9.20135221065711E-2</v>
      </c>
      <c r="CL33" s="31">
        <f t="shared" si="8"/>
        <v>0.20080097557963414</v>
      </c>
      <c r="CM33" s="31">
        <f t="shared" si="9"/>
        <v>3.2089260000780377E-2</v>
      </c>
      <c r="CN33" s="31">
        <f t="shared" si="10"/>
        <v>1.7017031804997761E-2</v>
      </c>
      <c r="CO33" s="31">
        <f t="shared" si="11"/>
        <v>0.12192115781942874</v>
      </c>
      <c r="CP33" s="31">
        <f t="shared" si="12"/>
        <v>0</v>
      </c>
    </row>
    <row r="34" spans="1:94">
      <c r="A34" s="28">
        <v>3279</v>
      </c>
      <c r="B34" s="29">
        <v>10.213538261880988</v>
      </c>
      <c r="C34" s="29">
        <v>6.4423437916709387</v>
      </c>
      <c r="D34" s="22">
        <v>2.4282620467887646</v>
      </c>
      <c r="E34" s="22">
        <v>1.5316630261292743</v>
      </c>
      <c r="G34" s="29">
        <f>IF(ISBLANK('User Interface (Start Here!)'!$L$4),commercial!B34,commercial!C34)</f>
        <v>6.4423437916709387</v>
      </c>
      <c r="H34" s="22">
        <f>IF(ISBLANK('User Interface (Start Here!)'!$L$4),commercial!D34,commercial!E34)</f>
        <v>1.5316630261292743</v>
      </c>
      <c r="I34" s="40">
        <f>(G34+H34)*'User Interface (Start Here!)'!$L$10</f>
        <v>7.1766061360201912</v>
      </c>
      <c r="J34" s="2">
        <f>IF(VLOOKUP(A34,'User Interface (Start Here!)'!$DO$2:$DP$73,2,FALSE)&lt;&gt;0,1,0)</f>
        <v>1</v>
      </c>
      <c r="K34" s="41">
        <f>IF(AND(J34=1,ISBLANK('User Interface (Start Here!)'!$L$14),ISBLANK('User Interface (Start Here!)'!$M$14),ISBLANK('User Interface (Start Here!)'!$N$14)),100%*'User Interface (Start Here!)'!$L$30,IF(J34=1,VLOOKUP(A34,'Bathymetric Closures'!$A$2:$C$57,3,FALSE)*'User Interface (Start Here!)'!$L$30,0%))</f>
        <v>0.85327030099934176</v>
      </c>
      <c r="L34" s="50">
        <f>IF(ISBLANK('User Interface (Start Here!)'!$L23),$I34*VLOOKUP($A34,$BA$5:$BM$60,L$2+1,FALSE),$I34*VLOOKUP($A34,$CD$6:$CP$60,L$2+1,FALSE))</f>
        <v>0.35774290932187153</v>
      </c>
      <c r="M34" s="50">
        <f>IF(ISBLANK('User Interface (Start Here!)'!$L23),$I34*VLOOKUP($A34,$BA$5:$BM$60,M$2+1,FALSE),$I34*VLOOKUP($A34,$CD$6:$CP$60,M$2+1,FALSE))</f>
        <v>9.0790814129655145E-2</v>
      </c>
      <c r="N34" s="50">
        <f>IF(ISBLANK('User Interface (Start Here!)'!$L23),$I34*VLOOKUP($A34,$BA$5:$BM$60,N$2+1,FALSE),$I34*VLOOKUP($A34,$CD$6:$CP$60,N$2+1,FALSE))</f>
        <v>0.31889708835356878</v>
      </c>
      <c r="O34" s="50">
        <f>IF(ISBLANK('User Interface (Start Here!)'!$L23),$I34*VLOOKUP($A34,$BA$5:$BM$60,O$2+1,FALSE),$I34*VLOOKUP($A34,$CD$6:$CP$60,O$2+1,FALSE))</f>
        <v>9.666285674320943E-2</v>
      </c>
      <c r="P34" s="50">
        <f>IF(ISBLANK('User Interface (Start Here!)'!$L23),$I34*VLOOKUP($A34,$BA$5:$BM$60,P$2+1,FALSE),$I34*VLOOKUP($A34,$CD$6:$CP$60,P$2+1,FALSE))</f>
        <v>0.88441996976904647</v>
      </c>
      <c r="Q34" s="50">
        <f>IF(ISBLANK('User Interface (Start Here!)'!$L23),$I34*VLOOKUP($A34,$BA$5:$BM$60,Q$2+1,FALSE),$I34*VLOOKUP($A34,$CD$6:$CP$60,Q$2+1,FALSE))</f>
        <v>0.97341620922044036</v>
      </c>
      <c r="R34" s="50">
        <f>IF(ISBLANK('User Interface (Start Here!)'!$L23),$I34*VLOOKUP($A34,$BA$5:$BM$60,R$2+1,FALSE),$I34*VLOOKUP($A34,$CD$6:$CP$60,R$2+1,FALSE))</f>
        <v>1.1595025858594705</v>
      </c>
      <c r="S34" s="50">
        <f>IF(ISBLANK('User Interface (Start Here!)'!$L23),$I34*VLOOKUP($A34,$BA$5:$BM$60,S$2+1,FALSE),$I34*VLOOKUP($A34,$CD$6:$CP$60,S$2+1,FALSE))</f>
        <v>0.70238664577155074</v>
      </c>
      <c r="T34" s="50">
        <f>IF(ISBLANK('User Interface (Start Here!)'!$L23),$I34*VLOOKUP($A34,$BA$5:$BM$60,T$2+1,FALSE),$I34*VLOOKUP($A34,$CD$6:$CP$60,T$2+1,FALSE))</f>
        <v>0.65316403420411895</v>
      </c>
      <c r="U34" s="50">
        <f>IF(ISBLANK('User Interface (Start Here!)'!$L23),$I34*VLOOKUP($A34,$BA$5:$BM$60,U$2+1,FALSE),$I34*VLOOKUP($A34,$CD$6:$CP$60,U$2+1,FALSE))</f>
        <v>1.2711768808144899</v>
      </c>
      <c r="V34" s="50">
        <f>IF(ISBLANK('User Interface (Start Here!)'!$L23),$I34*VLOOKUP($A34,$BA$5:$BM$60,V$2+1,FALSE),$I34*VLOOKUP($A34,$CD$6:$CP$60,V$2+1,FALSE))</f>
        <v>0.62333991741474393</v>
      </c>
      <c r="W34" s="50">
        <f>IF(ISBLANK('User Interface (Start Here!)'!$L23),$I34*VLOOKUP($A34,$BA$5:$BM$60,W$2+1,FALSE),$I34*VLOOKUP($A34,$CD$6:$CP$60,W$2+1,FALSE))</f>
        <v>4.5106224418026301E-2</v>
      </c>
      <c r="X34" s="51">
        <f>IF($J34&lt;&gt;1,L34,IF(VLOOKUP($A34,'User Interface (Start Here!)'!$B$18:$N$28,X$2+1,FALSE)&lt;&gt;100%,L34-VLOOKUP($A34,'User Interface (Start Here!)'!$B$18:$N$28,X$2+1,FALSE)/'User Interface (Start Here!)'!$L$35*$K34*L34,L34-VLOOKUP($A34,'User Interface (Start Here!)'!$B$18:$N$28,X$2+1,FALSE)*$K34*L34))</f>
        <v>5.2491509404417991E-2</v>
      </c>
      <c r="Y34" s="52">
        <f>IF($J34&lt;&gt;1,M34,IF(VLOOKUP($A34,'User Interface (Start Here!)'!$B$18:$N$28,Y$2+1,FALSE)&lt;&gt;100%,M34-VLOOKUP($A34,'User Interface (Start Here!)'!$B$18:$N$28,Y$2+1,FALSE)/'User Interface (Start Here!)'!$L$35*$K34*M34,M34-VLOOKUP($A34,'User Interface (Start Here!)'!$B$18:$N$28,Y$2+1,FALSE)*$K34*M34))</f>
        <v>1.3321708829269002E-2</v>
      </c>
      <c r="Z34" s="52">
        <f>IF($J34&lt;&gt;1,N34,IF(VLOOKUP($A34,'User Interface (Start Here!)'!$B$18:$N$28,Z$2+1,FALSE)&lt;&gt;100%,N34-VLOOKUP($A34,'User Interface (Start Here!)'!$B$18:$N$28,Z$2+1,FALSE)/'User Interface (Start Here!)'!$L$35*$K34*N34,N34-VLOOKUP($A34,'User Interface (Start Here!)'!$B$18:$N$28,Z$2+1,FALSE)*$K34*N34))</f>
        <v>4.6791673786305443E-2</v>
      </c>
      <c r="AA34" s="52">
        <f>IF($J34&lt;&gt;1,O34,IF(VLOOKUP($A34,'User Interface (Start Here!)'!$B$18:$N$28,AA$2+1,FALSE)&lt;&gt;100%,O34-VLOOKUP($A34,'User Interface (Start Here!)'!$B$18:$N$28,AA$2+1,FALSE)/'User Interface (Start Here!)'!$L$35*$K34*O34,O34-VLOOKUP($A34,'User Interface (Start Here!)'!$B$18:$N$28,AA$2+1,FALSE)*$K34*O34))</f>
        <v>1.4183311874474872E-2</v>
      </c>
      <c r="AB34" s="52">
        <f>IF($J34&lt;&gt;1,P34,IF(VLOOKUP($A34,'User Interface (Start Here!)'!$B$18:$N$28,AB$2+1,FALSE)&lt;&gt;100%,P34-VLOOKUP($A34,'User Interface (Start Here!)'!$B$18:$N$28,AB$2+1,FALSE)/'User Interface (Start Here!)'!$L$35*$K34*P34,P34-VLOOKUP($A34,'User Interface (Start Here!)'!$B$18:$N$28,AB$2+1,FALSE)*$K34*P34))</f>
        <v>0.12977067595438341</v>
      </c>
      <c r="AC34" s="52">
        <f>IF($J34&lt;&gt;1,Q34,IF(VLOOKUP($A34,'User Interface (Start Here!)'!$B$18:$N$28,AC$2+1,FALSE)&lt;&gt;100%,Q34-VLOOKUP($A34,'User Interface (Start Here!)'!$B$18:$N$28,AC$2+1,FALSE)/'User Interface (Start Here!)'!$L$35*$K34*Q34,Q34-VLOOKUP($A34,'User Interface (Start Here!)'!$B$18:$N$28,AC$2+1,FALSE)*$K34*Q34))</f>
        <v>0.14282906738127699</v>
      </c>
      <c r="AD34" s="52">
        <f>IF($J34&lt;&gt;1,R34,IF(VLOOKUP($A34,'User Interface (Start Here!)'!$B$18:$N$28,AD$2+1,FALSE)&lt;&gt;100%,R34-VLOOKUP($A34,'User Interface (Start Here!)'!$B$18:$N$28,AD$2+1,FALSE)/'User Interface (Start Here!)'!$L$35*$K34*R34,R34-VLOOKUP($A34,'User Interface (Start Here!)'!$B$18:$N$28,AD$2+1,FALSE)*$K34*R34))</f>
        <v>0.17013346541364505</v>
      </c>
      <c r="AE34" s="52">
        <f>IF($J34&lt;&gt;1,S34,IF(VLOOKUP($A34,'User Interface (Start Here!)'!$B$18:$N$28,AE$2+1,FALSE)&lt;&gt;100%,S34-VLOOKUP($A34,'User Interface (Start Here!)'!$B$18:$N$28,AE$2+1,FALSE)/'User Interface (Start Here!)'!$L$35*$K34*S34,S34-VLOOKUP($A34,'User Interface (Start Here!)'!$B$18:$N$28,AE$2+1,FALSE)*$K34*S34))</f>
        <v>0.10306098111614159</v>
      </c>
      <c r="AF34" s="52">
        <f>IF($J34&lt;&gt;1,T34,IF(VLOOKUP($A34,'User Interface (Start Here!)'!$B$18:$N$28,AF$2+1,FALSE)&lt;&gt;100%,T34-VLOOKUP($A34,'User Interface (Start Here!)'!$B$18:$N$28,AF$2+1,FALSE)/'User Interface (Start Here!)'!$L$35*$K34*T34,T34-VLOOKUP($A34,'User Interface (Start Here!)'!$B$18:$N$28,AF$2+1,FALSE)*$K34*T34))</f>
        <v>9.5838562136826067E-2</v>
      </c>
      <c r="AG34" s="52">
        <f>IF($J34&lt;&gt;1,U34,IF(VLOOKUP($A34,'User Interface (Start Here!)'!$B$18:$N$28,AG$2+1,FALSE)&lt;&gt;100%,U34-VLOOKUP($A34,'User Interface (Start Here!)'!$B$18:$N$28,AG$2+1,FALSE)/'User Interface (Start Here!)'!$L$35*$K34*U34,U34-VLOOKUP($A34,'User Interface (Start Here!)'!$B$18:$N$28,AG$2+1,FALSE)*$K34*U34))</f>
        <v>0.18651940109850562</v>
      </c>
      <c r="AH34" s="52">
        <f>IF($J34&lt;&gt;1,V34,IF(VLOOKUP($A34,'User Interface (Start Here!)'!$B$18:$N$28,AH$2+1,FALSE)&lt;&gt;100%,V34-VLOOKUP($A34,'User Interface (Start Here!)'!$B$18:$N$28,AH$2+1,FALSE)/'User Interface (Start Here!)'!$L$35*$K34*V34,V34-VLOOKUP($A34,'User Interface (Start Here!)'!$B$18:$N$28,AH$2+1,FALSE)*$K34*V34))</f>
        <v>9.1462478457360552E-2</v>
      </c>
      <c r="AI34" s="52">
        <f>IF($J34&lt;&gt;1,W34,IF(VLOOKUP($A34,'User Interface (Start Here!)'!$B$18:$N$28,AI$2+1,FALSE)&lt;&gt;100%,W34-VLOOKUP($A34,'User Interface (Start Here!)'!$B$18:$N$28,AI$2+1,FALSE)/'User Interface (Start Here!)'!$L$35*$K34*W34,W34-VLOOKUP($A34,'User Interface (Start Here!)'!$B$18:$N$28,AI$2+1,FALSE)*$K34*W34))</f>
        <v>6.61842273191314E-3</v>
      </c>
      <c r="AJ34" s="42">
        <f t="shared" si="0"/>
        <v>1.0530212581845197</v>
      </c>
      <c r="AL34" s="1">
        <v>3180</v>
      </c>
      <c r="AM34" s="1">
        <v>1.8314999983310698</v>
      </c>
      <c r="AN34" s="1">
        <v>0.88577999934554108</v>
      </c>
      <c r="AO34" s="1">
        <v>0.55166999930143357</v>
      </c>
      <c r="AP34" s="1">
        <v>0.90922999864816678</v>
      </c>
      <c r="AQ34" s="1">
        <v>1.115549998447299</v>
      </c>
      <c r="AR34" s="1">
        <v>0.75404999902844438</v>
      </c>
      <c r="AS34" s="1">
        <v>1.033409998625517</v>
      </c>
      <c r="AT34" s="1">
        <v>0.1365299997329712</v>
      </c>
      <c r="AU34" s="1">
        <v>0.40736999940872198</v>
      </c>
      <c r="AV34" s="1">
        <v>0.86801999908685679</v>
      </c>
      <c r="AW34" s="1">
        <v>0.52169999909400944</v>
      </c>
      <c r="AX34" s="1">
        <v>0.40181999970972537</v>
      </c>
      <c r="AY34" s="1">
        <v>9.4166299887597553</v>
      </c>
      <c r="BA34" s="1">
        <v>3180</v>
      </c>
      <c r="BB34" s="31">
        <f t="shared" si="13"/>
        <v>0.19449633260702143</v>
      </c>
      <c r="BC34" s="31">
        <f t="shared" si="15"/>
        <v>9.4065499058884158E-2</v>
      </c>
      <c r="BD34" s="31">
        <f t="shared" si="16"/>
        <v>5.8584652891739336E-2</v>
      </c>
      <c r="BE34" s="31">
        <f t="shared" si="17"/>
        <v>9.6555774171171352E-2</v>
      </c>
      <c r="BF34" s="31">
        <f t="shared" si="18"/>
        <v>0.11846594798551979</v>
      </c>
      <c r="BG34" s="31">
        <f t="shared" si="19"/>
        <v>8.0076417989081328E-2</v>
      </c>
      <c r="BH34" s="31">
        <f t="shared" si="20"/>
        <v>0.1097430821704852</v>
      </c>
      <c r="BI34" s="31">
        <f t="shared" si="21"/>
        <v>1.4498817506469029E-2</v>
      </c>
      <c r="BJ34" s="31">
        <f t="shared" si="22"/>
        <v>4.3260699411040132E-2</v>
      </c>
      <c r="BK34" s="31">
        <f t="shared" si="23"/>
        <v>9.217947398623251E-2</v>
      </c>
      <c r="BL34" s="31">
        <f t="shared" si="24"/>
        <v>5.5401985605969581E-2</v>
      </c>
      <c r="BM34" s="31">
        <f t="shared" si="25"/>
        <v>4.2671316616386269E-2</v>
      </c>
      <c r="BO34" s="1">
        <v>3180</v>
      </c>
      <c r="BP34" s="1">
        <v>0.98567999911308291</v>
      </c>
      <c r="BQ34" s="1">
        <v>0.24086999988555907</v>
      </c>
      <c r="BR34" s="1">
        <v>0.2541899995803833</v>
      </c>
      <c r="BS34" s="1">
        <v>0.40514999938011176</v>
      </c>
      <c r="BT34" s="1">
        <v>0.72704999919235713</v>
      </c>
      <c r="BU34" s="1">
        <v>0.75404999902844427</v>
      </c>
      <c r="BV34" s="1">
        <v>0.85580999886989595</v>
      </c>
      <c r="BW34" s="1">
        <v>0.11765999978780747</v>
      </c>
      <c r="BX34" s="1">
        <v>0.40736999940872193</v>
      </c>
      <c r="BY34" s="1">
        <v>2.1089999973773955E-2</v>
      </c>
      <c r="BZ34" s="1">
        <v>0.17870999956130981</v>
      </c>
      <c r="CA34" s="1">
        <v>0</v>
      </c>
      <c r="CB34" s="1">
        <v>4.9476299937814483</v>
      </c>
      <c r="CD34" s="1">
        <v>3180</v>
      </c>
      <c r="CE34" s="31">
        <f t="shared" si="14"/>
        <v>0.19922265819229798</v>
      </c>
      <c r="CF34" s="31">
        <f t="shared" si="2"/>
        <v>4.868391536721673E-2</v>
      </c>
      <c r="CG34" s="31">
        <f t="shared" si="3"/>
        <v>5.1376113391637675E-2</v>
      </c>
      <c r="CH34" s="31">
        <f t="shared" si="4"/>
        <v>8.1887691660317077E-2</v>
      </c>
      <c r="CI34" s="31">
        <f t="shared" si="5"/>
        <v>0.14694914536983728</v>
      </c>
      <c r="CJ34" s="31">
        <f t="shared" si="6"/>
        <v>0.15240630361934721</v>
      </c>
      <c r="CK34" s="31">
        <f t="shared" si="7"/>
        <v>0.17297372680364984</v>
      </c>
      <c r="CL34" s="31">
        <f t="shared" si="8"/>
        <v>2.37810830510146E-2</v>
      </c>
      <c r="CM34" s="31">
        <f t="shared" si="9"/>
        <v>8.2336391347116705E-2</v>
      </c>
      <c r="CN34" s="31">
        <f t="shared" si="10"/>
        <v>4.2626469643610061E-3</v>
      </c>
      <c r="CO34" s="31">
        <f t="shared" si="11"/>
        <v>3.6120324233203757E-2</v>
      </c>
      <c r="CP34" s="31">
        <f t="shared" si="12"/>
        <v>0</v>
      </c>
    </row>
    <row r="35" spans="1:94">
      <c r="A35" s="28">
        <v>3280</v>
      </c>
      <c r="B35" s="29">
        <v>0.14488161426708077</v>
      </c>
      <c r="C35" s="29">
        <v>4.6213152191579294E-2</v>
      </c>
      <c r="D35" s="22">
        <v>3.4445509105817972E-2</v>
      </c>
      <c r="E35" s="22">
        <v>1.0987146731324657E-2</v>
      </c>
      <c r="G35" s="29">
        <f>IF(ISBLANK('User Interface (Start Here!)'!$L$4),commercial!B35,commercial!C35)</f>
        <v>4.6213152191579294E-2</v>
      </c>
      <c r="H35" s="22">
        <f>IF(ISBLANK('User Interface (Start Here!)'!$L$4),commercial!D35,commercial!E35)</f>
        <v>1.0987146731324657E-2</v>
      </c>
      <c r="I35" s="40">
        <f>(G35+H35)*'User Interface (Start Here!)'!$L$10</f>
        <v>5.1480269030613555E-2</v>
      </c>
      <c r="J35" s="2">
        <f>IF(VLOOKUP(A35,'User Interface (Start Here!)'!$DO$2:$DP$73,2,FALSE)&lt;&gt;0,1,0)</f>
        <v>0</v>
      </c>
      <c r="K35" s="41">
        <f>IF(AND(J35=1,ISBLANK('User Interface (Start Here!)'!$L$14),ISBLANK('User Interface (Start Here!)'!$M$14),ISBLANK('User Interface (Start Here!)'!$N$14)),100%*'User Interface (Start Here!)'!$L$30,IF(J35=1,VLOOKUP(A35,'Bathymetric Closures'!$A$2:$C$57,3,FALSE)*'User Interface (Start Here!)'!$L$30,0%))</f>
        <v>0</v>
      </c>
      <c r="L35" s="50">
        <f>IF(ISBLANK('User Interface (Start Here!)'!#REF!),$I35*VLOOKUP($A35,$BA$5:$BM$60,L$2+1,FALSE),$I35*VLOOKUP($A35,$CD$6:$CP$60,L$2+1,FALSE))</f>
        <v>0</v>
      </c>
      <c r="M35" s="50">
        <f>IF(ISBLANK('User Interface (Start Here!)'!#REF!),$I35*VLOOKUP($A35,$BA$5:$BM$60,M$2+1,FALSE),$I35*VLOOKUP($A35,$CD$6:$CP$60,M$2+1,FALSE))</f>
        <v>0</v>
      </c>
      <c r="N35" s="50">
        <f>IF(ISBLANK('User Interface (Start Here!)'!#REF!),$I35*VLOOKUP($A35,$BA$5:$BM$60,N$2+1,FALSE),$I35*VLOOKUP($A35,$CD$6:$CP$60,N$2+1,FALSE))</f>
        <v>0</v>
      </c>
      <c r="O35" s="50">
        <f>IF(ISBLANK('User Interface (Start Here!)'!#REF!),$I35*VLOOKUP($A35,$BA$5:$BM$60,O$2+1,FALSE),$I35*VLOOKUP($A35,$CD$6:$CP$60,O$2+1,FALSE))</f>
        <v>0</v>
      </c>
      <c r="P35" s="50">
        <f>IF(ISBLANK('User Interface (Start Here!)'!#REF!),$I35*VLOOKUP($A35,$BA$5:$BM$60,P$2+1,FALSE),$I35*VLOOKUP($A35,$CD$6:$CP$60,P$2+1,FALSE))</f>
        <v>0</v>
      </c>
      <c r="Q35" s="50">
        <f>IF(ISBLANK('User Interface (Start Here!)'!#REF!),$I35*VLOOKUP($A35,$BA$5:$BM$60,Q$2+1,FALSE),$I35*VLOOKUP($A35,$CD$6:$CP$60,Q$2+1,FALSE))</f>
        <v>0</v>
      </c>
      <c r="R35" s="50">
        <f>IF(ISBLANK('User Interface (Start Here!)'!#REF!),$I35*VLOOKUP($A35,$BA$5:$BM$60,R$2+1,FALSE),$I35*VLOOKUP($A35,$CD$6:$CP$60,R$2+1,FALSE))</f>
        <v>3.9567479489651509E-2</v>
      </c>
      <c r="S35" s="50">
        <f>IF(ISBLANK('User Interface (Start Here!)'!#REF!),$I35*VLOOKUP($A35,$BA$5:$BM$60,S$2+1,FALSE),$I35*VLOOKUP($A35,$CD$6:$CP$60,S$2+1,FALSE))</f>
        <v>1.1912789540962055E-2</v>
      </c>
      <c r="T35" s="50">
        <f>IF(ISBLANK('User Interface (Start Here!)'!#REF!),$I35*VLOOKUP($A35,$BA$5:$BM$60,T$2+1,FALSE),$I35*VLOOKUP($A35,$CD$6:$CP$60,T$2+1,FALSE))</f>
        <v>0</v>
      </c>
      <c r="U35" s="50">
        <f>IF(ISBLANK('User Interface (Start Here!)'!#REF!),$I35*VLOOKUP($A35,$BA$5:$BM$60,U$2+1,FALSE),$I35*VLOOKUP($A35,$CD$6:$CP$60,U$2+1,FALSE))</f>
        <v>0</v>
      </c>
      <c r="V35" s="50">
        <f>IF(ISBLANK('User Interface (Start Here!)'!#REF!),$I35*VLOOKUP($A35,$BA$5:$BM$60,V$2+1,FALSE),$I35*VLOOKUP($A35,$CD$6:$CP$60,V$2+1,FALSE))</f>
        <v>0</v>
      </c>
      <c r="W35" s="50">
        <f>IF(ISBLANK('User Interface (Start Here!)'!#REF!),$I35*VLOOKUP($A35,$BA$5:$BM$60,W$2+1,FALSE),$I35*VLOOKUP($A35,$CD$6:$CP$60,W$2+1,FALSE))</f>
        <v>0</v>
      </c>
      <c r="X35" s="51">
        <f>IF($J35&lt;&gt;1,L35,IF(VLOOKUP($A35,'User Interface (Start Here!)'!$B$18:$N$28,X$2+1,FALSE)&lt;&gt;100%,L35-VLOOKUP($A35,'User Interface (Start Here!)'!$B$18:$N$28,X$2+1,FALSE)/'User Interface (Start Here!)'!$L$35*$K35*L35,L35-VLOOKUP($A35,'User Interface (Start Here!)'!$B$18:$N$28,X$2+1,FALSE)*$K35*L35))</f>
        <v>0</v>
      </c>
      <c r="Y35" s="52">
        <f>IF($J35&lt;&gt;1,M35,IF(VLOOKUP($A35,'User Interface (Start Here!)'!$B$18:$N$28,Y$2+1,FALSE)&lt;&gt;100%,M35-VLOOKUP($A35,'User Interface (Start Here!)'!$B$18:$N$28,Y$2+1,FALSE)/'User Interface (Start Here!)'!$L$35*$K35*M35,M35-VLOOKUP($A35,'User Interface (Start Here!)'!$B$18:$N$28,Y$2+1,FALSE)*$K35*M35))</f>
        <v>0</v>
      </c>
      <c r="Z35" s="52">
        <f>IF($J35&lt;&gt;1,N35,IF(VLOOKUP($A35,'User Interface (Start Here!)'!$B$18:$N$28,Z$2+1,FALSE)&lt;&gt;100%,N35-VLOOKUP($A35,'User Interface (Start Here!)'!$B$18:$N$28,Z$2+1,FALSE)/'User Interface (Start Here!)'!$L$35*$K35*N35,N35-VLOOKUP($A35,'User Interface (Start Here!)'!$B$18:$N$28,Z$2+1,FALSE)*$K35*N35))</f>
        <v>0</v>
      </c>
      <c r="AA35" s="52">
        <f>IF($J35&lt;&gt;1,O35,IF(VLOOKUP($A35,'User Interface (Start Here!)'!$B$18:$N$28,AA$2+1,FALSE)&lt;&gt;100%,O35-VLOOKUP($A35,'User Interface (Start Here!)'!$B$18:$N$28,AA$2+1,FALSE)/'User Interface (Start Here!)'!$L$35*$K35*O35,O35-VLOOKUP($A35,'User Interface (Start Here!)'!$B$18:$N$28,AA$2+1,FALSE)*$K35*O35))</f>
        <v>0</v>
      </c>
      <c r="AB35" s="52">
        <f>IF($J35&lt;&gt;1,P35,IF(VLOOKUP($A35,'User Interface (Start Here!)'!$B$18:$N$28,AB$2+1,FALSE)&lt;&gt;100%,P35-VLOOKUP($A35,'User Interface (Start Here!)'!$B$18:$N$28,AB$2+1,FALSE)/'User Interface (Start Here!)'!$L$35*$K35*P35,P35-VLOOKUP($A35,'User Interface (Start Here!)'!$B$18:$N$28,AB$2+1,FALSE)*$K35*P35))</f>
        <v>0</v>
      </c>
      <c r="AC35" s="52">
        <f>IF($J35&lt;&gt;1,Q35,IF(VLOOKUP($A35,'User Interface (Start Here!)'!$B$18:$N$28,AC$2+1,FALSE)&lt;&gt;100%,Q35-VLOOKUP($A35,'User Interface (Start Here!)'!$B$18:$N$28,AC$2+1,FALSE)/'User Interface (Start Here!)'!$L$35*$K35*Q35,Q35-VLOOKUP($A35,'User Interface (Start Here!)'!$B$18:$N$28,AC$2+1,FALSE)*$K35*Q35))</f>
        <v>0</v>
      </c>
      <c r="AD35" s="52">
        <f>IF($J35&lt;&gt;1,R35,IF(VLOOKUP($A35,'User Interface (Start Here!)'!$B$18:$N$28,AD$2+1,FALSE)&lt;&gt;100%,R35-VLOOKUP($A35,'User Interface (Start Here!)'!$B$18:$N$28,AD$2+1,FALSE)/'User Interface (Start Here!)'!$L$35*$K35*R35,R35-VLOOKUP($A35,'User Interface (Start Here!)'!$B$18:$N$28,AD$2+1,FALSE)*$K35*R35))</f>
        <v>3.9567479489651509E-2</v>
      </c>
      <c r="AE35" s="52">
        <f>IF($J35&lt;&gt;1,S35,IF(VLOOKUP($A35,'User Interface (Start Here!)'!$B$18:$N$28,AE$2+1,FALSE)&lt;&gt;100%,S35-VLOOKUP($A35,'User Interface (Start Here!)'!$B$18:$N$28,AE$2+1,FALSE)/'User Interface (Start Here!)'!$L$35*$K35*S35,S35-VLOOKUP($A35,'User Interface (Start Here!)'!$B$18:$N$28,AE$2+1,FALSE)*$K35*S35))</f>
        <v>1.1912789540962055E-2</v>
      </c>
      <c r="AF35" s="52">
        <f>IF($J35&lt;&gt;1,T35,IF(VLOOKUP($A35,'User Interface (Start Here!)'!$B$18:$N$28,AF$2+1,FALSE)&lt;&gt;100%,T35-VLOOKUP($A35,'User Interface (Start Here!)'!$B$18:$N$28,AF$2+1,FALSE)/'User Interface (Start Here!)'!$L$35*$K35*T35,T35-VLOOKUP($A35,'User Interface (Start Here!)'!$B$18:$N$28,AF$2+1,FALSE)*$K35*T35))</f>
        <v>0</v>
      </c>
      <c r="AG35" s="52">
        <f>IF($J35&lt;&gt;1,U35,IF(VLOOKUP($A35,'User Interface (Start Here!)'!$B$18:$N$28,AG$2+1,FALSE)&lt;&gt;100%,U35-VLOOKUP($A35,'User Interface (Start Here!)'!$B$18:$N$28,AG$2+1,FALSE)/'User Interface (Start Here!)'!$L$35*$K35*U35,U35-VLOOKUP($A35,'User Interface (Start Here!)'!$B$18:$N$28,AG$2+1,FALSE)*$K35*U35))</f>
        <v>0</v>
      </c>
      <c r="AH35" s="52">
        <f>IF($J35&lt;&gt;1,V35,IF(VLOOKUP($A35,'User Interface (Start Here!)'!$B$18:$N$28,AH$2+1,FALSE)&lt;&gt;100%,V35-VLOOKUP($A35,'User Interface (Start Here!)'!$B$18:$N$28,AH$2+1,FALSE)/'User Interface (Start Here!)'!$L$35*$K35*V35,V35-VLOOKUP($A35,'User Interface (Start Here!)'!$B$18:$N$28,AH$2+1,FALSE)*$K35*V35))</f>
        <v>0</v>
      </c>
      <c r="AI35" s="52">
        <f>IF($J35&lt;&gt;1,W35,IF(VLOOKUP($A35,'User Interface (Start Here!)'!$B$18:$N$28,AI$2+1,FALSE)&lt;&gt;100%,W35-VLOOKUP($A35,'User Interface (Start Here!)'!$B$18:$N$28,AI$2+1,FALSE)/'User Interface (Start Here!)'!$L$35*$K35*W35,W35-VLOOKUP($A35,'User Interface (Start Here!)'!$B$18:$N$28,AI$2+1,FALSE)*$K35*W35))</f>
        <v>0</v>
      </c>
      <c r="AJ35" s="42">
        <f t="shared" si="0"/>
        <v>5.1480269030613562E-2</v>
      </c>
      <c r="AL35" s="1">
        <v>3274</v>
      </c>
      <c r="AR35" s="1">
        <v>1.1099999994039537E-3</v>
      </c>
      <c r="AY35" s="1">
        <v>1.1099999994039537E-3</v>
      </c>
      <c r="BA35" s="1">
        <v>3274</v>
      </c>
      <c r="BB35" s="31">
        <f t="shared" si="13"/>
        <v>0</v>
      </c>
      <c r="BC35" s="31">
        <f t="shared" si="15"/>
        <v>0</v>
      </c>
      <c r="BD35" s="31">
        <f t="shared" si="16"/>
        <v>0</v>
      </c>
      <c r="BE35" s="31">
        <f t="shared" si="17"/>
        <v>0</v>
      </c>
      <c r="BF35" s="31">
        <f t="shared" si="18"/>
        <v>0</v>
      </c>
      <c r="BG35" s="31">
        <f t="shared" si="19"/>
        <v>1</v>
      </c>
      <c r="BH35" s="31">
        <f t="shared" si="20"/>
        <v>0</v>
      </c>
      <c r="BI35" s="31">
        <f t="shared" si="21"/>
        <v>0</v>
      </c>
      <c r="BJ35" s="31">
        <f t="shared" si="22"/>
        <v>0</v>
      </c>
      <c r="BK35" s="31">
        <f t="shared" si="23"/>
        <v>0</v>
      </c>
      <c r="BL35" s="31">
        <f t="shared" si="24"/>
        <v>0</v>
      </c>
      <c r="BM35" s="31">
        <f t="shared" si="25"/>
        <v>0</v>
      </c>
      <c r="BO35" s="1">
        <v>3274</v>
      </c>
      <c r="BU35" s="1">
        <v>1.1099999994039537E-3</v>
      </c>
      <c r="CB35" s="1">
        <v>1.1099999994039537E-3</v>
      </c>
      <c r="CD35" s="1">
        <v>3274</v>
      </c>
      <c r="CE35" s="31">
        <f t="shared" si="14"/>
        <v>0</v>
      </c>
      <c r="CF35" s="31">
        <f t="shared" si="2"/>
        <v>0</v>
      </c>
      <c r="CG35" s="31">
        <f t="shared" si="3"/>
        <v>0</v>
      </c>
      <c r="CH35" s="31">
        <f t="shared" si="4"/>
        <v>0</v>
      </c>
      <c r="CI35" s="31">
        <f t="shared" si="5"/>
        <v>0</v>
      </c>
      <c r="CJ35" s="31">
        <f t="shared" si="6"/>
        <v>1</v>
      </c>
      <c r="CK35" s="31">
        <f t="shared" si="7"/>
        <v>0</v>
      </c>
      <c r="CL35" s="31">
        <f t="shared" si="8"/>
        <v>0</v>
      </c>
      <c r="CM35" s="31">
        <f t="shared" si="9"/>
        <v>0</v>
      </c>
      <c r="CN35" s="31">
        <f t="shared" si="10"/>
        <v>0</v>
      </c>
      <c r="CO35" s="31">
        <f t="shared" si="11"/>
        <v>0</v>
      </c>
      <c r="CP35" s="31">
        <f t="shared" si="12"/>
        <v>0</v>
      </c>
    </row>
    <row r="36" spans="1:94">
      <c r="A36" s="28">
        <v>3374</v>
      </c>
      <c r="B36" s="29">
        <v>1.5587275426042454E-3</v>
      </c>
      <c r="C36" s="29">
        <v>1.5587275426042454E-3</v>
      </c>
      <c r="D36" s="22">
        <v>3.705864545606683E-4</v>
      </c>
      <c r="E36" s="22">
        <v>3.705864545606683E-4</v>
      </c>
      <c r="G36" s="29">
        <f>IF(ISBLANK('User Interface (Start Here!)'!$L$4),commercial!B36,commercial!C36)</f>
        <v>1.5587275426042454E-3</v>
      </c>
      <c r="H36" s="22">
        <f>IF(ISBLANK('User Interface (Start Here!)'!$L$4),commercial!D36,commercial!E36)</f>
        <v>3.705864545606683E-4</v>
      </c>
      <c r="I36" s="40">
        <f>(G36+H36)*'User Interface (Start Here!)'!$L$10</f>
        <v>1.7363825974484224E-3</v>
      </c>
      <c r="J36" s="2">
        <f>IF(VLOOKUP(A36,'User Interface (Start Here!)'!$DO$2:$DP$73,2,FALSE)&lt;&gt;0,1,0)</f>
        <v>0</v>
      </c>
      <c r="K36" s="41">
        <f>IF(AND(J36=1,ISBLANK('User Interface (Start Here!)'!$L$14),ISBLANK('User Interface (Start Here!)'!$M$14),ISBLANK('User Interface (Start Here!)'!$N$14)),100%*'User Interface (Start Here!)'!$L$30,IF(J36=1,VLOOKUP(A36,'Bathymetric Closures'!$A$2:$C$57,3,FALSE)*'User Interface (Start Here!)'!$L$30,0%))</f>
        <v>0</v>
      </c>
      <c r="L36" s="50">
        <f>IF(ISBLANK('User Interface (Start Here!)'!#REF!),$I36*VLOOKUP($A36,$BA$5:$BM$60,L$2+1,FALSE),$I36*VLOOKUP($A36,$CD$6:$CP$60,L$2+1,FALSE))</f>
        <v>0</v>
      </c>
      <c r="M36" s="50">
        <f>IF(ISBLANK('User Interface (Start Here!)'!#REF!),$I36*VLOOKUP($A36,$BA$5:$BM$60,M$2+1,FALSE),$I36*VLOOKUP($A36,$CD$6:$CP$60,M$2+1,FALSE))</f>
        <v>0</v>
      </c>
      <c r="N36" s="50">
        <f>IF(ISBLANK('User Interface (Start Here!)'!#REF!),$I36*VLOOKUP($A36,$BA$5:$BM$60,N$2+1,FALSE),$I36*VLOOKUP($A36,$CD$6:$CP$60,N$2+1,FALSE))</f>
        <v>0</v>
      </c>
      <c r="O36" s="50">
        <f>IF(ISBLANK('User Interface (Start Here!)'!#REF!),$I36*VLOOKUP($A36,$BA$5:$BM$60,O$2+1,FALSE),$I36*VLOOKUP($A36,$CD$6:$CP$60,O$2+1,FALSE))</f>
        <v>0</v>
      </c>
      <c r="P36" s="50">
        <f>IF(ISBLANK('User Interface (Start Here!)'!#REF!),$I36*VLOOKUP($A36,$BA$5:$BM$60,P$2+1,FALSE),$I36*VLOOKUP($A36,$CD$6:$CP$60,P$2+1,FALSE))</f>
        <v>0</v>
      </c>
      <c r="Q36" s="50">
        <f>IF(ISBLANK('User Interface (Start Here!)'!#REF!),$I36*VLOOKUP($A36,$BA$5:$BM$60,Q$2+1,FALSE),$I36*VLOOKUP($A36,$CD$6:$CP$60,Q$2+1,FALSE))</f>
        <v>1.7363825974484224E-3</v>
      </c>
      <c r="R36" s="50">
        <f>IF(ISBLANK('User Interface (Start Here!)'!#REF!),$I36*VLOOKUP($A36,$BA$5:$BM$60,R$2+1,FALSE),$I36*VLOOKUP($A36,$CD$6:$CP$60,R$2+1,FALSE))</f>
        <v>0</v>
      </c>
      <c r="S36" s="50">
        <f>IF(ISBLANK('User Interface (Start Here!)'!#REF!),$I36*VLOOKUP($A36,$BA$5:$BM$60,S$2+1,FALSE),$I36*VLOOKUP($A36,$CD$6:$CP$60,S$2+1,FALSE))</f>
        <v>0</v>
      </c>
      <c r="T36" s="50">
        <f>IF(ISBLANK('User Interface (Start Here!)'!#REF!),$I36*VLOOKUP($A36,$BA$5:$BM$60,T$2+1,FALSE),$I36*VLOOKUP($A36,$CD$6:$CP$60,T$2+1,FALSE))</f>
        <v>0</v>
      </c>
      <c r="U36" s="50">
        <f>IF(ISBLANK('User Interface (Start Here!)'!#REF!),$I36*VLOOKUP($A36,$BA$5:$BM$60,U$2+1,FALSE),$I36*VLOOKUP($A36,$CD$6:$CP$60,U$2+1,FALSE))</f>
        <v>0</v>
      </c>
      <c r="V36" s="50">
        <f>IF(ISBLANK('User Interface (Start Here!)'!#REF!),$I36*VLOOKUP($A36,$BA$5:$BM$60,V$2+1,FALSE),$I36*VLOOKUP($A36,$CD$6:$CP$60,V$2+1,FALSE))</f>
        <v>0</v>
      </c>
      <c r="W36" s="50">
        <f>IF(ISBLANK('User Interface (Start Here!)'!#REF!),$I36*VLOOKUP($A36,$BA$5:$BM$60,W$2+1,FALSE),$I36*VLOOKUP($A36,$CD$6:$CP$60,W$2+1,FALSE))</f>
        <v>0</v>
      </c>
      <c r="X36" s="51">
        <f>IF($J36&lt;&gt;1,L36,IF(VLOOKUP($A36,'User Interface (Start Here!)'!$B$18:$N$28,X$2+1,FALSE)&lt;&gt;100%,L36-VLOOKUP($A36,'User Interface (Start Here!)'!$B$18:$N$28,X$2+1,FALSE)/'User Interface (Start Here!)'!$L$35*$K36*L36,L36-VLOOKUP($A36,'User Interface (Start Here!)'!$B$18:$N$28,X$2+1,FALSE)*$K36*L36))</f>
        <v>0</v>
      </c>
      <c r="Y36" s="52">
        <f>IF($J36&lt;&gt;1,M36,IF(VLOOKUP($A36,'User Interface (Start Here!)'!$B$18:$N$28,Y$2+1,FALSE)&lt;&gt;100%,M36-VLOOKUP($A36,'User Interface (Start Here!)'!$B$18:$N$28,Y$2+1,FALSE)/'User Interface (Start Here!)'!$L$35*$K36*M36,M36-VLOOKUP($A36,'User Interface (Start Here!)'!$B$18:$N$28,Y$2+1,FALSE)*$K36*M36))</f>
        <v>0</v>
      </c>
      <c r="Z36" s="52">
        <f>IF($J36&lt;&gt;1,N36,IF(VLOOKUP($A36,'User Interface (Start Here!)'!$B$18:$N$28,Z$2+1,FALSE)&lt;&gt;100%,N36-VLOOKUP($A36,'User Interface (Start Here!)'!$B$18:$N$28,Z$2+1,FALSE)/'User Interface (Start Here!)'!$L$35*$K36*N36,N36-VLOOKUP($A36,'User Interface (Start Here!)'!$B$18:$N$28,Z$2+1,FALSE)*$K36*N36))</f>
        <v>0</v>
      </c>
      <c r="AA36" s="52">
        <f>IF($J36&lt;&gt;1,O36,IF(VLOOKUP($A36,'User Interface (Start Here!)'!$B$18:$N$28,AA$2+1,FALSE)&lt;&gt;100%,O36-VLOOKUP($A36,'User Interface (Start Here!)'!$B$18:$N$28,AA$2+1,FALSE)/'User Interface (Start Here!)'!$L$35*$K36*O36,O36-VLOOKUP($A36,'User Interface (Start Here!)'!$B$18:$N$28,AA$2+1,FALSE)*$K36*O36))</f>
        <v>0</v>
      </c>
      <c r="AB36" s="52">
        <f>IF($J36&lt;&gt;1,P36,IF(VLOOKUP($A36,'User Interface (Start Here!)'!$B$18:$N$28,AB$2+1,FALSE)&lt;&gt;100%,P36-VLOOKUP($A36,'User Interface (Start Here!)'!$B$18:$N$28,AB$2+1,FALSE)/'User Interface (Start Here!)'!$L$35*$K36*P36,P36-VLOOKUP($A36,'User Interface (Start Here!)'!$B$18:$N$28,AB$2+1,FALSE)*$K36*P36))</f>
        <v>0</v>
      </c>
      <c r="AC36" s="52">
        <f>IF($J36&lt;&gt;1,Q36,IF(VLOOKUP($A36,'User Interface (Start Here!)'!$B$18:$N$28,AC$2+1,FALSE)&lt;&gt;100%,Q36-VLOOKUP($A36,'User Interface (Start Here!)'!$B$18:$N$28,AC$2+1,FALSE)/'User Interface (Start Here!)'!$L$35*$K36*Q36,Q36-VLOOKUP($A36,'User Interface (Start Here!)'!$B$18:$N$28,AC$2+1,FALSE)*$K36*Q36))</f>
        <v>1.7363825974484224E-3</v>
      </c>
      <c r="AD36" s="52">
        <f>IF($J36&lt;&gt;1,R36,IF(VLOOKUP($A36,'User Interface (Start Here!)'!$B$18:$N$28,AD$2+1,FALSE)&lt;&gt;100%,R36-VLOOKUP($A36,'User Interface (Start Here!)'!$B$18:$N$28,AD$2+1,FALSE)/'User Interface (Start Here!)'!$L$35*$K36*R36,R36-VLOOKUP($A36,'User Interface (Start Here!)'!$B$18:$N$28,AD$2+1,FALSE)*$K36*R36))</f>
        <v>0</v>
      </c>
      <c r="AE36" s="52">
        <f>IF($J36&lt;&gt;1,S36,IF(VLOOKUP($A36,'User Interface (Start Here!)'!$B$18:$N$28,AE$2+1,FALSE)&lt;&gt;100%,S36-VLOOKUP($A36,'User Interface (Start Here!)'!$B$18:$N$28,AE$2+1,FALSE)/'User Interface (Start Here!)'!$L$35*$K36*S36,S36-VLOOKUP($A36,'User Interface (Start Here!)'!$B$18:$N$28,AE$2+1,FALSE)*$K36*S36))</f>
        <v>0</v>
      </c>
      <c r="AF36" s="52">
        <f>IF($J36&lt;&gt;1,T36,IF(VLOOKUP($A36,'User Interface (Start Here!)'!$B$18:$N$28,AF$2+1,FALSE)&lt;&gt;100%,T36-VLOOKUP($A36,'User Interface (Start Here!)'!$B$18:$N$28,AF$2+1,FALSE)/'User Interface (Start Here!)'!$L$35*$K36*T36,T36-VLOOKUP($A36,'User Interface (Start Here!)'!$B$18:$N$28,AF$2+1,FALSE)*$K36*T36))</f>
        <v>0</v>
      </c>
      <c r="AG36" s="52">
        <f>IF($J36&lt;&gt;1,U36,IF(VLOOKUP($A36,'User Interface (Start Here!)'!$B$18:$N$28,AG$2+1,FALSE)&lt;&gt;100%,U36-VLOOKUP($A36,'User Interface (Start Here!)'!$B$18:$N$28,AG$2+1,FALSE)/'User Interface (Start Here!)'!$L$35*$K36*U36,U36-VLOOKUP($A36,'User Interface (Start Here!)'!$B$18:$N$28,AG$2+1,FALSE)*$K36*U36))</f>
        <v>0</v>
      </c>
      <c r="AH36" s="52">
        <f>IF($J36&lt;&gt;1,V36,IF(VLOOKUP($A36,'User Interface (Start Here!)'!$B$18:$N$28,AH$2+1,FALSE)&lt;&gt;100%,V36-VLOOKUP($A36,'User Interface (Start Here!)'!$B$18:$N$28,AH$2+1,FALSE)/'User Interface (Start Here!)'!$L$35*$K36*V36,V36-VLOOKUP($A36,'User Interface (Start Here!)'!$B$18:$N$28,AH$2+1,FALSE)*$K36*V36))</f>
        <v>0</v>
      </c>
      <c r="AI36" s="52">
        <f>IF($J36&lt;&gt;1,W36,IF(VLOOKUP($A36,'User Interface (Start Here!)'!$B$18:$N$28,AI$2+1,FALSE)&lt;&gt;100%,W36-VLOOKUP($A36,'User Interface (Start Here!)'!$B$18:$N$28,AI$2+1,FALSE)/'User Interface (Start Here!)'!$L$35*$K36*W36,W36-VLOOKUP($A36,'User Interface (Start Here!)'!$B$18:$N$28,AI$2+1,FALSE)*$K36*W36))</f>
        <v>0</v>
      </c>
      <c r="AJ36" s="42">
        <f t="shared" si="0"/>
        <v>1.7363825974484224E-3</v>
      </c>
      <c r="AL36" s="1">
        <v>3276</v>
      </c>
      <c r="AS36" s="1">
        <v>0</v>
      </c>
      <c r="AT36" s="1">
        <v>0</v>
      </c>
      <c r="AU36" s="1">
        <v>0</v>
      </c>
      <c r="AY36" s="1">
        <v>0</v>
      </c>
      <c r="BA36" s="1">
        <v>3276</v>
      </c>
      <c r="BB36" s="31">
        <f t="shared" si="13"/>
        <v>0</v>
      </c>
      <c r="BC36" s="31">
        <f t="shared" si="15"/>
        <v>0</v>
      </c>
      <c r="BD36" s="31">
        <f t="shared" si="16"/>
        <v>0</v>
      </c>
      <c r="BE36" s="31">
        <f t="shared" si="17"/>
        <v>0</v>
      </c>
      <c r="BF36" s="31">
        <f t="shared" si="18"/>
        <v>0</v>
      </c>
      <c r="BG36" s="31">
        <f t="shared" si="19"/>
        <v>0</v>
      </c>
      <c r="BH36" s="31">
        <f t="shared" si="20"/>
        <v>0</v>
      </c>
      <c r="BI36" s="31">
        <f t="shared" si="21"/>
        <v>0</v>
      </c>
      <c r="BJ36" s="31">
        <f t="shared" si="22"/>
        <v>0</v>
      </c>
      <c r="BK36" s="31">
        <f t="shared" si="23"/>
        <v>0</v>
      </c>
      <c r="BL36" s="31">
        <f t="shared" si="24"/>
        <v>0</v>
      </c>
      <c r="BM36" s="31">
        <f t="shared" si="25"/>
        <v>0</v>
      </c>
      <c r="BO36" s="1">
        <v>3276</v>
      </c>
      <c r="BV36" s="1">
        <v>0</v>
      </c>
      <c r="BW36" s="1">
        <v>0</v>
      </c>
      <c r="BX36" s="1">
        <v>0</v>
      </c>
      <c r="CB36" s="1">
        <v>0</v>
      </c>
      <c r="CD36" s="1">
        <v>3276</v>
      </c>
      <c r="CE36" s="31">
        <f t="shared" si="14"/>
        <v>0</v>
      </c>
      <c r="CF36" s="31">
        <f t="shared" si="2"/>
        <v>0</v>
      </c>
      <c r="CG36" s="31">
        <f t="shared" si="3"/>
        <v>0</v>
      </c>
      <c r="CH36" s="31">
        <f t="shared" si="4"/>
        <v>0</v>
      </c>
      <c r="CI36" s="31">
        <f t="shared" si="5"/>
        <v>0</v>
      </c>
      <c r="CJ36" s="31">
        <f t="shared" si="6"/>
        <v>0</v>
      </c>
      <c r="CK36" s="31">
        <f t="shared" si="7"/>
        <v>0</v>
      </c>
      <c r="CL36" s="31">
        <f t="shared" si="8"/>
        <v>0</v>
      </c>
      <c r="CM36" s="31">
        <f t="shared" si="9"/>
        <v>0</v>
      </c>
      <c r="CN36" s="31">
        <f t="shared" si="10"/>
        <v>0</v>
      </c>
      <c r="CO36" s="31">
        <f t="shared" si="11"/>
        <v>0</v>
      </c>
      <c r="CP36" s="31">
        <f t="shared" si="12"/>
        <v>0</v>
      </c>
    </row>
    <row r="37" spans="1:94">
      <c r="A37" s="28">
        <v>3375</v>
      </c>
      <c r="B37" s="29">
        <v>0.12150332669474688</v>
      </c>
      <c r="C37" s="29">
        <v>0.10380866747704272</v>
      </c>
      <c r="D37" s="22">
        <v>2.8887336514182037E-2</v>
      </c>
      <c r="E37" s="22">
        <v>2.4680442849371025E-2</v>
      </c>
      <c r="G37" s="29">
        <f>IF(ISBLANK('User Interface (Start Here!)'!$L$4),commercial!B37,commercial!C37)</f>
        <v>0.10380866747704272</v>
      </c>
      <c r="H37" s="22">
        <f>IF(ISBLANK('User Interface (Start Here!)'!$L$4),commercial!D37,commercial!E37)</f>
        <v>2.4680442849371025E-2</v>
      </c>
      <c r="I37" s="40">
        <f>(G37+H37)*'User Interface (Start Here!)'!$L$10</f>
        <v>0.11564019929377238</v>
      </c>
      <c r="J37" s="2">
        <f>IF(VLOOKUP(A37,'User Interface (Start Here!)'!$DO$2:$DP$73,2,FALSE)&lt;&gt;0,1,0)</f>
        <v>0</v>
      </c>
      <c r="K37" s="41">
        <f>IF(AND(J37=1,ISBLANK('User Interface (Start Here!)'!$L$14),ISBLANK('User Interface (Start Here!)'!$M$14),ISBLANK('User Interface (Start Here!)'!$N$14)),100%*'User Interface (Start Here!)'!$L$30,IF(J37=1,VLOOKUP(A37,'Bathymetric Closures'!$A$2:$C$57,3,FALSE)*'User Interface (Start Here!)'!$L$30,0%))</f>
        <v>0</v>
      </c>
      <c r="L37" s="50">
        <f>IF(ISBLANK('User Interface (Start Here!)'!#REF!),$I37*VLOOKUP($A37,$BA$5:$BM$60,L$2+1,FALSE),$I37*VLOOKUP($A37,$CD$6:$CP$60,L$2+1,FALSE))</f>
        <v>0</v>
      </c>
      <c r="M37" s="50">
        <f>IF(ISBLANK('User Interface (Start Here!)'!#REF!),$I37*VLOOKUP($A37,$BA$5:$BM$60,M$2+1,FALSE),$I37*VLOOKUP($A37,$CD$6:$CP$60,M$2+1,FALSE))</f>
        <v>0</v>
      </c>
      <c r="N37" s="50">
        <f>IF(ISBLANK('User Interface (Start Here!)'!#REF!),$I37*VLOOKUP($A37,$BA$5:$BM$60,N$2+1,FALSE),$I37*VLOOKUP($A37,$CD$6:$CP$60,N$2+1,FALSE))</f>
        <v>0</v>
      </c>
      <c r="O37" s="50">
        <f>IF(ISBLANK('User Interface (Start Here!)'!#REF!),$I37*VLOOKUP($A37,$BA$5:$BM$60,O$2+1,FALSE),$I37*VLOOKUP($A37,$CD$6:$CP$60,O$2+1,FALSE))</f>
        <v>3.898476417164734E-2</v>
      </c>
      <c r="P37" s="50">
        <f>IF(ISBLANK('User Interface (Start Here!)'!#REF!),$I37*VLOOKUP($A37,$BA$5:$BM$60,P$2+1,FALSE),$I37*VLOOKUP($A37,$CD$6:$CP$60,P$2+1,FALSE))</f>
        <v>7.4027248773871054E-2</v>
      </c>
      <c r="Q37" s="50">
        <f>IF(ISBLANK('User Interface (Start Here!)'!#REF!),$I37*VLOOKUP($A37,$BA$5:$BM$60,Q$2+1,FALSE),$I37*VLOOKUP($A37,$CD$6:$CP$60,Q$2+1,FALSE))</f>
        <v>2.628186348253955E-3</v>
      </c>
      <c r="R37" s="50">
        <f>IF(ISBLANK('User Interface (Start Here!)'!#REF!),$I37*VLOOKUP($A37,$BA$5:$BM$60,R$2+1,FALSE),$I37*VLOOKUP($A37,$CD$6:$CP$60,R$2+1,FALSE))</f>
        <v>0</v>
      </c>
      <c r="S37" s="50">
        <f>IF(ISBLANK('User Interface (Start Here!)'!#REF!),$I37*VLOOKUP($A37,$BA$5:$BM$60,S$2+1,FALSE),$I37*VLOOKUP($A37,$CD$6:$CP$60,S$2+1,FALSE))</f>
        <v>0</v>
      </c>
      <c r="T37" s="50">
        <f>IF(ISBLANK('User Interface (Start Here!)'!#REF!),$I37*VLOOKUP($A37,$BA$5:$BM$60,T$2+1,FALSE),$I37*VLOOKUP($A37,$CD$6:$CP$60,T$2+1,FALSE))</f>
        <v>0</v>
      </c>
      <c r="U37" s="50">
        <f>IF(ISBLANK('User Interface (Start Here!)'!#REF!),$I37*VLOOKUP($A37,$BA$5:$BM$60,U$2+1,FALSE),$I37*VLOOKUP($A37,$CD$6:$CP$60,U$2+1,FALSE))</f>
        <v>0</v>
      </c>
      <c r="V37" s="50">
        <f>IF(ISBLANK('User Interface (Start Here!)'!#REF!),$I37*VLOOKUP($A37,$BA$5:$BM$60,V$2+1,FALSE),$I37*VLOOKUP($A37,$CD$6:$CP$60,V$2+1,FALSE))</f>
        <v>0</v>
      </c>
      <c r="W37" s="50">
        <f>IF(ISBLANK('User Interface (Start Here!)'!#REF!),$I37*VLOOKUP($A37,$BA$5:$BM$60,W$2+1,FALSE),$I37*VLOOKUP($A37,$CD$6:$CP$60,W$2+1,FALSE))</f>
        <v>0</v>
      </c>
      <c r="X37" s="51">
        <f>IF($J37&lt;&gt;1,L37,IF(VLOOKUP($A37,'User Interface (Start Here!)'!$B$18:$N$28,X$2+1,FALSE)&lt;&gt;100%,L37-VLOOKUP($A37,'User Interface (Start Here!)'!$B$18:$N$28,X$2+1,FALSE)/'User Interface (Start Here!)'!$L$35*$K37*L37,L37-VLOOKUP($A37,'User Interface (Start Here!)'!$B$18:$N$28,X$2+1,FALSE)*$K37*L37))</f>
        <v>0</v>
      </c>
      <c r="Y37" s="52">
        <f>IF($J37&lt;&gt;1,M37,IF(VLOOKUP($A37,'User Interface (Start Here!)'!$B$18:$N$28,Y$2+1,FALSE)&lt;&gt;100%,M37-VLOOKUP($A37,'User Interface (Start Here!)'!$B$18:$N$28,Y$2+1,FALSE)/'User Interface (Start Here!)'!$L$35*$K37*M37,M37-VLOOKUP($A37,'User Interface (Start Here!)'!$B$18:$N$28,Y$2+1,FALSE)*$K37*M37))</f>
        <v>0</v>
      </c>
      <c r="Z37" s="52">
        <f>IF($J37&lt;&gt;1,N37,IF(VLOOKUP($A37,'User Interface (Start Here!)'!$B$18:$N$28,Z$2+1,FALSE)&lt;&gt;100%,N37-VLOOKUP($A37,'User Interface (Start Here!)'!$B$18:$N$28,Z$2+1,FALSE)/'User Interface (Start Here!)'!$L$35*$K37*N37,N37-VLOOKUP($A37,'User Interface (Start Here!)'!$B$18:$N$28,Z$2+1,FALSE)*$K37*N37))</f>
        <v>0</v>
      </c>
      <c r="AA37" s="52">
        <f>IF($J37&lt;&gt;1,O37,IF(VLOOKUP($A37,'User Interface (Start Here!)'!$B$18:$N$28,AA$2+1,FALSE)&lt;&gt;100%,O37-VLOOKUP($A37,'User Interface (Start Here!)'!$B$18:$N$28,AA$2+1,FALSE)/'User Interface (Start Here!)'!$L$35*$K37*O37,O37-VLOOKUP($A37,'User Interface (Start Here!)'!$B$18:$N$28,AA$2+1,FALSE)*$K37*O37))</f>
        <v>3.898476417164734E-2</v>
      </c>
      <c r="AB37" s="52">
        <f>IF($J37&lt;&gt;1,P37,IF(VLOOKUP($A37,'User Interface (Start Here!)'!$B$18:$N$28,AB$2+1,FALSE)&lt;&gt;100%,P37-VLOOKUP($A37,'User Interface (Start Here!)'!$B$18:$N$28,AB$2+1,FALSE)/'User Interface (Start Here!)'!$L$35*$K37*P37,P37-VLOOKUP($A37,'User Interface (Start Here!)'!$B$18:$N$28,AB$2+1,FALSE)*$K37*P37))</f>
        <v>7.4027248773871054E-2</v>
      </c>
      <c r="AC37" s="52">
        <f>IF($J37&lt;&gt;1,Q37,IF(VLOOKUP($A37,'User Interface (Start Here!)'!$B$18:$N$28,AC$2+1,FALSE)&lt;&gt;100%,Q37-VLOOKUP($A37,'User Interface (Start Here!)'!$B$18:$N$28,AC$2+1,FALSE)/'User Interface (Start Here!)'!$L$35*$K37*Q37,Q37-VLOOKUP($A37,'User Interface (Start Here!)'!$B$18:$N$28,AC$2+1,FALSE)*$K37*Q37))</f>
        <v>2.628186348253955E-3</v>
      </c>
      <c r="AD37" s="52">
        <f>IF($J37&lt;&gt;1,R37,IF(VLOOKUP($A37,'User Interface (Start Here!)'!$B$18:$N$28,AD$2+1,FALSE)&lt;&gt;100%,R37-VLOOKUP($A37,'User Interface (Start Here!)'!$B$18:$N$28,AD$2+1,FALSE)/'User Interface (Start Here!)'!$L$35*$K37*R37,R37-VLOOKUP($A37,'User Interface (Start Here!)'!$B$18:$N$28,AD$2+1,FALSE)*$K37*R37))</f>
        <v>0</v>
      </c>
      <c r="AE37" s="52">
        <f>IF($J37&lt;&gt;1,S37,IF(VLOOKUP($A37,'User Interface (Start Here!)'!$B$18:$N$28,AE$2+1,FALSE)&lt;&gt;100%,S37-VLOOKUP($A37,'User Interface (Start Here!)'!$B$18:$N$28,AE$2+1,FALSE)/'User Interface (Start Here!)'!$L$35*$K37*S37,S37-VLOOKUP($A37,'User Interface (Start Here!)'!$B$18:$N$28,AE$2+1,FALSE)*$K37*S37))</f>
        <v>0</v>
      </c>
      <c r="AF37" s="52">
        <f>IF($J37&lt;&gt;1,T37,IF(VLOOKUP($A37,'User Interface (Start Here!)'!$B$18:$N$28,AF$2+1,FALSE)&lt;&gt;100%,T37-VLOOKUP($A37,'User Interface (Start Here!)'!$B$18:$N$28,AF$2+1,FALSE)/'User Interface (Start Here!)'!$L$35*$K37*T37,T37-VLOOKUP($A37,'User Interface (Start Here!)'!$B$18:$N$28,AF$2+1,FALSE)*$K37*T37))</f>
        <v>0</v>
      </c>
      <c r="AG37" s="52">
        <f>IF($J37&lt;&gt;1,U37,IF(VLOOKUP($A37,'User Interface (Start Here!)'!$B$18:$N$28,AG$2+1,FALSE)&lt;&gt;100%,U37-VLOOKUP($A37,'User Interface (Start Here!)'!$B$18:$N$28,AG$2+1,FALSE)/'User Interface (Start Here!)'!$L$35*$K37*U37,U37-VLOOKUP($A37,'User Interface (Start Here!)'!$B$18:$N$28,AG$2+1,FALSE)*$K37*U37))</f>
        <v>0</v>
      </c>
      <c r="AH37" s="52">
        <f>IF($J37&lt;&gt;1,V37,IF(VLOOKUP($A37,'User Interface (Start Here!)'!$B$18:$N$28,AH$2+1,FALSE)&lt;&gt;100%,V37-VLOOKUP($A37,'User Interface (Start Here!)'!$B$18:$N$28,AH$2+1,FALSE)/'User Interface (Start Here!)'!$L$35*$K37*V37,V37-VLOOKUP($A37,'User Interface (Start Here!)'!$B$18:$N$28,AH$2+1,FALSE)*$K37*V37))</f>
        <v>0</v>
      </c>
      <c r="AI37" s="52">
        <f>IF($J37&lt;&gt;1,W37,IF(VLOOKUP($A37,'User Interface (Start Here!)'!$B$18:$N$28,AI$2+1,FALSE)&lt;&gt;100%,W37-VLOOKUP($A37,'User Interface (Start Here!)'!$B$18:$N$28,AI$2+1,FALSE)/'User Interface (Start Here!)'!$L$35*$K37*W37,W37-VLOOKUP($A37,'User Interface (Start Here!)'!$B$18:$N$28,AI$2+1,FALSE)*$K37*W37))</f>
        <v>0</v>
      </c>
      <c r="AJ37" s="42">
        <f t="shared" si="0"/>
        <v>0.11564019929377235</v>
      </c>
      <c r="AL37" s="1">
        <v>3277</v>
      </c>
      <c r="AM37" s="1">
        <v>1.7759999990463259E-2</v>
      </c>
      <c r="AN37" s="1">
        <v>2.441999998688698E-2</v>
      </c>
      <c r="AO37" s="1">
        <v>3.5519999980926517E-2</v>
      </c>
      <c r="AP37" s="1">
        <v>7.3259999886155142E-2</v>
      </c>
      <c r="AQ37" s="1">
        <v>0.19424999988079075</v>
      </c>
      <c r="AR37" s="1">
        <v>0</v>
      </c>
      <c r="AS37" s="1">
        <v>0.17981999969482423</v>
      </c>
      <c r="AT37" s="1">
        <v>0.13319999998807908</v>
      </c>
      <c r="AU37" s="1">
        <v>3.551999995112419E-2</v>
      </c>
      <c r="AV37" s="1">
        <v>1.7759999990463259E-2</v>
      </c>
      <c r="AW37" s="1">
        <v>2.9969999969005585E-2</v>
      </c>
      <c r="AX37" s="1">
        <v>2.1089999988675119E-2</v>
      </c>
      <c r="AY37" s="1">
        <v>0.76256999930739422</v>
      </c>
      <c r="BA37" s="1">
        <v>3277</v>
      </c>
      <c r="BB37" s="31">
        <f t="shared" si="13"/>
        <v>2.3289665219709425E-2</v>
      </c>
      <c r="BC37" s="31">
        <f t="shared" si="15"/>
        <v>3.2023289677100455E-2</v>
      </c>
      <c r="BD37" s="31">
        <f t="shared" si="16"/>
        <v>4.6579330439418851E-2</v>
      </c>
      <c r="BE37" s="31">
        <f t="shared" si="17"/>
        <v>9.6069868933597813E-2</v>
      </c>
      <c r="BF37" s="31">
        <f t="shared" si="18"/>
        <v>0.25473071332103114</v>
      </c>
      <c r="BG37" s="31">
        <f t="shared" si="19"/>
        <v>0</v>
      </c>
      <c r="BH37" s="31">
        <f t="shared" si="20"/>
        <v>0.23580786007598795</v>
      </c>
      <c r="BI37" s="31">
        <f t="shared" si="21"/>
        <v>0.17467248922598352</v>
      </c>
      <c r="BJ37" s="31">
        <f t="shared" si="22"/>
        <v>4.6579330400337418E-2</v>
      </c>
      <c r="BK37" s="31">
        <f t="shared" si="23"/>
        <v>2.3289665219709425E-2</v>
      </c>
      <c r="BL37" s="31">
        <f t="shared" si="24"/>
        <v>3.9301310038718937E-2</v>
      </c>
      <c r="BM37" s="31">
        <f t="shared" si="25"/>
        <v>2.765647744840494E-2</v>
      </c>
      <c r="BO37" s="1">
        <v>3277</v>
      </c>
      <c r="BP37" s="1">
        <v>1.7759999990463259E-2</v>
      </c>
      <c r="BQ37" s="1">
        <v>1.1099999994039536E-2</v>
      </c>
      <c r="BR37" s="1">
        <v>3.5519999980926517E-2</v>
      </c>
      <c r="BS37" s="1">
        <v>2.5529999971389772E-2</v>
      </c>
      <c r="BT37" s="1">
        <v>0.19424999988079075</v>
      </c>
      <c r="BU37" s="1">
        <v>0</v>
      </c>
      <c r="BV37" s="1">
        <v>0.14929122779100798</v>
      </c>
      <c r="BW37" s="1">
        <v>1.8148127986014371E-2</v>
      </c>
      <c r="BX37" s="1">
        <v>3.551999995112419E-2</v>
      </c>
      <c r="BY37" s="1">
        <v>0</v>
      </c>
      <c r="BZ37" s="1">
        <v>0</v>
      </c>
      <c r="CA37" s="1">
        <v>0</v>
      </c>
      <c r="CB37" s="1">
        <v>0.48711935554575647</v>
      </c>
      <c r="CD37" s="1">
        <v>3277</v>
      </c>
      <c r="CE37" s="31">
        <f t="shared" si="14"/>
        <v>3.6459236916515862E-2</v>
      </c>
      <c r="CF37" s="31">
        <f t="shared" si="2"/>
        <v>2.2787023072822411E-2</v>
      </c>
      <c r="CG37" s="31">
        <f t="shared" si="3"/>
        <v>7.2918473833031724E-2</v>
      </c>
      <c r="CH37" s="31">
        <f t="shared" si="4"/>
        <v>5.2410153036901178E-2</v>
      </c>
      <c r="CI37" s="31">
        <f t="shared" si="5"/>
        <v>0.39877290374380187</v>
      </c>
      <c r="CJ37" s="31">
        <f t="shared" si="6"/>
        <v>0</v>
      </c>
      <c r="CK37" s="31">
        <f t="shared" si="7"/>
        <v>0.30647771658292206</v>
      </c>
      <c r="CL37" s="31">
        <f t="shared" si="8"/>
        <v>3.7256019042153761E-2</v>
      </c>
      <c r="CM37" s="31">
        <f t="shared" si="9"/>
        <v>7.291847377185097E-2</v>
      </c>
      <c r="CN37" s="31">
        <f t="shared" si="10"/>
        <v>0</v>
      </c>
      <c r="CO37" s="31">
        <f t="shared" si="11"/>
        <v>0</v>
      </c>
      <c r="CP37" s="31">
        <f t="shared" si="12"/>
        <v>0</v>
      </c>
    </row>
    <row r="38" spans="1:94">
      <c r="A38" s="28">
        <v>3376</v>
      </c>
      <c r="B38" s="29">
        <v>1.3833030777163446</v>
      </c>
      <c r="C38" s="29">
        <v>0.17580465804818107</v>
      </c>
      <c r="D38" s="22">
        <v>0.32887940268077775</v>
      </c>
      <c r="E38" s="22">
        <v>4.1797442555275115E-2</v>
      </c>
      <c r="G38" s="29">
        <f>IF(ISBLANK('User Interface (Start Here!)'!$L$4),commercial!B38,commercial!C38)</f>
        <v>0.17580465804818107</v>
      </c>
      <c r="H38" s="22">
        <f>IF(ISBLANK('User Interface (Start Here!)'!$L$4),commercial!D38,commercial!E38)</f>
        <v>4.1797442555275115E-2</v>
      </c>
      <c r="I38" s="40">
        <f>(G38+H38)*'User Interface (Start Here!)'!$L$10</f>
        <v>0.19584189054311057</v>
      </c>
      <c r="J38" s="2">
        <f>IF(VLOOKUP(A38,'User Interface (Start Here!)'!$DO$2:$DP$73,2,FALSE)&lt;&gt;0,1,0)</f>
        <v>0</v>
      </c>
      <c r="K38" s="41">
        <f>IF(AND(J38=1,ISBLANK('User Interface (Start Here!)'!$L$14),ISBLANK('User Interface (Start Here!)'!$M$14),ISBLANK('User Interface (Start Here!)'!$N$14)),100%*'User Interface (Start Here!)'!$L$30,IF(J38=1,VLOOKUP(A38,'Bathymetric Closures'!$A$2:$C$57,3,FALSE)*'User Interface (Start Here!)'!$L$30,0%))</f>
        <v>0</v>
      </c>
      <c r="L38" s="50">
        <f>IF(ISBLANK('User Interface (Start Here!)'!$L24),$I38*VLOOKUP($A38,$BA$5:$BM$60,L$2+1,FALSE),$I38*VLOOKUP($A38,$CD$6:$CP$60,L$2+1,FALSE))</f>
        <v>2.4075117256940705E-2</v>
      </c>
      <c r="M38" s="50">
        <f>IF(ISBLANK('User Interface (Start Here!)'!$L24),$I38*VLOOKUP($A38,$BA$5:$BM$60,M$2+1,FALSE),$I38*VLOOKUP($A38,$CD$6:$CP$60,M$2+1,FALSE))</f>
        <v>0</v>
      </c>
      <c r="N38" s="50">
        <f>IF(ISBLANK('User Interface (Start Here!)'!$L24),$I38*VLOOKUP($A38,$BA$5:$BM$60,N$2+1,FALSE),$I38*VLOOKUP($A38,$CD$6:$CP$60,N$2+1,FALSE))</f>
        <v>2.3142279202275763E-3</v>
      </c>
      <c r="O38" s="50">
        <f>IF(ISBLANK('User Interface (Start Here!)'!$L24),$I38*VLOOKUP($A38,$BA$5:$BM$60,O$2+1,FALSE),$I38*VLOOKUP($A38,$CD$6:$CP$60,O$2+1,FALSE))</f>
        <v>0</v>
      </c>
      <c r="P38" s="50">
        <f>IF(ISBLANK('User Interface (Start Here!)'!$L24),$I38*VLOOKUP($A38,$BA$5:$BM$60,P$2+1,FALSE),$I38*VLOOKUP($A38,$CD$6:$CP$60,P$2+1,FALSE))</f>
        <v>0.12392868725979087</v>
      </c>
      <c r="Q38" s="50">
        <f>IF(ISBLANK('User Interface (Start Here!)'!$L24),$I38*VLOOKUP($A38,$BA$5:$BM$60,Q$2+1,FALSE),$I38*VLOOKUP($A38,$CD$6:$CP$60,Q$2+1,FALSE))</f>
        <v>4.3772940520585692E-4</v>
      </c>
      <c r="R38" s="50">
        <f>IF(ISBLANK('User Interface (Start Here!)'!$L24),$I38*VLOOKUP($A38,$BA$5:$BM$60,R$2+1,FALSE),$I38*VLOOKUP($A38,$CD$6:$CP$60,R$2+1,FALSE))</f>
        <v>3.8520187622857693E-2</v>
      </c>
      <c r="S38" s="50">
        <f>IF(ISBLANK('User Interface (Start Here!)'!$L24),$I38*VLOOKUP($A38,$BA$5:$BM$60,S$2+1,FALSE),$I38*VLOOKUP($A38,$CD$6:$CP$60,S$2+1,FALSE))</f>
        <v>6.5659410780878526E-3</v>
      </c>
      <c r="T38" s="50">
        <f>IF(ISBLANK('User Interface (Start Here!)'!$L24),$I38*VLOOKUP($A38,$BA$5:$BM$60,T$2+1,FALSE),$I38*VLOOKUP($A38,$CD$6:$CP$60,T$2+1,FALSE))</f>
        <v>0</v>
      </c>
      <c r="U38" s="50">
        <f>IF(ISBLANK('User Interface (Start Here!)'!$L24),$I38*VLOOKUP($A38,$BA$5:$BM$60,U$2+1,FALSE),$I38*VLOOKUP($A38,$CD$6:$CP$60,U$2+1,FALSE))</f>
        <v>0</v>
      </c>
      <c r="V38" s="50">
        <f>IF(ISBLANK('User Interface (Start Here!)'!$L24),$I38*VLOOKUP($A38,$BA$5:$BM$60,V$2+1,FALSE),$I38*VLOOKUP($A38,$CD$6:$CP$60,V$2+1,FALSE))</f>
        <v>0</v>
      </c>
      <c r="W38" s="50">
        <f>IF(ISBLANK('User Interface (Start Here!)'!$L24),$I38*VLOOKUP($A38,$BA$5:$BM$60,W$2+1,FALSE),$I38*VLOOKUP($A38,$CD$6:$CP$60,W$2+1,FALSE))</f>
        <v>0</v>
      </c>
      <c r="X38" s="51">
        <f>IF($J38&lt;&gt;1,L38,IF(VLOOKUP($A38,'User Interface (Start Here!)'!$B$18:$N$28,X$2+1,FALSE)&lt;&gt;100%,L38-VLOOKUP($A38,'User Interface (Start Here!)'!$B$18:$N$28,X$2+1,FALSE)/'User Interface (Start Here!)'!$L$35*$K38*L38,L38-VLOOKUP($A38,'User Interface (Start Here!)'!$B$18:$N$28,X$2+1,FALSE)*$K38*L38))</f>
        <v>2.4075117256940705E-2</v>
      </c>
      <c r="Y38" s="52">
        <f>IF($J38&lt;&gt;1,M38,IF(VLOOKUP($A38,'User Interface (Start Here!)'!$B$18:$N$28,Y$2+1,FALSE)&lt;&gt;100%,M38-VLOOKUP($A38,'User Interface (Start Here!)'!$B$18:$N$28,Y$2+1,FALSE)/'User Interface (Start Here!)'!$L$35*$K38*M38,M38-VLOOKUP($A38,'User Interface (Start Here!)'!$B$18:$N$28,Y$2+1,FALSE)*$K38*M38))</f>
        <v>0</v>
      </c>
      <c r="Z38" s="52">
        <f>IF($J38&lt;&gt;1,N38,IF(VLOOKUP($A38,'User Interface (Start Here!)'!$B$18:$N$28,Z$2+1,FALSE)&lt;&gt;100%,N38-VLOOKUP($A38,'User Interface (Start Here!)'!$B$18:$N$28,Z$2+1,FALSE)/'User Interface (Start Here!)'!$L$35*$K38*N38,N38-VLOOKUP($A38,'User Interface (Start Here!)'!$B$18:$N$28,Z$2+1,FALSE)*$K38*N38))</f>
        <v>2.3142279202275763E-3</v>
      </c>
      <c r="AA38" s="52">
        <f>IF($J38&lt;&gt;1,O38,IF(VLOOKUP($A38,'User Interface (Start Here!)'!$B$18:$N$28,AA$2+1,FALSE)&lt;&gt;100%,O38-VLOOKUP($A38,'User Interface (Start Here!)'!$B$18:$N$28,AA$2+1,FALSE)/'User Interface (Start Here!)'!$L$35*$K38*O38,O38-VLOOKUP($A38,'User Interface (Start Here!)'!$B$18:$N$28,AA$2+1,FALSE)*$K38*O38))</f>
        <v>0</v>
      </c>
      <c r="AB38" s="52">
        <f>IF($J38&lt;&gt;1,P38,IF(VLOOKUP($A38,'User Interface (Start Here!)'!$B$18:$N$28,AB$2+1,FALSE)&lt;&gt;100%,P38-VLOOKUP($A38,'User Interface (Start Here!)'!$B$18:$N$28,AB$2+1,FALSE)/'User Interface (Start Here!)'!$L$35*$K38*P38,P38-VLOOKUP($A38,'User Interface (Start Here!)'!$B$18:$N$28,AB$2+1,FALSE)*$K38*P38))</f>
        <v>0.12392868725979087</v>
      </c>
      <c r="AC38" s="52">
        <f>IF($J38&lt;&gt;1,Q38,IF(VLOOKUP($A38,'User Interface (Start Here!)'!$B$18:$N$28,AC$2+1,FALSE)&lt;&gt;100%,Q38-VLOOKUP($A38,'User Interface (Start Here!)'!$B$18:$N$28,AC$2+1,FALSE)/'User Interface (Start Here!)'!$L$35*$K38*Q38,Q38-VLOOKUP($A38,'User Interface (Start Here!)'!$B$18:$N$28,AC$2+1,FALSE)*$K38*Q38))</f>
        <v>4.3772940520585692E-4</v>
      </c>
      <c r="AD38" s="52">
        <f>IF($J38&lt;&gt;1,R38,IF(VLOOKUP($A38,'User Interface (Start Here!)'!$B$18:$N$28,AD$2+1,FALSE)&lt;&gt;100%,R38-VLOOKUP($A38,'User Interface (Start Here!)'!$B$18:$N$28,AD$2+1,FALSE)/'User Interface (Start Here!)'!$L$35*$K38*R38,R38-VLOOKUP($A38,'User Interface (Start Here!)'!$B$18:$N$28,AD$2+1,FALSE)*$K38*R38))</f>
        <v>3.8520187622857693E-2</v>
      </c>
      <c r="AE38" s="52">
        <f>IF($J38&lt;&gt;1,S38,IF(VLOOKUP($A38,'User Interface (Start Here!)'!$B$18:$N$28,AE$2+1,FALSE)&lt;&gt;100%,S38-VLOOKUP($A38,'User Interface (Start Here!)'!$B$18:$N$28,AE$2+1,FALSE)/'User Interface (Start Here!)'!$L$35*$K38*S38,S38-VLOOKUP($A38,'User Interface (Start Here!)'!$B$18:$N$28,AE$2+1,FALSE)*$K38*S38))</f>
        <v>6.5659410780878526E-3</v>
      </c>
      <c r="AF38" s="52">
        <f>IF($J38&lt;&gt;1,T38,IF(VLOOKUP($A38,'User Interface (Start Here!)'!$B$18:$N$28,AF$2+1,FALSE)&lt;&gt;100%,T38-VLOOKUP($A38,'User Interface (Start Here!)'!$B$18:$N$28,AF$2+1,FALSE)/'User Interface (Start Here!)'!$L$35*$K38*T38,T38-VLOOKUP($A38,'User Interface (Start Here!)'!$B$18:$N$28,AF$2+1,FALSE)*$K38*T38))</f>
        <v>0</v>
      </c>
      <c r="AG38" s="52">
        <f>IF($J38&lt;&gt;1,U38,IF(VLOOKUP($A38,'User Interface (Start Here!)'!$B$18:$N$28,AG$2+1,FALSE)&lt;&gt;100%,U38-VLOOKUP($A38,'User Interface (Start Here!)'!$B$18:$N$28,AG$2+1,FALSE)/'User Interface (Start Here!)'!$L$35*$K38*U38,U38-VLOOKUP($A38,'User Interface (Start Here!)'!$B$18:$N$28,AG$2+1,FALSE)*$K38*U38))</f>
        <v>0</v>
      </c>
      <c r="AH38" s="52">
        <f>IF($J38&lt;&gt;1,V38,IF(VLOOKUP($A38,'User Interface (Start Here!)'!$B$18:$N$28,AH$2+1,FALSE)&lt;&gt;100%,V38-VLOOKUP($A38,'User Interface (Start Here!)'!$B$18:$N$28,AH$2+1,FALSE)/'User Interface (Start Here!)'!$L$35*$K38*V38,V38-VLOOKUP($A38,'User Interface (Start Here!)'!$B$18:$N$28,AH$2+1,FALSE)*$K38*V38))</f>
        <v>0</v>
      </c>
      <c r="AI38" s="52">
        <f>IF($J38&lt;&gt;1,W38,IF(VLOOKUP($A38,'User Interface (Start Here!)'!$B$18:$N$28,AI$2+1,FALSE)&lt;&gt;100%,W38-VLOOKUP($A38,'User Interface (Start Here!)'!$B$18:$N$28,AI$2+1,FALSE)/'User Interface (Start Here!)'!$L$35*$K38*W38,W38-VLOOKUP($A38,'User Interface (Start Here!)'!$B$18:$N$28,AI$2+1,FALSE)*$K38*W38))</f>
        <v>0</v>
      </c>
      <c r="AJ38" s="42">
        <f t="shared" si="0"/>
        <v>0.19584189054311057</v>
      </c>
      <c r="AL38" s="1">
        <v>3278</v>
      </c>
      <c r="AM38" s="1">
        <v>2.1590799977779387</v>
      </c>
      <c r="AN38" s="1">
        <v>0.92684999892115583</v>
      </c>
      <c r="AO38" s="1">
        <v>1.0478399983644486</v>
      </c>
      <c r="AP38" s="1">
        <v>1.3575299983471631</v>
      </c>
      <c r="AQ38" s="1">
        <v>2.4819599974453452</v>
      </c>
      <c r="AR38" s="1">
        <v>2.0135699973702432</v>
      </c>
      <c r="AS38" s="1">
        <v>2.570759995788336</v>
      </c>
      <c r="AT38" s="1">
        <v>1.2598499987274407</v>
      </c>
      <c r="AU38" s="1">
        <v>1.3031399983465672</v>
      </c>
      <c r="AV38" s="1">
        <v>2.2921499974429604</v>
      </c>
      <c r="AW38" s="1">
        <v>2.1989099976569415</v>
      </c>
      <c r="AX38" s="1">
        <v>1.7916599979847672</v>
      </c>
      <c r="AY38" s="1">
        <v>21.403299974173308</v>
      </c>
      <c r="BA38" s="1">
        <v>3278</v>
      </c>
      <c r="BB38" s="31">
        <f t="shared" si="13"/>
        <v>0.10087603315298262</v>
      </c>
      <c r="BC38" s="31">
        <f t="shared" si="15"/>
        <v>4.3304069934989309E-2</v>
      </c>
      <c r="BD38" s="31">
        <f t="shared" si="16"/>
        <v>4.8956936529826911E-2</v>
      </c>
      <c r="BE38" s="31">
        <f t="shared" si="17"/>
        <v>6.3426200631923682E-2</v>
      </c>
      <c r="BF38" s="31">
        <f t="shared" si="18"/>
        <v>0.11596155735051364</v>
      </c>
      <c r="BG38" s="31">
        <f t="shared" si="19"/>
        <v>9.4077548779858952E-2</v>
      </c>
      <c r="BH38" s="31">
        <f t="shared" si="20"/>
        <v>0.12011045020582768</v>
      </c>
      <c r="BI38" s="31">
        <f t="shared" si="21"/>
        <v>5.8862418423685239E-2</v>
      </c>
      <c r="BJ38" s="31">
        <f t="shared" si="22"/>
        <v>6.088500371059722E-2</v>
      </c>
      <c r="BK38" s="31">
        <f t="shared" si="23"/>
        <v>0.10709329870668664</v>
      </c>
      <c r="BL38" s="31">
        <f t="shared" si="24"/>
        <v>0.10273696113731515</v>
      </c>
      <c r="BM38" s="31">
        <f t="shared" si="25"/>
        <v>8.3709521435792952E-2</v>
      </c>
      <c r="BO38" s="1">
        <v>3278</v>
      </c>
      <c r="BP38" s="1">
        <v>0.69942999929189675</v>
      </c>
      <c r="BQ38" s="1">
        <v>0.53945999926328658</v>
      </c>
      <c r="BR38" s="1">
        <v>0.70595999872684478</v>
      </c>
      <c r="BS38" s="1">
        <v>0.29747999960184096</v>
      </c>
      <c r="BT38" s="1">
        <v>2.4819599974453452</v>
      </c>
      <c r="BU38" s="1">
        <v>1.7060999975949527</v>
      </c>
      <c r="BV38" s="1">
        <v>2.2496931639569731</v>
      </c>
      <c r="BW38" s="1">
        <v>1.2531899987310171</v>
      </c>
      <c r="BX38" s="1">
        <v>1.2842699984014034</v>
      </c>
      <c r="BY38" s="1">
        <v>1.9724699976444244</v>
      </c>
      <c r="BZ38" s="1">
        <v>1.3808399984836579</v>
      </c>
      <c r="CA38" s="1">
        <v>3.5519999966025353E-2</v>
      </c>
      <c r="CB38" s="1">
        <v>14.606373149107666</v>
      </c>
      <c r="CD38" s="1">
        <v>3278</v>
      </c>
      <c r="CE38" s="31">
        <f t="shared" si="14"/>
        <v>4.7885261601346013E-2</v>
      </c>
      <c r="CF38" s="31">
        <f t="shared" si="2"/>
        <v>3.6933193049107013E-2</v>
      </c>
      <c r="CG38" s="31">
        <f t="shared" si="3"/>
        <v>4.8332326685079474E-2</v>
      </c>
      <c r="CH38" s="31">
        <f t="shared" si="4"/>
        <v>2.0366452134629644E-2</v>
      </c>
      <c r="CI38" s="31">
        <f t="shared" si="5"/>
        <v>0.16992308577280002</v>
      </c>
      <c r="CJ38" s="31">
        <f t="shared" si="6"/>
        <v>0.11680517676622426</v>
      </c>
      <c r="CK38" s="31">
        <f t="shared" si="7"/>
        <v>0.1540213399309473</v>
      </c>
      <c r="CL38" s="31">
        <f t="shared" si="8"/>
        <v>8.5797479356302567E-2</v>
      </c>
      <c r="CM38" s="31">
        <f t="shared" si="9"/>
        <v>8.7925317619306623E-2</v>
      </c>
      <c r="CN38" s="31">
        <f t="shared" si="10"/>
        <v>0.13504173674797065</v>
      </c>
      <c r="CO38" s="31">
        <f t="shared" si="11"/>
        <v>9.4536815155103468E-2</v>
      </c>
      <c r="CP38" s="31">
        <f t="shared" si="12"/>
        <v>2.4318151811831088E-3</v>
      </c>
    </row>
    <row r="39" spans="1:94">
      <c r="A39" s="28">
        <v>3377</v>
      </c>
      <c r="B39" s="29">
        <v>1.814241236305222</v>
      </c>
      <c r="C39" s="29">
        <v>1.3224167888367928</v>
      </c>
      <c r="D39" s="22">
        <v>0.43133466824921474</v>
      </c>
      <c r="E39" s="22">
        <v>0.31440372729139471</v>
      </c>
      <c r="G39" s="29">
        <f>IF(ISBLANK('User Interface (Start Here!)'!$L$4),commercial!B39,commercial!C39)</f>
        <v>1.3224167888367928</v>
      </c>
      <c r="H39" s="22">
        <f>IF(ISBLANK('User Interface (Start Here!)'!$L$4),commercial!D39,commercial!E39)</f>
        <v>0.31440372729139471</v>
      </c>
      <c r="I39" s="40">
        <f>(G39+H39)*'User Interface (Start Here!)'!$L$10</f>
        <v>1.4731384645153687</v>
      </c>
      <c r="J39" s="2">
        <f>IF(VLOOKUP(A39,'User Interface (Start Here!)'!$DO$2:$DP$73,2,FALSE)&lt;&gt;0,1,0)</f>
        <v>0</v>
      </c>
      <c r="K39" s="41">
        <f>IF(AND(J39=1,ISBLANK('User Interface (Start Here!)'!$L$14),ISBLANK('User Interface (Start Here!)'!$M$14),ISBLANK('User Interface (Start Here!)'!$N$14)),100%*'User Interface (Start Here!)'!$L$30,IF(J39=1,VLOOKUP(A39,'Bathymetric Closures'!$A$2:$C$57,3,FALSE)*'User Interface (Start Here!)'!$L$30,0%))</f>
        <v>0</v>
      </c>
      <c r="L39" s="50">
        <f>IF(ISBLANK('User Interface (Start Here!)'!#REF!),$I39*VLOOKUP($A39,$BA$5:$BM$60,L$2+1,FALSE),$I39*VLOOKUP($A39,$CD$6:$CP$60,L$2+1,FALSE))</f>
        <v>0.10112422473817896</v>
      </c>
      <c r="M39" s="50">
        <f>IF(ISBLANK('User Interface (Start Here!)'!#REF!),$I39*VLOOKUP($A39,$BA$5:$BM$60,M$2+1,FALSE),$I39*VLOOKUP($A39,$CD$6:$CP$60,M$2+1,FALSE))</f>
        <v>2.4907444538205658E-3</v>
      </c>
      <c r="N39" s="50">
        <f>IF(ISBLANK('User Interface (Start Here!)'!#REF!),$I39*VLOOKUP($A39,$BA$5:$BM$60,N$2+1,FALSE),$I39*VLOOKUP($A39,$CD$6:$CP$60,N$2+1,FALSE))</f>
        <v>6.9740844706975844E-3</v>
      </c>
      <c r="O39" s="50">
        <f>IF(ISBLANK('User Interface (Start Here!)'!#REF!),$I39*VLOOKUP($A39,$BA$5:$BM$60,O$2+1,FALSE),$I39*VLOOKUP($A39,$CD$6:$CP$60,O$2+1,FALSE))</f>
        <v>1.8929657835661529E-2</v>
      </c>
      <c r="P39" s="50">
        <f>IF(ISBLANK('User Interface (Start Here!)'!#REF!),$I39*VLOOKUP($A39,$BA$5:$BM$60,P$2+1,FALSE),$I39*VLOOKUP($A39,$CD$6:$CP$60,P$2+1,FALSE))</f>
        <v>0.41496251338870604</v>
      </c>
      <c r="Q39" s="50">
        <f>IF(ISBLANK('User Interface (Start Here!)'!#REF!),$I39*VLOOKUP($A39,$BA$5:$BM$60,Q$2+1,FALSE),$I39*VLOOKUP($A39,$CD$6:$CP$60,Q$2+1,FALSE))</f>
        <v>0.16264785660248779</v>
      </c>
      <c r="R39" s="50">
        <f>IF(ISBLANK('User Interface (Start Here!)'!#REF!),$I39*VLOOKUP($A39,$BA$5:$BM$60,R$2+1,FALSE),$I39*VLOOKUP($A39,$CD$6:$CP$60,R$2+1,FALSE))</f>
        <v>0.28793005865434851</v>
      </c>
      <c r="S39" s="50">
        <f>IF(ISBLANK('User Interface (Start Here!)'!#REF!),$I39*VLOOKUP($A39,$BA$5:$BM$60,S$2+1,FALSE),$I39*VLOOKUP($A39,$CD$6:$CP$60,S$2+1,FALSE))</f>
        <v>0.15641875160630817</v>
      </c>
      <c r="T39" s="50">
        <f>IF(ISBLANK('User Interface (Start Here!)'!#REF!),$I39*VLOOKUP($A39,$BA$5:$BM$60,T$2+1,FALSE),$I39*VLOOKUP($A39,$CD$6:$CP$60,T$2+1,FALSE))</f>
        <v>0.21156966795310214</v>
      </c>
      <c r="U39" s="50">
        <f>IF(ISBLANK('User Interface (Start Here!)'!#REF!),$I39*VLOOKUP($A39,$BA$5:$BM$60,U$2+1,FALSE),$I39*VLOOKUP($A39,$CD$6:$CP$60,U$2+1,FALSE))</f>
        <v>6.6253802438190124E-2</v>
      </c>
      <c r="V39" s="50">
        <f>IF(ISBLANK('User Interface (Start Here!)'!#REF!),$I39*VLOOKUP($A39,$BA$5:$BM$60,V$2+1,FALSE),$I39*VLOOKUP($A39,$CD$6:$CP$60,V$2+1,FALSE))</f>
        <v>4.084820902928251E-2</v>
      </c>
      <c r="W39" s="50">
        <f>IF(ISBLANK('User Interface (Start Here!)'!#REF!),$I39*VLOOKUP($A39,$BA$5:$BM$60,W$2+1,FALSE),$I39*VLOOKUP($A39,$CD$6:$CP$60,W$2+1,FALSE))</f>
        <v>2.9888933445846792E-3</v>
      </c>
      <c r="X39" s="51">
        <f>IF($J39&lt;&gt;1,L39,IF(VLOOKUP($A39,'User Interface (Start Here!)'!$B$18:$N$28,X$2+1,FALSE)&lt;&gt;100%,L39-VLOOKUP($A39,'User Interface (Start Here!)'!$B$18:$N$28,X$2+1,FALSE)/'User Interface (Start Here!)'!$L$35*$K39*L39,L39-VLOOKUP($A39,'User Interface (Start Here!)'!$B$18:$N$28,X$2+1,FALSE)*$K39*L39))</f>
        <v>0.10112422473817896</v>
      </c>
      <c r="Y39" s="52">
        <f>IF($J39&lt;&gt;1,M39,IF(VLOOKUP($A39,'User Interface (Start Here!)'!$B$18:$N$28,Y$2+1,FALSE)&lt;&gt;100%,M39-VLOOKUP($A39,'User Interface (Start Here!)'!$B$18:$N$28,Y$2+1,FALSE)/'User Interface (Start Here!)'!$L$35*$K39*M39,M39-VLOOKUP($A39,'User Interface (Start Here!)'!$B$18:$N$28,Y$2+1,FALSE)*$K39*M39))</f>
        <v>2.4907444538205658E-3</v>
      </c>
      <c r="Z39" s="52">
        <f>IF($J39&lt;&gt;1,N39,IF(VLOOKUP($A39,'User Interface (Start Here!)'!$B$18:$N$28,Z$2+1,FALSE)&lt;&gt;100%,N39-VLOOKUP($A39,'User Interface (Start Here!)'!$B$18:$N$28,Z$2+1,FALSE)/'User Interface (Start Here!)'!$L$35*$K39*N39,N39-VLOOKUP($A39,'User Interface (Start Here!)'!$B$18:$N$28,Z$2+1,FALSE)*$K39*N39))</f>
        <v>6.9740844706975844E-3</v>
      </c>
      <c r="AA39" s="52">
        <f>IF($J39&lt;&gt;1,O39,IF(VLOOKUP($A39,'User Interface (Start Here!)'!$B$18:$N$28,AA$2+1,FALSE)&lt;&gt;100%,O39-VLOOKUP($A39,'User Interface (Start Here!)'!$B$18:$N$28,AA$2+1,FALSE)/'User Interface (Start Here!)'!$L$35*$K39*O39,O39-VLOOKUP($A39,'User Interface (Start Here!)'!$B$18:$N$28,AA$2+1,FALSE)*$K39*O39))</f>
        <v>1.8929657835661529E-2</v>
      </c>
      <c r="AB39" s="52">
        <f>IF($J39&lt;&gt;1,P39,IF(VLOOKUP($A39,'User Interface (Start Here!)'!$B$18:$N$28,AB$2+1,FALSE)&lt;&gt;100%,P39-VLOOKUP($A39,'User Interface (Start Here!)'!$B$18:$N$28,AB$2+1,FALSE)/'User Interface (Start Here!)'!$L$35*$K39*P39,P39-VLOOKUP($A39,'User Interface (Start Here!)'!$B$18:$N$28,AB$2+1,FALSE)*$K39*P39))</f>
        <v>0.41496251338870604</v>
      </c>
      <c r="AC39" s="52">
        <f>IF($J39&lt;&gt;1,Q39,IF(VLOOKUP($A39,'User Interface (Start Here!)'!$B$18:$N$28,AC$2+1,FALSE)&lt;&gt;100%,Q39-VLOOKUP($A39,'User Interface (Start Here!)'!$B$18:$N$28,AC$2+1,FALSE)/'User Interface (Start Here!)'!$L$35*$K39*Q39,Q39-VLOOKUP($A39,'User Interface (Start Here!)'!$B$18:$N$28,AC$2+1,FALSE)*$K39*Q39))</f>
        <v>0.16264785660248779</v>
      </c>
      <c r="AD39" s="52">
        <f>IF($J39&lt;&gt;1,R39,IF(VLOOKUP($A39,'User Interface (Start Here!)'!$B$18:$N$28,AD$2+1,FALSE)&lt;&gt;100%,R39-VLOOKUP($A39,'User Interface (Start Here!)'!$B$18:$N$28,AD$2+1,FALSE)/'User Interface (Start Here!)'!$L$35*$K39*R39,R39-VLOOKUP($A39,'User Interface (Start Here!)'!$B$18:$N$28,AD$2+1,FALSE)*$K39*R39))</f>
        <v>0.28793005865434851</v>
      </c>
      <c r="AE39" s="52">
        <f>IF($J39&lt;&gt;1,S39,IF(VLOOKUP($A39,'User Interface (Start Here!)'!$B$18:$N$28,AE$2+1,FALSE)&lt;&gt;100%,S39-VLOOKUP($A39,'User Interface (Start Here!)'!$B$18:$N$28,AE$2+1,FALSE)/'User Interface (Start Here!)'!$L$35*$K39*S39,S39-VLOOKUP($A39,'User Interface (Start Here!)'!$B$18:$N$28,AE$2+1,FALSE)*$K39*S39))</f>
        <v>0.15641875160630817</v>
      </c>
      <c r="AF39" s="52">
        <f>IF($J39&lt;&gt;1,T39,IF(VLOOKUP($A39,'User Interface (Start Here!)'!$B$18:$N$28,AF$2+1,FALSE)&lt;&gt;100%,T39-VLOOKUP($A39,'User Interface (Start Here!)'!$B$18:$N$28,AF$2+1,FALSE)/'User Interface (Start Here!)'!$L$35*$K39*T39,T39-VLOOKUP($A39,'User Interface (Start Here!)'!$B$18:$N$28,AF$2+1,FALSE)*$K39*T39))</f>
        <v>0.21156966795310214</v>
      </c>
      <c r="AG39" s="52">
        <f>IF($J39&lt;&gt;1,U39,IF(VLOOKUP($A39,'User Interface (Start Here!)'!$B$18:$N$28,AG$2+1,FALSE)&lt;&gt;100%,U39-VLOOKUP($A39,'User Interface (Start Here!)'!$B$18:$N$28,AG$2+1,FALSE)/'User Interface (Start Here!)'!$L$35*$K39*U39,U39-VLOOKUP($A39,'User Interface (Start Here!)'!$B$18:$N$28,AG$2+1,FALSE)*$K39*U39))</f>
        <v>6.6253802438190124E-2</v>
      </c>
      <c r="AH39" s="52">
        <f>IF($J39&lt;&gt;1,V39,IF(VLOOKUP($A39,'User Interface (Start Here!)'!$B$18:$N$28,AH$2+1,FALSE)&lt;&gt;100%,V39-VLOOKUP($A39,'User Interface (Start Here!)'!$B$18:$N$28,AH$2+1,FALSE)/'User Interface (Start Here!)'!$L$35*$K39*V39,V39-VLOOKUP($A39,'User Interface (Start Here!)'!$B$18:$N$28,AH$2+1,FALSE)*$K39*V39))</f>
        <v>4.084820902928251E-2</v>
      </c>
      <c r="AI39" s="52">
        <f>IF($J39&lt;&gt;1,W39,IF(VLOOKUP($A39,'User Interface (Start Here!)'!$B$18:$N$28,AI$2+1,FALSE)&lt;&gt;100%,W39-VLOOKUP($A39,'User Interface (Start Here!)'!$B$18:$N$28,AI$2+1,FALSE)/'User Interface (Start Here!)'!$L$35*$K39*W39,W39-VLOOKUP($A39,'User Interface (Start Here!)'!$B$18:$N$28,AI$2+1,FALSE)*$K39*W39))</f>
        <v>2.9888933445846792E-3</v>
      </c>
      <c r="AJ39" s="42">
        <f t="shared" si="0"/>
        <v>1.4731384645153687</v>
      </c>
      <c r="AL39" s="1">
        <v>3279</v>
      </c>
      <c r="AM39" s="1">
        <v>2.4786299976557493</v>
      </c>
      <c r="AN39" s="1">
        <v>2.6073899967372416</v>
      </c>
      <c r="AO39" s="1">
        <v>1.6264199981689451</v>
      </c>
      <c r="AP39" s="1">
        <v>1.3353299984633924</v>
      </c>
      <c r="AQ39" s="1">
        <v>2.623759996220469</v>
      </c>
      <c r="AR39" s="1">
        <v>2.9171099960505957</v>
      </c>
      <c r="AS39" s="1">
        <v>2.9781299969553952</v>
      </c>
      <c r="AT39" s="1">
        <v>1.7260499970912933</v>
      </c>
      <c r="AU39" s="1">
        <v>1.8719499969184399</v>
      </c>
      <c r="AV39" s="1">
        <v>3.624149994775653</v>
      </c>
      <c r="AW39" s="1">
        <v>2.5418999970853333</v>
      </c>
      <c r="AX39" s="1">
        <v>1.6272599983513356</v>
      </c>
      <c r="AY39" s="1">
        <v>27.958079964473843</v>
      </c>
      <c r="BA39" s="1">
        <v>3279</v>
      </c>
      <c r="BB39" s="31">
        <f t="shared" si="13"/>
        <v>8.8655229572464522E-2</v>
      </c>
      <c r="BC39" s="31">
        <f t="shared" si="15"/>
        <v>9.3260696015264127E-2</v>
      </c>
      <c r="BD39" s="31">
        <f t="shared" si="16"/>
        <v>5.8173522653759732E-2</v>
      </c>
      <c r="BE39" s="31">
        <f t="shared" si="17"/>
        <v>4.7761863481333051E-2</v>
      </c>
      <c r="BF39" s="31">
        <f t="shared" si="18"/>
        <v>9.3846215460949553E-2</v>
      </c>
      <c r="BG39" s="31">
        <f t="shared" si="19"/>
        <v>0.10433870994565253</v>
      </c>
      <c r="BH39" s="31">
        <f t="shared" si="20"/>
        <v>0.1065212632891703</v>
      </c>
      <c r="BI39" s="31">
        <f t="shared" si="21"/>
        <v>6.1737072048029557E-2</v>
      </c>
      <c r="BJ39" s="31">
        <f t="shared" si="22"/>
        <v>6.6955599214864367E-2</v>
      </c>
      <c r="BK39" s="31">
        <f t="shared" si="23"/>
        <v>0.12962800018387663</v>
      </c>
      <c r="BL39" s="31">
        <f t="shared" si="24"/>
        <v>9.0918260492684394E-2</v>
      </c>
      <c r="BM39" s="31">
        <f t="shared" si="25"/>
        <v>5.8203567641951261E-2</v>
      </c>
      <c r="BO39" s="1">
        <v>3279</v>
      </c>
      <c r="BP39" s="1">
        <v>0.8791199993789196</v>
      </c>
      <c r="BQ39" s="1">
        <v>0.22310999989509583</v>
      </c>
      <c r="BR39" s="1">
        <v>0.78365999943017961</v>
      </c>
      <c r="BS39" s="1">
        <v>0.23753999966382983</v>
      </c>
      <c r="BT39" s="1">
        <v>2.1733799972385173</v>
      </c>
      <c r="BU39" s="1">
        <v>2.3920799964070323</v>
      </c>
      <c r="BV39" s="1">
        <v>2.8493699972778561</v>
      </c>
      <c r="BW39" s="1">
        <v>1.7260499970912933</v>
      </c>
      <c r="BX39" s="1">
        <v>1.6050899972617623</v>
      </c>
      <c r="BY39" s="1">
        <v>3.1237992132128305</v>
      </c>
      <c r="BZ39" s="1">
        <v>1.5317999980747701</v>
      </c>
      <c r="CA39" s="1">
        <v>0.110844360430588</v>
      </c>
      <c r="CB39" s="1">
        <v>17.635843555362673</v>
      </c>
      <c r="CD39" s="1">
        <v>3279</v>
      </c>
      <c r="CE39" s="31">
        <f t="shared" si="14"/>
        <v>4.9848480262323407E-2</v>
      </c>
      <c r="CF39" s="31">
        <f t="shared" si="2"/>
        <v>1.2650940069563783E-2</v>
      </c>
      <c r="CG39" s="31">
        <f t="shared" si="3"/>
        <v>4.4435640232921313E-2</v>
      </c>
      <c r="CH39" s="31">
        <f t="shared" si="4"/>
        <v>1.3469160061334244E-2</v>
      </c>
      <c r="CI39" s="31">
        <f t="shared" si="5"/>
        <v>0.12323652057900231</v>
      </c>
      <c r="CJ39" s="31">
        <f t="shared" si="6"/>
        <v>0.13563740168695551</v>
      </c>
      <c r="CK39" s="31">
        <f t="shared" si="7"/>
        <v>0.16156698081002341</v>
      </c>
      <c r="CL39" s="31">
        <f t="shared" si="8"/>
        <v>9.7871700419254359E-2</v>
      </c>
      <c r="CM39" s="31">
        <f t="shared" si="9"/>
        <v>9.1012941469062289E-2</v>
      </c>
      <c r="CN39" s="31">
        <f t="shared" si="10"/>
        <v>0.17712785914700133</v>
      </c>
      <c r="CO39" s="31">
        <f t="shared" si="11"/>
        <v>8.6857200409275762E-2</v>
      </c>
      <c r="CP39" s="31">
        <f t="shared" si="12"/>
        <v>6.2851748532824032E-3</v>
      </c>
    </row>
    <row r="40" spans="1:94">
      <c r="A40" s="28">
        <v>3378</v>
      </c>
      <c r="B40" s="29">
        <v>7.4813355482533996</v>
      </c>
      <c r="C40" s="29">
        <v>4.8360990082392252</v>
      </c>
      <c r="D40" s="22">
        <v>1.778682637232287</v>
      </c>
      <c r="E40" s="22">
        <v>1.149779378616375</v>
      </c>
      <c r="G40" s="29">
        <f>IF(ISBLANK('User Interface (Start Here!)'!$L$4),commercial!B40,commercial!C40)</f>
        <v>4.8360990082392252</v>
      </c>
      <c r="H40" s="22">
        <f>IF(ISBLANK('User Interface (Start Here!)'!$L$4),commercial!D40,commercial!E40)</f>
        <v>1.149779378616375</v>
      </c>
      <c r="I40" s="40">
        <f>(G40+H40)*'User Interface (Start Here!)'!$L$10</f>
        <v>5.3872905481700402</v>
      </c>
      <c r="J40" s="2">
        <f>IF(VLOOKUP(A40,'User Interface (Start Here!)'!$DO$2:$DP$73,2,FALSE)&lt;&gt;0,1,0)</f>
        <v>0</v>
      </c>
      <c r="K40" s="41">
        <f>IF(AND(J40=1,ISBLANK('User Interface (Start Here!)'!$L$14),ISBLANK('User Interface (Start Here!)'!$M$14),ISBLANK('User Interface (Start Here!)'!$N$14)),100%*'User Interface (Start Here!)'!$L$30,IF(J40=1,VLOOKUP(A40,'Bathymetric Closures'!$A$2:$C$57,3,FALSE)*'User Interface (Start Here!)'!$L$30,0%))</f>
        <v>0</v>
      </c>
      <c r="L40" s="50">
        <f>IF(ISBLANK('User Interface (Start Here!)'!#REF!),$I40*VLOOKUP($A40,$BA$5:$BM$60,L$2+1,FALSE),$I40*VLOOKUP($A40,$CD$6:$CP$60,L$2+1,FALSE))</f>
        <v>0.17031025934210117</v>
      </c>
      <c r="M40" s="50">
        <f>IF(ISBLANK('User Interface (Start Here!)'!#REF!),$I40*VLOOKUP($A40,$BA$5:$BM$60,M$2+1,FALSE),$I40*VLOOKUP($A40,$CD$6:$CP$60,M$2+1,FALSE))</f>
        <v>9.2938125470267627E-2</v>
      </c>
      <c r="N40" s="50">
        <f>IF(ISBLANK('User Interface (Start Here!)'!#REF!),$I40*VLOOKUP($A40,$BA$5:$BM$60,N$2+1,FALSE),$I40*VLOOKUP($A40,$CD$6:$CP$60,N$2+1,FALSE))</f>
        <v>0.37358379477313336</v>
      </c>
      <c r="O40" s="50">
        <f>IF(ISBLANK('User Interface (Start Here!)'!#REF!),$I40*VLOOKUP($A40,$BA$5:$BM$60,O$2+1,FALSE),$I40*VLOOKUP($A40,$CD$6:$CP$60,O$2+1,FALSE))</f>
        <v>0.27332049697250588</v>
      </c>
      <c r="P40" s="50">
        <f>IF(ISBLANK('User Interface (Start Here!)'!#REF!),$I40*VLOOKUP($A40,$BA$5:$BM$60,P$2+1,FALSE),$I40*VLOOKUP($A40,$CD$6:$CP$60,P$2+1,FALSE))</f>
        <v>0.74816727248406711</v>
      </c>
      <c r="Q40" s="50">
        <f>IF(ISBLANK('User Interface (Start Here!)'!#REF!),$I40*VLOOKUP($A40,$BA$5:$BM$60,Q$2+1,FALSE),$I40*VLOOKUP($A40,$CD$6:$CP$60,Q$2+1,FALSE))</f>
        <v>0.50406342912177848</v>
      </c>
      <c r="R40" s="50">
        <f>IF(ISBLANK('User Interface (Start Here!)'!#REF!),$I40*VLOOKUP($A40,$BA$5:$BM$60,R$2+1,FALSE),$I40*VLOOKUP($A40,$CD$6:$CP$60,R$2+1,FALSE))</f>
        <v>0.72381860252352381</v>
      </c>
      <c r="S40" s="50">
        <f>IF(ISBLANK('User Interface (Start Here!)'!#REF!),$I40*VLOOKUP($A40,$BA$5:$BM$60,S$2+1,FALSE),$I40*VLOOKUP($A40,$CD$6:$CP$60,S$2+1,FALSE))</f>
        <v>1.0149942073140248</v>
      </c>
      <c r="T40" s="50">
        <f>IF(ISBLANK('User Interface (Start Here!)'!#REF!),$I40*VLOOKUP($A40,$BA$5:$BM$60,T$2+1,FALSE),$I40*VLOOKUP($A40,$CD$6:$CP$60,T$2+1,FALSE))</f>
        <v>0.62630224433756221</v>
      </c>
      <c r="U40" s="50">
        <f>IF(ISBLANK('User Interface (Start Here!)'!#REF!),$I40*VLOOKUP($A40,$BA$5:$BM$60,U$2+1,FALSE),$I40*VLOOKUP($A40,$CD$6:$CP$60,U$2+1,FALSE))</f>
        <v>0.46331715720290023</v>
      </c>
      <c r="V40" s="50">
        <f>IF(ISBLANK('User Interface (Start Here!)'!#REF!),$I40*VLOOKUP($A40,$BA$5:$BM$60,V$2+1,FALSE),$I40*VLOOKUP($A40,$CD$6:$CP$60,V$2+1,FALSE))</f>
        <v>0.39647495862817494</v>
      </c>
      <c r="W40" s="50">
        <f>IF(ISBLANK('User Interface (Start Here!)'!#REF!),$I40*VLOOKUP($A40,$BA$5:$BM$60,W$2+1,FALSE),$I40*VLOOKUP($A40,$CD$6:$CP$60,W$2+1,FALSE))</f>
        <v>0</v>
      </c>
      <c r="X40" s="51">
        <f>IF($J40&lt;&gt;1,L40,IF(VLOOKUP($A40,'User Interface (Start Here!)'!$B$18:$N$28,X$2+1,FALSE)&lt;&gt;100%,L40-VLOOKUP($A40,'User Interface (Start Here!)'!$B$18:$N$28,X$2+1,FALSE)/'User Interface (Start Here!)'!$L$35*$K40*L40,L40-VLOOKUP($A40,'User Interface (Start Here!)'!$B$18:$N$28,X$2+1,FALSE)*$K40*L40))</f>
        <v>0.17031025934210117</v>
      </c>
      <c r="Y40" s="52">
        <f>IF($J40&lt;&gt;1,M40,IF(VLOOKUP($A40,'User Interface (Start Here!)'!$B$18:$N$28,Y$2+1,FALSE)&lt;&gt;100%,M40-VLOOKUP($A40,'User Interface (Start Here!)'!$B$18:$N$28,Y$2+1,FALSE)/'User Interface (Start Here!)'!$L$35*$K40*M40,M40-VLOOKUP($A40,'User Interface (Start Here!)'!$B$18:$N$28,Y$2+1,FALSE)*$K40*M40))</f>
        <v>9.2938125470267627E-2</v>
      </c>
      <c r="Z40" s="52">
        <f>IF($J40&lt;&gt;1,N40,IF(VLOOKUP($A40,'User Interface (Start Here!)'!$B$18:$N$28,Z$2+1,FALSE)&lt;&gt;100%,N40-VLOOKUP($A40,'User Interface (Start Here!)'!$B$18:$N$28,Z$2+1,FALSE)/'User Interface (Start Here!)'!$L$35*$K40*N40,N40-VLOOKUP($A40,'User Interface (Start Here!)'!$B$18:$N$28,Z$2+1,FALSE)*$K40*N40))</f>
        <v>0.37358379477313336</v>
      </c>
      <c r="AA40" s="52">
        <f>IF($J40&lt;&gt;1,O40,IF(VLOOKUP($A40,'User Interface (Start Here!)'!$B$18:$N$28,AA$2+1,FALSE)&lt;&gt;100%,O40-VLOOKUP($A40,'User Interface (Start Here!)'!$B$18:$N$28,AA$2+1,FALSE)/'User Interface (Start Here!)'!$L$35*$K40*O40,O40-VLOOKUP($A40,'User Interface (Start Here!)'!$B$18:$N$28,AA$2+1,FALSE)*$K40*O40))</f>
        <v>0.27332049697250588</v>
      </c>
      <c r="AB40" s="52">
        <f>IF($J40&lt;&gt;1,P40,IF(VLOOKUP($A40,'User Interface (Start Here!)'!$B$18:$N$28,AB$2+1,FALSE)&lt;&gt;100%,P40-VLOOKUP($A40,'User Interface (Start Here!)'!$B$18:$N$28,AB$2+1,FALSE)/'User Interface (Start Here!)'!$L$35*$K40*P40,P40-VLOOKUP($A40,'User Interface (Start Here!)'!$B$18:$N$28,AB$2+1,FALSE)*$K40*P40))</f>
        <v>0.74816727248406711</v>
      </c>
      <c r="AC40" s="52">
        <f>IF($J40&lt;&gt;1,Q40,IF(VLOOKUP($A40,'User Interface (Start Here!)'!$B$18:$N$28,AC$2+1,FALSE)&lt;&gt;100%,Q40-VLOOKUP($A40,'User Interface (Start Here!)'!$B$18:$N$28,AC$2+1,FALSE)/'User Interface (Start Here!)'!$L$35*$K40*Q40,Q40-VLOOKUP($A40,'User Interface (Start Here!)'!$B$18:$N$28,AC$2+1,FALSE)*$K40*Q40))</f>
        <v>0.50406342912177848</v>
      </c>
      <c r="AD40" s="52">
        <f>IF($J40&lt;&gt;1,R40,IF(VLOOKUP($A40,'User Interface (Start Here!)'!$B$18:$N$28,AD$2+1,FALSE)&lt;&gt;100%,R40-VLOOKUP($A40,'User Interface (Start Here!)'!$B$18:$N$28,AD$2+1,FALSE)/'User Interface (Start Here!)'!$L$35*$K40*R40,R40-VLOOKUP($A40,'User Interface (Start Here!)'!$B$18:$N$28,AD$2+1,FALSE)*$K40*R40))</f>
        <v>0.72381860252352381</v>
      </c>
      <c r="AE40" s="52">
        <f>IF($J40&lt;&gt;1,S40,IF(VLOOKUP($A40,'User Interface (Start Here!)'!$B$18:$N$28,AE$2+1,FALSE)&lt;&gt;100%,S40-VLOOKUP($A40,'User Interface (Start Here!)'!$B$18:$N$28,AE$2+1,FALSE)/'User Interface (Start Here!)'!$L$35*$K40*S40,S40-VLOOKUP($A40,'User Interface (Start Here!)'!$B$18:$N$28,AE$2+1,FALSE)*$K40*S40))</f>
        <v>1.0149942073140248</v>
      </c>
      <c r="AF40" s="52">
        <f>IF($J40&lt;&gt;1,T40,IF(VLOOKUP($A40,'User Interface (Start Here!)'!$B$18:$N$28,AF$2+1,FALSE)&lt;&gt;100%,T40-VLOOKUP($A40,'User Interface (Start Here!)'!$B$18:$N$28,AF$2+1,FALSE)/'User Interface (Start Here!)'!$L$35*$K40*T40,T40-VLOOKUP($A40,'User Interface (Start Here!)'!$B$18:$N$28,AF$2+1,FALSE)*$K40*T40))</f>
        <v>0.62630224433756221</v>
      </c>
      <c r="AG40" s="52">
        <f>IF($J40&lt;&gt;1,U40,IF(VLOOKUP($A40,'User Interface (Start Here!)'!$B$18:$N$28,AG$2+1,FALSE)&lt;&gt;100%,U40-VLOOKUP($A40,'User Interface (Start Here!)'!$B$18:$N$28,AG$2+1,FALSE)/'User Interface (Start Here!)'!$L$35*$K40*U40,U40-VLOOKUP($A40,'User Interface (Start Here!)'!$B$18:$N$28,AG$2+1,FALSE)*$K40*U40))</f>
        <v>0.46331715720290023</v>
      </c>
      <c r="AH40" s="52">
        <f>IF($J40&lt;&gt;1,V40,IF(VLOOKUP($A40,'User Interface (Start Here!)'!$B$18:$N$28,AH$2+1,FALSE)&lt;&gt;100%,V40-VLOOKUP($A40,'User Interface (Start Here!)'!$B$18:$N$28,AH$2+1,FALSE)/'User Interface (Start Here!)'!$L$35*$K40*V40,V40-VLOOKUP($A40,'User Interface (Start Here!)'!$B$18:$N$28,AH$2+1,FALSE)*$K40*V40))</f>
        <v>0.39647495862817494</v>
      </c>
      <c r="AI40" s="52">
        <f>IF($J40&lt;&gt;1,W40,IF(VLOOKUP($A40,'User Interface (Start Here!)'!$B$18:$N$28,AI$2+1,FALSE)&lt;&gt;100%,W40-VLOOKUP($A40,'User Interface (Start Here!)'!$B$18:$N$28,AI$2+1,FALSE)/'User Interface (Start Here!)'!$L$35*$K40*W40,W40-VLOOKUP($A40,'User Interface (Start Here!)'!$B$18:$N$28,AI$2+1,FALSE)*$K40*W40))</f>
        <v>0</v>
      </c>
      <c r="AJ40" s="42">
        <f t="shared" si="0"/>
        <v>5.3872905481700393</v>
      </c>
      <c r="AL40" s="1">
        <v>3280</v>
      </c>
      <c r="AS40" s="1">
        <v>0.10322999979555607</v>
      </c>
      <c r="AT40" s="1">
        <v>0.24197999960184097</v>
      </c>
      <c r="AX40" s="1">
        <v>6.7709999799728388E-2</v>
      </c>
      <c r="AY40" s="1">
        <v>0.41291999919712541</v>
      </c>
      <c r="BA40" s="1">
        <v>3280</v>
      </c>
      <c r="BB40" s="31">
        <f t="shared" si="13"/>
        <v>0</v>
      </c>
      <c r="BC40" s="31">
        <f t="shared" si="15"/>
        <v>0</v>
      </c>
      <c r="BD40" s="31">
        <f t="shared" si="16"/>
        <v>0</v>
      </c>
      <c r="BE40" s="31">
        <f t="shared" si="17"/>
        <v>0</v>
      </c>
      <c r="BF40" s="31">
        <f t="shared" si="18"/>
        <v>0</v>
      </c>
      <c r="BG40" s="31">
        <f t="shared" si="19"/>
        <v>0</v>
      </c>
      <c r="BH40" s="31">
        <f t="shared" si="20"/>
        <v>0.24999999999097819</v>
      </c>
      <c r="BI40" s="31">
        <f t="shared" si="21"/>
        <v>0.58602150555154209</v>
      </c>
      <c r="BJ40" s="31">
        <f t="shared" si="22"/>
        <v>0</v>
      </c>
      <c r="BK40" s="31">
        <f t="shared" si="23"/>
        <v>0</v>
      </c>
      <c r="BL40" s="31">
        <f t="shared" si="24"/>
        <v>0</v>
      </c>
      <c r="BM40" s="31">
        <f t="shared" si="25"/>
        <v>0.16397849445747978</v>
      </c>
      <c r="BO40" s="1">
        <v>3280</v>
      </c>
      <c r="BV40" s="1">
        <v>0.10322999979555607</v>
      </c>
      <c r="BW40" s="1">
        <v>3.1079999983310701E-2</v>
      </c>
      <c r="CA40" s="1">
        <v>0</v>
      </c>
      <c r="CB40" s="1">
        <v>0.13430999977886676</v>
      </c>
      <c r="CD40" s="1">
        <v>3280</v>
      </c>
      <c r="CE40" s="31">
        <f t="shared" si="14"/>
        <v>0</v>
      </c>
      <c r="CF40" s="31">
        <f t="shared" si="2"/>
        <v>0</v>
      </c>
      <c r="CG40" s="31">
        <f t="shared" si="3"/>
        <v>0</v>
      </c>
      <c r="CH40" s="31">
        <f t="shared" si="4"/>
        <v>0</v>
      </c>
      <c r="CI40" s="31">
        <f t="shared" si="5"/>
        <v>0</v>
      </c>
      <c r="CJ40" s="31">
        <f t="shared" si="6"/>
        <v>0</v>
      </c>
      <c r="CK40" s="31">
        <f t="shared" si="7"/>
        <v>0.76859504106557952</v>
      </c>
      <c r="CL40" s="31">
        <f t="shared" si="8"/>
        <v>0.23140495893442059</v>
      </c>
      <c r="CM40" s="31">
        <f t="shared" si="9"/>
        <v>0</v>
      </c>
      <c r="CN40" s="31">
        <f t="shared" si="10"/>
        <v>0</v>
      </c>
      <c r="CO40" s="31">
        <f t="shared" si="11"/>
        <v>0</v>
      </c>
      <c r="CP40" s="31">
        <f t="shared" si="12"/>
        <v>0</v>
      </c>
    </row>
    <row r="41" spans="1:94">
      <c r="A41" s="28">
        <v>3379</v>
      </c>
      <c r="B41" s="29">
        <v>0.27496443059441117</v>
      </c>
      <c r="C41" s="29">
        <v>0.13370383360900576</v>
      </c>
      <c r="D41" s="22">
        <v>6.5372613673092259E-2</v>
      </c>
      <c r="E41" s="22">
        <v>3.1787999059506716E-2</v>
      </c>
      <c r="G41" s="29">
        <f>IF(ISBLANK('User Interface (Start Here!)'!$L$4),commercial!B41,commercial!C41)</f>
        <v>0.13370383360900576</v>
      </c>
      <c r="H41" s="22">
        <f>IF(ISBLANK('User Interface (Start Here!)'!$L$4),commercial!D41,commercial!E41)</f>
        <v>3.1787999059506716E-2</v>
      </c>
      <c r="I41" s="40">
        <f>(G41+H41)*'User Interface (Start Here!)'!$L$10</f>
        <v>0.14894264940166124</v>
      </c>
      <c r="J41" s="2">
        <f>IF(VLOOKUP(A41,'User Interface (Start Here!)'!$DO$2:$DP$73,2,FALSE)&lt;&gt;0,1,0)</f>
        <v>0</v>
      </c>
      <c r="K41" s="41">
        <f>IF(AND(J41=1,ISBLANK('User Interface (Start Here!)'!$L$14),ISBLANK('User Interface (Start Here!)'!$M$14),ISBLANK('User Interface (Start Here!)'!$N$14)),100%*'User Interface (Start Here!)'!$L$30,IF(J41=1,VLOOKUP(A41,'Bathymetric Closures'!$A$2:$C$57,3,FALSE)*'User Interface (Start Here!)'!$L$30,0%))</f>
        <v>0</v>
      </c>
      <c r="L41" s="50">
        <f>IF(ISBLANK('User Interface (Start Here!)'!#REF!),$I41*VLOOKUP($A41,$BA$5:$BM$60,L$2+1,FALSE),$I41*VLOOKUP($A41,$CD$6:$CP$60,L$2+1,FALSE))</f>
        <v>0</v>
      </c>
      <c r="M41" s="50">
        <f>IF(ISBLANK('User Interface (Start Here!)'!#REF!),$I41*VLOOKUP($A41,$BA$5:$BM$60,M$2+1,FALSE),$I41*VLOOKUP($A41,$CD$6:$CP$60,M$2+1,FALSE))</f>
        <v>0</v>
      </c>
      <c r="N41" s="50">
        <f>IF(ISBLANK('User Interface (Start Here!)'!#REF!),$I41*VLOOKUP($A41,$BA$5:$BM$60,N$2+1,FALSE),$I41*VLOOKUP($A41,$CD$6:$CP$60,N$2+1,FALSE))</f>
        <v>0</v>
      </c>
      <c r="O41" s="50">
        <f>IF(ISBLANK('User Interface (Start Here!)'!#REF!),$I41*VLOOKUP($A41,$BA$5:$BM$60,O$2+1,FALSE),$I41*VLOOKUP($A41,$CD$6:$CP$60,O$2+1,FALSE))</f>
        <v>0</v>
      </c>
      <c r="P41" s="50">
        <f>IF(ISBLANK('User Interface (Start Here!)'!#REF!),$I41*VLOOKUP($A41,$BA$5:$BM$60,P$2+1,FALSE),$I41*VLOOKUP($A41,$CD$6:$CP$60,P$2+1,FALSE))</f>
        <v>7.4005878933517566E-2</v>
      </c>
      <c r="Q41" s="50">
        <f>IF(ISBLANK('User Interface (Start Here!)'!#REF!),$I41*VLOOKUP($A41,$BA$5:$BM$60,Q$2+1,FALSE),$I41*VLOOKUP($A41,$CD$6:$CP$60,Q$2+1,FALSE))</f>
        <v>3.4442987668432526E-2</v>
      </c>
      <c r="R41" s="50">
        <f>IF(ISBLANK('User Interface (Start Here!)'!#REF!),$I41*VLOOKUP($A41,$BA$5:$BM$60,R$2+1,FALSE),$I41*VLOOKUP($A41,$CD$6:$CP$60,R$2+1,FALSE))</f>
        <v>6.0507951312785985E-3</v>
      </c>
      <c r="S41" s="50">
        <f>IF(ISBLANK('User Interface (Start Here!)'!#REF!),$I41*VLOOKUP($A41,$BA$5:$BM$60,S$2+1,FALSE),$I41*VLOOKUP($A41,$CD$6:$CP$60,S$2+1,FALSE))</f>
        <v>0</v>
      </c>
      <c r="T41" s="50">
        <f>IF(ISBLANK('User Interface (Start Here!)'!#REF!),$I41*VLOOKUP($A41,$BA$5:$BM$60,T$2+1,FALSE),$I41*VLOOKUP($A41,$CD$6:$CP$60,T$2+1,FALSE))</f>
        <v>0</v>
      </c>
      <c r="U41" s="50">
        <f>IF(ISBLANK('User Interface (Start Here!)'!#REF!),$I41*VLOOKUP($A41,$BA$5:$BM$60,U$2+1,FALSE),$I41*VLOOKUP($A41,$CD$6:$CP$60,U$2+1,FALSE))</f>
        <v>0</v>
      </c>
      <c r="V41" s="50">
        <f>IF(ISBLANK('User Interface (Start Here!)'!#REF!),$I41*VLOOKUP($A41,$BA$5:$BM$60,V$2+1,FALSE),$I41*VLOOKUP($A41,$CD$6:$CP$60,V$2+1,FALSE))</f>
        <v>3.4442987668432526E-2</v>
      </c>
      <c r="W41" s="50">
        <f>IF(ISBLANK('User Interface (Start Here!)'!#REF!),$I41*VLOOKUP($A41,$BA$5:$BM$60,W$2+1,FALSE),$I41*VLOOKUP($A41,$CD$6:$CP$60,W$2+1,FALSE))</f>
        <v>0</v>
      </c>
      <c r="X41" s="51">
        <f>IF($J41&lt;&gt;1,L41,IF(VLOOKUP($A41,'User Interface (Start Here!)'!$B$18:$N$28,X$2+1,FALSE)&lt;&gt;100%,L41-VLOOKUP($A41,'User Interface (Start Here!)'!$B$18:$N$28,X$2+1,FALSE)/'User Interface (Start Here!)'!$L$35*$K41*L41,L41-VLOOKUP($A41,'User Interface (Start Here!)'!$B$18:$N$28,X$2+1,FALSE)*$K41*L41))</f>
        <v>0</v>
      </c>
      <c r="Y41" s="52">
        <f>IF($J41&lt;&gt;1,M41,IF(VLOOKUP($A41,'User Interface (Start Here!)'!$B$18:$N$28,Y$2+1,FALSE)&lt;&gt;100%,M41-VLOOKUP($A41,'User Interface (Start Here!)'!$B$18:$N$28,Y$2+1,FALSE)/'User Interface (Start Here!)'!$L$35*$K41*M41,M41-VLOOKUP($A41,'User Interface (Start Here!)'!$B$18:$N$28,Y$2+1,FALSE)*$K41*M41))</f>
        <v>0</v>
      </c>
      <c r="Z41" s="52">
        <f>IF($J41&lt;&gt;1,N41,IF(VLOOKUP($A41,'User Interface (Start Here!)'!$B$18:$N$28,Z$2+1,FALSE)&lt;&gt;100%,N41-VLOOKUP($A41,'User Interface (Start Here!)'!$B$18:$N$28,Z$2+1,FALSE)/'User Interface (Start Here!)'!$L$35*$K41*N41,N41-VLOOKUP($A41,'User Interface (Start Here!)'!$B$18:$N$28,Z$2+1,FALSE)*$K41*N41))</f>
        <v>0</v>
      </c>
      <c r="AA41" s="52">
        <f>IF($J41&lt;&gt;1,O41,IF(VLOOKUP($A41,'User Interface (Start Here!)'!$B$18:$N$28,AA$2+1,FALSE)&lt;&gt;100%,O41-VLOOKUP($A41,'User Interface (Start Here!)'!$B$18:$N$28,AA$2+1,FALSE)/'User Interface (Start Here!)'!$L$35*$K41*O41,O41-VLOOKUP($A41,'User Interface (Start Here!)'!$B$18:$N$28,AA$2+1,FALSE)*$K41*O41))</f>
        <v>0</v>
      </c>
      <c r="AB41" s="52">
        <f>IF($J41&lt;&gt;1,P41,IF(VLOOKUP($A41,'User Interface (Start Here!)'!$B$18:$N$28,AB$2+1,FALSE)&lt;&gt;100%,P41-VLOOKUP($A41,'User Interface (Start Here!)'!$B$18:$N$28,AB$2+1,FALSE)/'User Interface (Start Here!)'!$L$35*$K41*P41,P41-VLOOKUP($A41,'User Interface (Start Here!)'!$B$18:$N$28,AB$2+1,FALSE)*$K41*P41))</f>
        <v>7.4005878933517566E-2</v>
      </c>
      <c r="AC41" s="52">
        <f>IF($J41&lt;&gt;1,Q41,IF(VLOOKUP($A41,'User Interface (Start Here!)'!$B$18:$N$28,AC$2+1,FALSE)&lt;&gt;100%,Q41-VLOOKUP($A41,'User Interface (Start Here!)'!$B$18:$N$28,AC$2+1,FALSE)/'User Interface (Start Here!)'!$L$35*$K41*Q41,Q41-VLOOKUP($A41,'User Interface (Start Here!)'!$B$18:$N$28,AC$2+1,FALSE)*$K41*Q41))</f>
        <v>3.4442987668432526E-2</v>
      </c>
      <c r="AD41" s="52">
        <f>IF($J41&lt;&gt;1,R41,IF(VLOOKUP($A41,'User Interface (Start Here!)'!$B$18:$N$28,AD$2+1,FALSE)&lt;&gt;100%,R41-VLOOKUP($A41,'User Interface (Start Here!)'!$B$18:$N$28,AD$2+1,FALSE)/'User Interface (Start Here!)'!$L$35*$K41*R41,R41-VLOOKUP($A41,'User Interface (Start Here!)'!$B$18:$N$28,AD$2+1,FALSE)*$K41*R41))</f>
        <v>6.0507951312785985E-3</v>
      </c>
      <c r="AE41" s="52">
        <f>IF($J41&lt;&gt;1,S41,IF(VLOOKUP($A41,'User Interface (Start Here!)'!$B$18:$N$28,AE$2+1,FALSE)&lt;&gt;100%,S41-VLOOKUP($A41,'User Interface (Start Here!)'!$B$18:$N$28,AE$2+1,FALSE)/'User Interface (Start Here!)'!$L$35*$K41*S41,S41-VLOOKUP($A41,'User Interface (Start Here!)'!$B$18:$N$28,AE$2+1,FALSE)*$K41*S41))</f>
        <v>0</v>
      </c>
      <c r="AF41" s="52">
        <f>IF($J41&lt;&gt;1,T41,IF(VLOOKUP($A41,'User Interface (Start Here!)'!$B$18:$N$28,AF$2+1,FALSE)&lt;&gt;100%,T41-VLOOKUP($A41,'User Interface (Start Here!)'!$B$18:$N$28,AF$2+1,FALSE)/'User Interface (Start Here!)'!$L$35*$K41*T41,T41-VLOOKUP($A41,'User Interface (Start Here!)'!$B$18:$N$28,AF$2+1,FALSE)*$K41*T41))</f>
        <v>0</v>
      </c>
      <c r="AG41" s="52">
        <f>IF($J41&lt;&gt;1,U41,IF(VLOOKUP($A41,'User Interface (Start Here!)'!$B$18:$N$28,AG$2+1,FALSE)&lt;&gt;100%,U41-VLOOKUP($A41,'User Interface (Start Here!)'!$B$18:$N$28,AG$2+1,FALSE)/'User Interface (Start Here!)'!$L$35*$K41*U41,U41-VLOOKUP($A41,'User Interface (Start Here!)'!$B$18:$N$28,AG$2+1,FALSE)*$K41*U41))</f>
        <v>0</v>
      </c>
      <c r="AH41" s="52">
        <f>IF($J41&lt;&gt;1,V41,IF(VLOOKUP($A41,'User Interface (Start Here!)'!$B$18:$N$28,AH$2+1,FALSE)&lt;&gt;100%,V41-VLOOKUP($A41,'User Interface (Start Here!)'!$B$18:$N$28,AH$2+1,FALSE)/'User Interface (Start Here!)'!$L$35*$K41*V41,V41-VLOOKUP($A41,'User Interface (Start Here!)'!$B$18:$N$28,AH$2+1,FALSE)*$K41*V41))</f>
        <v>3.4442987668432526E-2</v>
      </c>
      <c r="AI41" s="52">
        <f>IF($J41&lt;&gt;1,W41,IF(VLOOKUP($A41,'User Interface (Start Here!)'!$B$18:$N$28,AI$2+1,FALSE)&lt;&gt;100%,W41-VLOOKUP($A41,'User Interface (Start Here!)'!$B$18:$N$28,AI$2+1,FALSE)/'User Interface (Start Here!)'!$L$35*$K41*W41,W41-VLOOKUP($A41,'User Interface (Start Here!)'!$B$18:$N$28,AI$2+1,FALSE)*$K41*W41))</f>
        <v>0</v>
      </c>
      <c r="AJ41" s="42">
        <f t="shared" si="0"/>
        <v>0.14894264940166121</v>
      </c>
      <c r="AL41" s="1">
        <v>3370</v>
      </c>
      <c r="AR41" s="1">
        <v>0</v>
      </c>
      <c r="AX41" s="1">
        <v>0</v>
      </c>
      <c r="AY41" s="1">
        <v>0</v>
      </c>
      <c r="BA41" s="1">
        <v>3370</v>
      </c>
      <c r="BB41" s="31">
        <f t="shared" si="13"/>
        <v>0</v>
      </c>
      <c r="BC41" s="31">
        <f t="shared" si="15"/>
        <v>0</v>
      </c>
      <c r="BD41" s="31">
        <f t="shared" si="16"/>
        <v>0</v>
      </c>
      <c r="BE41" s="31">
        <f t="shared" si="17"/>
        <v>0</v>
      </c>
      <c r="BF41" s="31">
        <f t="shared" si="18"/>
        <v>0</v>
      </c>
      <c r="BG41" s="31">
        <f t="shared" si="19"/>
        <v>0</v>
      </c>
      <c r="BH41" s="31">
        <f t="shared" si="20"/>
        <v>0</v>
      </c>
      <c r="BI41" s="31">
        <f t="shared" si="21"/>
        <v>0</v>
      </c>
      <c r="BJ41" s="31">
        <f t="shared" si="22"/>
        <v>0</v>
      </c>
      <c r="BK41" s="31">
        <f t="shared" si="23"/>
        <v>0</v>
      </c>
      <c r="BL41" s="31">
        <f t="shared" si="24"/>
        <v>0</v>
      </c>
      <c r="BM41" s="31">
        <f t="shared" si="25"/>
        <v>0</v>
      </c>
      <c r="BO41" s="1">
        <v>3370</v>
      </c>
      <c r="BU41" s="1">
        <v>0</v>
      </c>
      <c r="CA41" s="1">
        <v>0</v>
      </c>
      <c r="CB41" s="1">
        <v>0</v>
      </c>
      <c r="CD41" s="1">
        <v>3370</v>
      </c>
      <c r="CE41" s="31">
        <f t="shared" si="14"/>
        <v>0</v>
      </c>
      <c r="CF41" s="31">
        <f t="shared" si="2"/>
        <v>0</v>
      </c>
      <c r="CG41" s="31">
        <f t="shared" si="3"/>
        <v>0</v>
      </c>
      <c r="CH41" s="31">
        <f t="shared" si="4"/>
        <v>0</v>
      </c>
      <c r="CI41" s="31">
        <f t="shared" si="5"/>
        <v>0</v>
      </c>
      <c r="CJ41" s="31">
        <f t="shared" si="6"/>
        <v>0</v>
      </c>
      <c r="CK41" s="31">
        <f t="shared" si="7"/>
        <v>0</v>
      </c>
      <c r="CL41" s="31">
        <f t="shared" si="8"/>
        <v>0</v>
      </c>
      <c r="CM41" s="31">
        <f t="shared" si="9"/>
        <v>0</v>
      </c>
      <c r="CN41" s="31">
        <f t="shared" si="10"/>
        <v>0</v>
      </c>
      <c r="CO41" s="31">
        <f t="shared" si="11"/>
        <v>0</v>
      </c>
      <c r="CP41" s="31">
        <f t="shared" si="12"/>
        <v>0</v>
      </c>
    </row>
    <row r="42" spans="1:94">
      <c r="A42" s="28">
        <v>3472</v>
      </c>
      <c r="B42" s="29">
        <v>0</v>
      </c>
      <c r="C42" s="29">
        <v>0</v>
      </c>
      <c r="D42" s="22">
        <v>0</v>
      </c>
      <c r="E42" s="22">
        <v>0</v>
      </c>
      <c r="G42" s="29">
        <f>IF(ISBLANK('User Interface (Start Here!)'!$L$4),commercial!B42,commercial!C42)</f>
        <v>0</v>
      </c>
      <c r="H42" s="22">
        <f>IF(ISBLANK('User Interface (Start Here!)'!$L$4),commercial!D42,commercial!E42)</f>
        <v>0</v>
      </c>
      <c r="I42" s="40">
        <f>(G42+H42)*'User Interface (Start Here!)'!$L$10</f>
        <v>0</v>
      </c>
      <c r="J42" s="2">
        <f>IF(VLOOKUP(A42,'User Interface (Start Here!)'!$DO$2:$DP$73,2,FALSE)&lt;&gt;0,1,0)</f>
        <v>0</v>
      </c>
      <c r="K42" s="41">
        <f>IF(AND(J42=1,ISBLANK('User Interface (Start Here!)'!$L$14),ISBLANK('User Interface (Start Here!)'!$M$14),ISBLANK('User Interface (Start Here!)'!$N$14)),100%*'User Interface (Start Here!)'!$L$30,IF(J42=1,VLOOKUP(A42,'Bathymetric Closures'!$A$2:$C$57,3,FALSE)*'User Interface (Start Here!)'!$L$30,0%))</f>
        <v>0</v>
      </c>
      <c r="L42" s="50">
        <f>IF(ISBLANK('User Interface (Start Here!)'!$L25),$I42*VLOOKUP($A42,$BA$5:$BM$60,L$2+1,FALSE),$I42*VLOOKUP($A42,$CD$6:$CP$60,L$2+1,FALSE))</f>
        <v>0</v>
      </c>
      <c r="M42" s="50">
        <f>IF(ISBLANK('User Interface (Start Here!)'!$L25),$I42*VLOOKUP($A42,$BA$5:$BM$60,M$2+1,FALSE),$I42*VLOOKUP($A42,$CD$6:$CP$60,M$2+1,FALSE))</f>
        <v>0</v>
      </c>
      <c r="N42" s="50">
        <f>IF(ISBLANK('User Interface (Start Here!)'!$L25),$I42*VLOOKUP($A42,$BA$5:$BM$60,N$2+1,FALSE),$I42*VLOOKUP($A42,$CD$6:$CP$60,N$2+1,FALSE))</f>
        <v>0</v>
      </c>
      <c r="O42" s="50">
        <f>IF(ISBLANK('User Interface (Start Here!)'!$L25),$I42*VLOOKUP($A42,$BA$5:$BM$60,O$2+1,FALSE),$I42*VLOOKUP($A42,$CD$6:$CP$60,O$2+1,FALSE))</f>
        <v>0</v>
      </c>
      <c r="P42" s="50">
        <f>IF(ISBLANK('User Interface (Start Here!)'!$L25),$I42*VLOOKUP($A42,$BA$5:$BM$60,P$2+1,FALSE),$I42*VLOOKUP($A42,$CD$6:$CP$60,P$2+1,FALSE))</f>
        <v>0</v>
      </c>
      <c r="Q42" s="50">
        <f>IF(ISBLANK('User Interface (Start Here!)'!$L25),$I42*VLOOKUP($A42,$BA$5:$BM$60,Q$2+1,FALSE),$I42*VLOOKUP($A42,$CD$6:$CP$60,Q$2+1,FALSE))</f>
        <v>0</v>
      </c>
      <c r="R42" s="50">
        <f>IF(ISBLANK('User Interface (Start Here!)'!$L25),$I42*VLOOKUP($A42,$BA$5:$BM$60,R$2+1,FALSE),$I42*VLOOKUP($A42,$CD$6:$CP$60,R$2+1,FALSE))</f>
        <v>0</v>
      </c>
      <c r="S42" s="50">
        <f>IF(ISBLANK('User Interface (Start Here!)'!$L25),$I42*VLOOKUP($A42,$BA$5:$BM$60,S$2+1,FALSE),$I42*VLOOKUP($A42,$CD$6:$CP$60,S$2+1,FALSE))</f>
        <v>0</v>
      </c>
      <c r="T42" s="50">
        <f>IF(ISBLANK('User Interface (Start Here!)'!$L25),$I42*VLOOKUP($A42,$BA$5:$BM$60,T$2+1,FALSE),$I42*VLOOKUP($A42,$CD$6:$CP$60,T$2+1,FALSE))</f>
        <v>0</v>
      </c>
      <c r="U42" s="50">
        <f>IF(ISBLANK('User Interface (Start Here!)'!$L25),$I42*VLOOKUP($A42,$BA$5:$BM$60,U$2+1,FALSE),$I42*VLOOKUP($A42,$CD$6:$CP$60,U$2+1,FALSE))</f>
        <v>0</v>
      </c>
      <c r="V42" s="50">
        <f>IF(ISBLANK('User Interface (Start Here!)'!$L25),$I42*VLOOKUP($A42,$BA$5:$BM$60,V$2+1,FALSE),$I42*VLOOKUP($A42,$CD$6:$CP$60,V$2+1,FALSE))</f>
        <v>0</v>
      </c>
      <c r="W42" s="50">
        <f>IF(ISBLANK('User Interface (Start Here!)'!$L25),$I42*VLOOKUP($A42,$BA$5:$BM$60,W$2+1,FALSE),$I42*VLOOKUP($A42,$CD$6:$CP$60,W$2+1,FALSE))</f>
        <v>0</v>
      </c>
      <c r="X42" s="51">
        <f>IF($J42&lt;&gt;1,L42,IF(VLOOKUP($A42,'User Interface (Start Here!)'!$B$18:$N$28,X$2+1,FALSE)&lt;&gt;100%,L42-VLOOKUP($A42,'User Interface (Start Here!)'!$B$18:$N$28,X$2+1,FALSE)/'User Interface (Start Here!)'!$L$35*$K42*L42,L42-VLOOKUP($A42,'User Interface (Start Here!)'!$B$18:$N$28,X$2+1,FALSE)*$K42*L42))</f>
        <v>0</v>
      </c>
      <c r="Y42" s="52">
        <f>IF($J42&lt;&gt;1,M42,IF(VLOOKUP($A42,'User Interface (Start Here!)'!$B$18:$N$28,Y$2+1,FALSE)&lt;&gt;100%,M42-VLOOKUP($A42,'User Interface (Start Here!)'!$B$18:$N$28,Y$2+1,FALSE)/'User Interface (Start Here!)'!$L$35*$K42*M42,M42-VLOOKUP($A42,'User Interface (Start Here!)'!$B$18:$N$28,Y$2+1,FALSE)*$K42*M42))</f>
        <v>0</v>
      </c>
      <c r="Z42" s="52">
        <f>IF($J42&lt;&gt;1,N42,IF(VLOOKUP($A42,'User Interface (Start Here!)'!$B$18:$N$28,Z$2+1,FALSE)&lt;&gt;100%,N42-VLOOKUP($A42,'User Interface (Start Here!)'!$B$18:$N$28,Z$2+1,FALSE)/'User Interface (Start Here!)'!$L$35*$K42*N42,N42-VLOOKUP($A42,'User Interface (Start Here!)'!$B$18:$N$28,Z$2+1,FALSE)*$K42*N42))</f>
        <v>0</v>
      </c>
      <c r="AA42" s="52">
        <f>IF($J42&lt;&gt;1,O42,IF(VLOOKUP($A42,'User Interface (Start Here!)'!$B$18:$N$28,AA$2+1,FALSE)&lt;&gt;100%,O42-VLOOKUP($A42,'User Interface (Start Here!)'!$B$18:$N$28,AA$2+1,FALSE)/'User Interface (Start Here!)'!$L$35*$K42*O42,O42-VLOOKUP($A42,'User Interface (Start Here!)'!$B$18:$N$28,AA$2+1,FALSE)*$K42*O42))</f>
        <v>0</v>
      </c>
      <c r="AB42" s="52">
        <f>IF($J42&lt;&gt;1,P42,IF(VLOOKUP($A42,'User Interface (Start Here!)'!$B$18:$N$28,AB$2+1,FALSE)&lt;&gt;100%,P42-VLOOKUP($A42,'User Interface (Start Here!)'!$B$18:$N$28,AB$2+1,FALSE)/'User Interface (Start Here!)'!$L$35*$K42*P42,P42-VLOOKUP($A42,'User Interface (Start Here!)'!$B$18:$N$28,AB$2+1,FALSE)*$K42*P42))</f>
        <v>0</v>
      </c>
      <c r="AC42" s="52">
        <f>IF($J42&lt;&gt;1,Q42,IF(VLOOKUP($A42,'User Interface (Start Here!)'!$B$18:$N$28,AC$2+1,FALSE)&lt;&gt;100%,Q42-VLOOKUP($A42,'User Interface (Start Here!)'!$B$18:$N$28,AC$2+1,FALSE)/'User Interface (Start Here!)'!$L$35*$K42*Q42,Q42-VLOOKUP($A42,'User Interface (Start Here!)'!$B$18:$N$28,AC$2+1,FALSE)*$K42*Q42))</f>
        <v>0</v>
      </c>
      <c r="AD42" s="52">
        <f>IF($J42&lt;&gt;1,R42,IF(VLOOKUP($A42,'User Interface (Start Here!)'!$B$18:$N$28,AD$2+1,FALSE)&lt;&gt;100%,R42-VLOOKUP($A42,'User Interface (Start Here!)'!$B$18:$N$28,AD$2+1,FALSE)/'User Interface (Start Here!)'!$L$35*$K42*R42,R42-VLOOKUP($A42,'User Interface (Start Here!)'!$B$18:$N$28,AD$2+1,FALSE)*$K42*R42))</f>
        <v>0</v>
      </c>
      <c r="AE42" s="52">
        <f>IF($J42&lt;&gt;1,S42,IF(VLOOKUP($A42,'User Interface (Start Here!)'!$B$18:$N$28,AE$2+1,FALSE)&lt;&gt;100%,S42-VLOOKUP($A42,'User Interface (Start Here!)'!$B$18:$N$28,AE$2+1,FALSE)/'User Interface (Start Here!)'!$L$35*$K42*S42,S42-VLOOKUP($A42,'User Interface (Start Here!)'!$B$18:$N$28,AE$2+1,FALSE)*$K42*S42))</f>
        <v>0</v>
      </c>
      <c r="AF42" s="52">
        <f>IF($J42&lt;&gt;1,T42,IF(VLOOKUP($A42,'User Interface (Start Here!)'!$B$18:$N$28,AF$2+1,FALSE)&lt;&gt;100%,T42-VLOOKUP($A42,'User Interface (Start Here!)'!$B$18:$N$28,AF$2+1,FALSE)/'User Interface (Start Here!)'!$L$35*$K42*T42,T42-VLOOKUP($A42,'User Interface (Start Here!)'!$B$18:$N$28,AF$2+1,FALSE)*$K42*T42))</f>
        <v>0</v>
      </c>
      <c r="AG42" s="52">
        <f>IF($J42&lt;&gt;1,U42,IF(VLOOKUP($A42,'User Interface (Start Here!)'!$B$18:$N$28,AG$2+1,FALSE)&lt;&gt;100%,U42-VLOOKUP($A42,'User Interface (Start Here!)'!$B$18:$N$28,AG$2+1,FALSE)/'User Interface (Start Here!)'!$L$35*$K42*U42,U42-VLOOKUP($A42,'User Interface (Start Here!)'!$B$18:$N$28,AG$2+1,FALSE)*$K42*U42))</f>
        <v>0</v>
      </c>
      <c r="AH42" s="52">
        <f>IF($J42&lt;&gt;1,V42,IF(VLOOKUP($A42,'User Interface (Start Here!)'!$B$18:$N$28,AH$2+1,FALSE)&lt;&gt;100%,V42-VLOOKUP($A42,'User Interface (Start Here!)'!$B$18:$N$28,AH$2+1,FALSE)/'User Interface (Start Here!)'!$L$35*$K42*V42,V42-VLOOKUP($A42,'User Interface (Start Here!)'!$B$18:$N$28,AH$2+1,FALSE)*$K42*V42))</f>
        <v>0</v>
      </c>
      <c r="AI42" s="52">
        <f>IF($J42&lt;&gt;1,W42,IF(VLOOKUP($A42,'User Interface (Start Here!)'!$B$18:$N$28,AI$2+1,FALSE)&lt;&gt;100%,W42-VLOOKUP($A42,'User Interface (Start Here!)'!$B$18:$N$28,AI$2+1,FALSE)/'User Interface (Start Here!)'!$L$35*$K42*W42,W42-VLOOKUP($A42,'User Interface (Start Here!)'!$B$18:$N$28,AI$2+1,FALSE)*$K42*W42))</f>
        <v>0</v>
      </c>
      <c r="AJ42" s="42">
        <f t="shared" si="0"/>
        <v>0</v>
      </c>
      <c r="AL42" s="1">
        <v>3374</v>
      </c>
      <c r="AQ42" s="1">
        <v>0</v>
      </c>
      <c r="AR42" s="1">
        <v>4.4399999976158146E-3</v>
      </c>
      <c r="AT42" s="1">
        <v>0</v>
      </c>
      <c r="AY42" s="1">
        <v>4.4399999976158146E-3</v>
      </c>
      <c r="BA42" s="1">
        <v>3374</v>
      </c>
      <c r="BB42" s="31">
        <f t="shared" si="13"/>
        <v>0</v>
      </c>
      <c r="BC42" s="31">
        <f t="shared" si="15"/>
        <v>0</v>
      </c>
      <c r="BD42" s="31">
        <f t="shared" si="16"/>
        <v>0</v>
      </c>
      <c r="BE42" s="31">
        <f t="shared" si="17"/>
        <v>0</v>
      </c>
      <c r="BF42" s="31">
        <f t="shared" si="18"/>
        <v>0</v>
      </c>
      <c r="BG42" s="31">
        <f t="shared" si="19"/>
        <v>1</v>
      </c>
      <c r="BH42" s="31">
        <f t="shared" si="20"/>
        <v>0</v>
      </c>
      <c r="BI42" s="31">
        <f t="shared" si="21"/>
        <v>0</v>
      </c>
      <c r="BJ42" s="31">
        <f t="shared" si="22"/>
        <v>0</v>
      </c>
      <c r="BK42" s="31">
        <f t="shared" si="23"/>
        <v>0</v>
      </c>
      <c r="BL42" s="31">
        <f t="shared" si="24"/>
        <v>0</v>
      </c>
      <c r="BM42" s="31">
        <f t="shared" si="25"/>
        <v>0</v>
      </c>
      <c r="BO42" s="1">
        <v>3374</v>
      </c>
      <c r="BT42" s="1">
        <v>0</v>
      </c>
      <c r="BU42" s="1">
        <v>4.4399999976158146E-3</v>
      </c>
      <c r="BW42" s="1">
        <v>0</v>
      </c>
      <c r="CB42" s="1">
        <v>4.4399999976158146E-3</v>
      </c>
      <c r="CD42" s="1">
        <v>3374</v>
      </c>
      <c r="CE42" s="31">
        <f t="shared" si="14"/>
        <v>0</v>
      </c>
      <c r="CF42" s="31">
        <f t="shared" si="2"/>
        <v>0</v>
      </c>
      <c r="CG42" s="31">
        <f t="shared" si="3"/>
        <v>0</v>
      </c>
      <c r="CH42" s="31">
        <f t="shared" si="4"/>
        <v>0</v>
      </c>
      <c r="CI42" s="31">
        <f t="shared" si="5"/>
        <v>0</v>
      </c>
      <c r="CJ42" s="31">
        <f t="shared" si="6"/>
        <v>1</v>
      </c>
      <c r="CK42" s="31">
        <f t="shared" si="7"/>
        <v>0</v>
      </c>
      <c r="CL42" s="31">
        <f t="shared" si="8"/>
        <v>0</v>
      </c>
      <c r="CM42" s="31">
        <f t="shared" si="9"/>
        <v>0</v>
      </c>
      <c r="CN42" s="31">
        <f t="shared" si="10"/>
        <v>0</v>
      </c>
      <c r="CO42" s="31">
        <f t="shared" si="11"/>
        <v>0</v>
      </c>
      <c r="CP42" s="31">
        <f t="shared" si="12"/>
        <v>0</v>
      </c>
    </row>
    <row r="43" spans="1:94">
      <c r="A43" s="28">
        <v>3473</v>
      </c>
      <c r="B43" s="29">
        <v>0</v>
      </c>
      <c r="C43" s="29">
        <v>0</v>
      </c>
      <c r="D43" s="22">
        <v>0</v>
      </c>
      <c r="E43" s="22">
        <v>0</v>
      </c>
      <c r="G43" s="29">
        <f>IF(ISBLANK('User Interface (Start Here!)'!$L$4),commercial!B43,commercial!C43)</f>
        <v>0</v>
      </c>
      <c r="H43" s="22">
        <f>IF(ISBLANK('User Interface (Start Here!)'!$L$4),commercial!D43,commercial!E43)</f>
        <v>0</v>
      </c>
      <c r="I43" s="40">
        <f>(G43+H43)*'User Interface (Start Here!)'!$L$10</f>
        <v>0</v>
      </c>
      <c r="J43" s="2">
        <f>IF(VLOOKUP(A43,'User Interface (Start Here!)'!$DO$2:$DP$73,2,FALSE)&lt;&gt;0,1,0)</f>
        <v>0</v>
      </c>
      <c r="K43" s="41">
        <f>IF(AND(J43=1,ISBLANK('User Interface (Start Here!)'!$L$14),ISBLANK('User Interface (Start Here!)'!$M$14),ISBLANK('User Interface (Start Here!)'!$N$14)),100%*'User Interface (Start Here!)'!$L$30,IF(J43=1,VLOOKUP(A43,'Bathymetric Closures'!$A$2:$C$57,3,FALSE)*'User Interface (Start Here!)'!$L$30,0%))</f>
        <v>0</v>
      </c>
      <c r="L43" s="50">
        <f>IF(ISBLANK('User Interface (Start Here!)'!#REF!),$I43*VLOOKUP($A43,$BA$5:$BM$60,L$2+1,FALSE),$I43*VLOOKUP($A43,$CD$6:$CP$60,L$2+1,FALSE))</f>
        <v>0</v>
      </c>
      <c r="M43" s="50">
        <f>IF(ISBLANK('User Interface (Start Here!)'!#REF!),$I43*VLOOKUP($A43,$BA$5:$BM$60,M$2+1,FALSE),$I43*VLOOKUP($A43,$CD$6:$CP$60,M$2+1,FALSE))</f>
        <v>0</v>
      </c>
      <c r="N43" s="50">
        <f>IF(ISBLANK('User Interface (Start Here!)'!#REF!),$I43*VLOOKUP($A43,$BA$5:$BM$60,N$2+1,FALSE),$I43*VLOOKUP($A43,$CD$6:$CP$60,N$2+1,FALSE))</f>
        <v>0</v>
      </c>
      <c r="O43" s="50">
        <f>IF(ISBLANK('User Interface (Start Here!)'!#REF!),$I43*VLOOKUP($A43,$BA$5:$BM$60,O$2+1,FALSE),$I43*VLOOKUP($A43,$CD$6:$CP$60,O$2+1,FALSE))</f>
        <v>0</v>
      </c>
      <c r="P43" s="50">
        <f>IF(ISBLANK('User Interface (Start Here!)'!#REF!),$I43*VLOOKUP($A43,$BA$5:$BM$60,P$2+1,FALSE),$I43*VLOOKUP($A43,$CD$6:$CP$60,P$2+1,FALSE))</f>
        <v>0</v>
      </c>
      <c r="Q43" s="50">
        <f>IF(ISBLANK('User Interface (Start Here!)'!#REF!),$I43*VLOOKUP($A43,$BA$5:$BM$60,Q$2+1,FALSE),$I43*VLOOKUP($A43,$CD$6:$CP$60,Q$2+1,FALSE))</f>
        <v>0</v>
      </c>
      <c r="R43" s="50">
        <f>IF(ISBLANK('User Interface (Start Here!)'!#REF!),$I43*VLOOKUP($A43,$BA$5:$BM$60,R$2+1,FALSE),$I43*VLOOKUP($A43,$CD$6:$CP$60,R$2+1,FALSE))</f>
        <v>0</v>
      </c>
      <c r="S43" s="50">
        <f>IF(ISBLANK('User Interface (Start Here!)'!#REF!),$I43*VLOOKUP($A43,$BA$5:$BM$60,S$2+1,FALSE),$I43*VLOOKUP($A43,$CD$6:$CP$60,S$2+1,FALSE))</f>
        <v>0</v>
      </c>
      <c r="T43" s="50">
        <f>IF(ISBLANK('User Interface (Start Here!)'!#REF!),$I43*VLOOKUP($A43,$BA$5:$BM$60,T$2+1,FALSE),$I43*VLOOKUP($A43,$CD$6:$CP$60,T$2+1,FALSE))</f>
        <v>0</v>
      </c>
      <c r="U43" s="50">
        <f>IF(ISBLANK('User Interface (Start Here!)'!#REF!),$I43*VLOOKUP($A43,$BA$5:$BM$60,U$2+1,FALSE),$I43*VLOOKUP($A43,$CD$6:$CP$60,U$2+1,FALSE))</f>
        <v>0</v>
      </c>
      <c r="V43" s="50">
        <f>IF(ISBLANK('User Interface (Start Here!)'!#REF!),$I43*VLOOKUP($A43,$BA$5:$BM$60,V$2+1,FALSE),$I43*VLOOKUP($A43,$CD$6:$CP$60,V$2+1,FALSE))</f>
        <v>0</v>
      </c>
      <c r="W43" s="50">
        <f>IF(ISBLANK('User Interface (Start Here!)'!#REF!),$I43*VLOOKUP($A43,$BA$5:$BM$60,W$2+1,FALSE),$I43*VLOOKUP($A43,$CD$6:$CP$60,W$2+1,FALSE))</f>
        <v>0</v>
      </c>
      <c r="X43" s="51">
        <f>IF($J43&lt;&gt;1,L43,IF(VLOOKUP($A43,'User Interface (Start Here!)'!$B$18:$N$28,X$2+1,FALSE)&lt;&gt;100%,L43-VLOOKUP($A43,'User Interface (Start Here!)'!$B$18:$N$28,X$2+1,FALSE)/'User Interface (Start Here!)'!$L$35*$K43*L43,L43-VLOOKUP($A43,'User Interface (Start Here!)'!$B$18:$N$28,X$2+1,FALSE)*$K43*L43))</f>
        <v>0</v>
      </c>
      <c r="Y43" s="52">
        <f>IF($J43&lt;&gt;1,M43,IF(VLOOKUP($A43,'User Interface (Start Here!)'!$B$18:$N$28,Y$2+1,FALSE)&lt;&gt;100%,M43-VLOOKUP($A43,'User Interface (Start Here!)'!$B$18:$N$28,Y$2+1,FALSE)/'User Interface (Start Here!)'!$L$35*$K43*M43,M43-VLOOKUP($A43,'User Interface (Start Here!)'!$B$18:$N$28,Y$2+1,FALSE)*$K43*M43))</f>
        <v>0</v>
      </c>
      <c r="Z43" s="52">
        <f>IF($J43&lt;&gt;1,N43,IF(VLOOKUP($A43,'User Interface (Start Here!)'!$B$18:$N$28,Z$2+1,FALSE)&lt;&gt;100%,N43-VLOOKUP($A43,'User Interface (Start Here!)'!$B$18:$N$28,Z$2+1,FALSE)/'User Interface (Start Here!)'!$L$35*$K43*N43,N43-VLOOKUP($A43,'User Interface (Start Here!)'!$B$18:$N$28,Z$2+1,FALSE)*$K43*N43))</f>
        <v>0</v>
      </c>
      <c r="AA43" s="52">
        <f>IF($J43&lt;&gt;1,O43,IF(VLOOKUP($A43,'User Interface (Start Here!)'!$B$18:$N$28,AA$2+1,FALSE)&lt;&gt;100%,O43-VLOOKUP($A43,'User Interface (Start Here!)'!$B$18:$N$28,AA$2+1,FALSE)/'User Interface (Start Here!)'!$L$35*$K43*O43,O43-VLOOKUP($A43,'User Interface (Start Here!)'!$B$18:$N$28,AA$2+1,FALSE)*$K43*O43))</f>
        <v>0</v>
      </c>
      <c r="AB43" s="52">
        <f>IF($J43&lt;&gt;1,P43,IF(VLOOKUP($A43,'User Interface (Start Here!)'!$B$18:$N$28,AB$2+1,FALSE)&lt;&gt;100%,P43-VLOOKUP($A43,'User Interface (Start Here!)'!$B$18:$N$28,AB$2+1,FALSE)/'User Interface (Start Here!)'!$L$35*$K43*P43,P43-VLOOKUP($A43,'User Interface (Start Here!)'!$B$18:$N$28,AB$2+1,FALSE)*$K43*P43))</f>
        <v>0</v>
      </c>
      <c r="AC43" s="52">
        <f>IF($J43&lt;&gt;1,Q43,IF(VLOOKUP($A43,'User Interface (Start Here!)'!$B$18:$N$28,AC$2+1,FALSE)&lt;&gt;100%,Q43-VLOOKUP($A43,'User Interface (Start Here!)'!$B$18:$N$28,AC$2+1,FALSE)/'User Interface (Start Here!)'!$L$35*$K43*Q43,Q43-VLOOKUP($A43,'User Interface (Start Here!)'!$B$18:$N$28,AC$2+1,FALSE)*$K43*Q43))</f>
        <v>0</v>
      </c>
      <c r="AD43" s="52">
        <f>IF($J43&lt;&gt;1,R43,IF(VLOOKUP($A43,'User Interface (Start Here!)'!$B$18:$N$28,AD$2+1,FALSE)&lt;&gt;100%,R43-VLOOKUP($A43,'User Interface (Start Here!)'!$B$18:$N$28,AD$2+1,FALSE)/'User Interface (Start Here!)'!$L$35*$K43*R43,R43-VLOOKUP($A43,'User Interface (Start Here!)'!$B$18:$N$28,AD$2+1,FALSE)*$K43*R43))</f>
        <v>0</v>
      </c>
      <c r="AE43" s="52">
        <f>IF($J43&lt;&gt;1,S43,IF(VLOOKUP($A43,'User Interface (Start Here!)'!$B$18:$N$28,AE$2+1,FALSE)&lt;&gt;100%,S43-VLOOKUP($A43,'User Interface (Start Here!)'!$B$18:$N$28,AE$2+1,FALSE)/'User Interface (Start Here!)'!$L$35*$K43*S43,S43-VLOOKUP($A43,'User Interface (Start Here!)'!$B$18:$N$28,AE$2+1,FALSE)*$K43*S43))</f>
        <v>0</v>
      </c>
      <c r="AF43" s="52">
        <f>IF($J43&lt;&gt;1,T43,IF(VLOOKUP($A43,'User Interface (Start Here!)'!$B$18:$N$28,AF$2+1,FALSE)&lt;&gt;100%,T43-VLOOKUP($A43,'User Interface (Start Here!)'!$B$18:$N$28,AF$2+1,FALSE)/'User Interface (Start Here!)'!$L$35*$K43*T43,T43-VLOOKUP($A43,'User Interface (Start Here!)'!$B$18:$N$28,AF$2+1,FALSE)*$K43*T43))</f>
        <v>0</v>
      </c>
      <c r="AG43" s="52">
        <f>IF($J43&lt;&gt;1,U43,IF(VLOOKUP($A43,'User Interface (Start Here!)'!$B$18:$N$28,AG$2+1,FALSE)&lt;&gt;100%,U43-VLOOKUP($A43,'User Interface (Start Here!)'!$B$18:$N$28,AG$2+1,FALSE)/'User Interface (Start Here!)'!$L$35*$K43*U43,U43-VLOOKUP($A43,'User Interface (Start Here!)'!$B$18:$N$28,AG$2+1,FALSE)*$K43*U43))</f>
        <v>0</v>
      </c>
      <c r="AH43" s="52">
        <f>IF($J43&lt;&gt;1,V43,IF(VLOOKUP($A43,'User Interface (Start Here!)'!$B$18:$N$28,AH$2+1,FALSE)&lt;&gt;100%,V43-VLOOKUP($A43,'User Interface (Start Here!)'!$B$18:$N$28,AH$2+1,FALSE)/'User Interface (Start Here!)'!$L$35*$K43*V43,V43-VLOOKUP($A43,'User Interface (Start Here!)'!$B$18:$N$28,AH$2+1,FALSE)*$K43*V43))</f>
        <v>0</v>
      </c>
      <c r="AI43" s="52">
        <f>IF($J43&lt;&gt;1,W43,IF(VLOOKUP($A43,'User Interface (Start Here!)'!$B$18:$N$28,AI$2+1,FALSE)&lt;&gt;100%,W43-VLOOKUP($A43,'User Interface (Start Here!)'!$B$18:$N$28,AI$2+1,FALSE)/'User Interface (Start Here!)'!$L$35*$K43*W43,W43-VLOOKUP($A43,'User Interface (Start Here!)'!$B$18:$N$28,AI$2+1,FALSE)*$K43*W43))</f>
        <v>0</v>
      </c>
      <c r="AJ43" s="42">
        <f t="shared" si="0"/>
        <v>0</v>
      </c>
      <c r="AL43" s="1">
        <v>3375</v>
      </c>
      <c r="AO43" s="1">
        <v>0</v>
      </c>
      <c r="AP43" s="1">
        <v>0.14873999989032746</v>
      </c>
      <c r="AQ43" s="1">
        <v>0.18758999980986119</v>
      </c>
      <c r="AR43" s="1">
        <v>6.6599999964237211E-3</v>
      </c>
      <c r="AU43" s="1">
        <v>0</v>
      </c>
      <c r="AX43" s="1">
        <v>0</v>
      </c>
      <c r="AY43" s="1">
        <v>0.34298999969661237</v>
      </c>
      <c r="BA43" s="1">
        <v>3375</v>
      </c>
      <c r="BB43" s="31">
        <f t="shared" si="13"/>
        <v>0</v>
      </c>
      <c r="BC43" s="31">
        <f t="shared" si="15"/>
        <v>0</v>
      </c>
      <c r="BD43" s="31">
        <f t="shared" si="16"/>
        <v>0</v>
      </c>
      <c r="BE43" s="31">
        <f t="shared" si="17"/>
        <v>0.43365695799263426</v>
      </c>
      <c r="BF43" s="31">
        <f t="shared" si="18"/>
        <v>0.54692556627246169</v>
      </c>
      <c r="BG43" s="31">
        <f t="shared" si="19"/>
        <v>1.9417475734904058E-2</v>
      </c>
      <c r="BH43" s="31">
        <f t="shared" si="20"/>
        <v>0</v>
      </c>
      <c r="BI43" s="31">
        <f t="shared" si="21"/>
        <v>0</v>
      </c>
      <c r="BJ43" s="31">
        <f t="shared" si="22"/>
        <v>0</v>
      </c>
      <c r="BK43" s="31">
        <f t="shared" si="23"/>
        <v>0</v>
      </c>
      <c r="BL43" s="31">
        <f t="shared" si="24"/>
        <v>0</v>
      </c>
      <c r="BM43" s="31">
        <f t="shared" si="25"/>
        <v>0</v>
      </c>
      <c r="BO43" s="1">
        <v>3375</v>
      </c>
      <c r="BR43" s="1">
        <v>0</v>
      </c>
      <c r="BS43" s="1">
        <v>9.8789999961853031E-2</v>
      </c>
      <c r="BT43" s="1">
        <v>0.18758999980986119</v>
      </c>
      <c r="BU43" s="1">
        <v>6.6599999964237211E-3</v>
      </c>
      <c r="BX43" s="1">
        <v>0</v>
      </c>
      <c r="CA43" s="1">
        <v>0</v>
      </c>
      <c r="CB43" s="1">
        <v>0.29303999976813799</v>
      </c>
      <c r="CD43" s="1">
        <v>3375</v>
      </c>
      <c r="CE43" s="31">
        <f t="shared" si="14"/>
        <v>0</v>
      </c>
      <c r="CF43" s="31">
        <f t="shared" si="2"/>
        <v>0</v>
      </c>
      <c r="CG43" s="31">
        <f t="shared" si="3"/>
        <v>0</v>
      </c>
      <c r="CH43" s="31">
        <f t="shared" si="4"/>
        <v>0.33712121225777586</v>
      </c>
      <c r="CI43" s="31">
        <f t="shared" si="5"/>
        <v>0.64015151500917278</v>
      </c>
      <c r="CJ43" s="31">
        <f t="shared" si="6"/>
        <v>2.2727272733051161E-2</v>
      </c>
      <c r="CK43" s="31">
        <f t="shared" si="7"/>
        <v>0</v>
      </c>
      <c r="CL43" s="31">
        <f t="shared" si="8"/>
        <v>0</v>
      </c>
      <c r="CM43" s="31">
        <f t="shared" si="9"/>
        <v>0</v>
      </c>
      <c r="CN43" s="31">
        <f t="shared" si="10"/>
        <v>0</v>
      </c>
      <c r="CO43" s="31">
        <f t="shared" si="11"/>
        <v>0</v>
      </c>
      <c r="CP43" s="31">
        <f t="shared" si="12"/>
        <v>0</v>
      </c>
    </row>
    <row r="44" spans="1:94">
      <c r="A44" s="28">
        <v>3474</v>
      </c>
      <c r="B44" s="29">
        <v>0.38976270408487951</v>
      </c>
      <c r="C44" s="29">
        <v>0.3503833592239195</v>
      </c>
      <c r="D44" s="22">
        <v>9.2665828169989126E-2</v>
      </c>
      <c r="E44" s="22">
        <v>8.3303414665340955E-2</v>
      </c>
      <c r="G44" s="29">
        <f>IF(ISBLANK('User Interface (Start Here!)'!$L$4),commercial!B44,commercial!C44)</f>
        <v>0.3503833592239195</v>
      </c>
      <c r="H44" s="22">
        <f>IF(ISBLANK('User Interface (Start Here!)'!$L$4),commercial!D44,commercial!E44)</f>
        <v>8.3303414665340955E-2</v>
      </c>
      <c r="I44" s="40">
        <f>(G44+H44)*'User Interface (Start Here!)'!$L$10</f>
        <v>0.39031809650033444</v>
      </c>
      <c r="J44" s="2">
        <f>IF(VLOOKUP(A44,'User Interface (Start Here!)'!$DO$2:$DP$73,2,FALSE)&lt;&gt;0,1,0)</f>
        <v>0</v>
      </c>
      <c r="K44" s="41">
        <f>IF(AND(J44=1,ISBLANK('User Interface (Start Here!)'!$L$14),ISBLANK('User Interface (Start Here!)'!$M$14),ISBLANK('User Interface (Start Here!)'!$N$14)),100%*'User Interface (Start Here!)'!$L$30,IF(J44=1,VLOOKUP(A44,'Bathymetric Closures'!$A$2:$C$57,3,FALSE)*'User Interface (Start Here!)'!$L$30,0%))</f>
        <v>0</v>
      </c>
      <c r="L44" s="50">
        <f>IF(ISBLANK('User Interface (Start Here!)'!#REF!),$I44*VLOOKUP($A44,$BA$5:$BM$60,L$2+1,FALSE),$I44*VLOOKUP($A44,$CD$6:$CP$60,L$2+1,FALSE))</f>
        <v>3.9837187325758382E-2</v>
      </c>
      <c r="M44" s="50">
        <f>IF(ISBLANK('User Interface (Start Here!)'!#REF!),$I44*VLOOKUP($A44,$BA$5:$BM$60,M$2+1,FALSE),$I44*VLOOKUP($A44,$CD$6:$CP$60,M$2+1,FALSE))</f>
        <v>2.1450793150092708E-2</v>
      </c>
      <c r="N44" s="50">
        <f>IF(ISBLANK('User Interface (Start Here!)'!#REF!),$I44*VLOOKUP($A44,$BA$5:$BM$60,N$2+1,FALSE),$I44*VLOOKUP($A44,$CD$6:$CP$60,N$2+1,FALSE))</f>
        <v>3.5021703169356147E-3</v>
      </c>
      <c r="O44" s="50">
        <f>IF(ISBLANK('User Interface (Start Here!)'!#REF!),$I44*VLOOKUP($A44,$BA$5:$BM$60,O$2+1,FALSE),$I44*VLOOKUP($A44,$CD$6:$CP$60,O$2+1,FALSE))</f>
        <v>3.0643990214418149E-2</v>
      </c>
      <c r="P44" s="50">
        <f>IF(ISBLANK('User Interface (Start Here!)'!#REF!),$I44*VLOOKUP($A44,$BA$5:$BM$60,P$2+1,FALSE),$I44*VLOOKUP($A44,$CD$6:$CP$60,P$2+1,FALSE))</f>
        <v>6.2163523096222917E-2</v>
      </c>
      <c r="Q44" s="50">
        <f>IF(ISBLANK('User Interface (Start Here!)'!#REF!),$I44*VLOOKUP($A44,$BA$5:$BM$60,Q$2+1,FALSE),$I44*VLOOKUP($A44,$CD$6:$CP$60,Q$2+1,FALSE))</f>
        <v>0.14402675409004118</v>
      </c>
      <c r="R44" s="50">
        <f>IF(ISBLANK('User Interface (Start Here!)'!#REF!),$I44*VLOOKUP($A44,$BA$5:$BM$60,R$2+1,FALSE),$I44*VLOOKUP($A44,$CD$6:$CP$60,R$2+1,FALSE))</f>
        <v>5.2358661286289084E-2</v>
      </c>
      <c r="S44" s="50">
        <f>IF(ISBLANK('User Interface (Start Here!)'!#REF!),$I44*VLOOKUP($A44,$BA$5:$BM$60,S$2+1,FALSE),$I44*VLOOKUP($A44,$CD$6:$CP$60,S$2+1,FALSE))</f>
        <v>5.2532554754034216E-3</v>
      </c>
      <c r="T44" s="50">
        <f>IF(ISBLANK('User Interface (Start Here!)'!#REF!),$I44*VLOOKUP($A44,$BA$5:$BM$60,T$2+1,FALSE),$I44*VLOOKUP($A44,$CD$6:$CP$60,T$2+1,FALSE))</f>
        <v>3.5021703169356147E-3</v>
      </c>
      <c r="U44" s="50">
        <f>IF(ISBLANK('User Interface (Start Here!)'!#REF!),$I44*VLOOKUP($A44,$BA$5:$BM$60,U$2+1,FALSE),$I44*VLOOKUP($A44,$CD$6:$CP$60,U$2+1,FALSE))</f>
        <v>0</v>
      </c>
      <c r="V44" s="50">
        <f>IF(ISBLANK('User Interface (Start Here!)'!#REF!),$I44*VLOOKUP($A44,$BA$5:$BM$60,V$2+1,FALSE),$I44*VLOOKUP($A44,$CD$6:$CP$60,V$2+1,FALSE))</f>
        <v>2.7579591228237419E-2</v>
      </c>
      <c r="W44" s="50">
        <f>IF(ISBLANK('User Interface (Start Here!)'!#REF!),$I44*VLOOKUP($A44,$BA$5:$BM$60,W$2+1,FALSE),$I44*VLOOKUP($A44,$CD$6:$CP$60,W$2+1,FALSE))</f>
        <v>0</v>
      </c>
      <c r="X44" s="51">
        <f>IF($J44&lt;&gt;1,L44,IF(VLOOKUP($A44,'User Interface (Start Here!)'!$B$18:$N$28,X$2+1,FALSE)&lt;&gt;100%,L44-VLOOKUP($A44,'User Interface (Start Here!)'!$B$18:$N$28,X$2+1,FALSE)/'User Interface (Start Here!)'!$L$35*$K44*L44,L44-VLOOKUP($A44,'User Interface (Start Here!)'!$B$18:$N$28,X$2+1,FALSE)*$K44*L44))</f>
        <v>3.9837187325758382E-2</v>
      </c>
      <c r="Y44" s="52">
        <f>IF($J44&lt;&gt;1,M44,IF(VLOOKUP($A44,'User Interface (Start Here!)'!$B$18:$N$28,Y$2+1,FALSE)&lt;&gt;100%,M44-VLOOKUP($A44,'User Interface (Start Here!)'!$B$18:$N$28,Y$2+1,FALSE)/'User Interface (Start Here!)'!$L$35*$K44*M44,M44-VLOOKUP($A44,'User Interface (Start Here!)'!$B$18:$N$28,Y$2+1,FALSE)*$K44*M44))</f>
        <v>2.1450793150092708E-2</v>
      </c>
      <c r="Z44" s="52">
        <f>IF($J44&lt;&gt;1,N44,IF(VLOOKUP($A44,'User Interface (Start Here!)'!$B$18:$N$28,Z$2+1,FALSE)&lt;&gt;100%,N44-VLOOKUP($A44,'User Interface (Start Here!)'!$B$18:$N$28,Z$2+1,FALSE)/'User Interface (Start Here!)'!$L$35*$K44*N44,N44-VLOOKUP($A44,'User Interface (Start Here!)'!$B$18:$N$28,Z$2+1,FALSE)*$K44*N44))</f>
        <v>3.5021703169356147E-3</v>
      </c>
      <c r="AA44" s="52">
        <f>IF($J44&lt;&gt;1,O44,IF(VLOOKUP($A44,'User Interface (Start Here!)'!$B$18:$N$28,AA$2+1,FALSE)&lt;&gt;100%,O44-VLOOKUP($A44,'User Interface (Start Here!)'!$B$18:$N$28,AA$2+1,FALSE)/'User Interface (Start Here!)'!$L$35*$K44*O44,O44-VLOOKUP($A44,'User Interface (Start Here!)'!$B$18:$N$28,AA$2+1,FALSE)*$K44*O44))</f>
        <v>3.0643990214418149E-2</v>
      </c>
      <c r="AB44" s="52">
        <f>IF($J44&lt;&gt;1,P44,IF(VLOOKUP($A44,'User Interface (Start Here!)'!$B$18:$N$28,AB$2+1,FALSE)&lt;&gt;100%,P44-VLOOKUP($A44,'User Interface (Start Here!)'!$B$18:$N$28,AB$2+1,FALSE)/'User Interface (Start Here!)'!$L$35*$K44*P44,P44-VLOOKUP($A44,'User Interface (Start Here!)'!$B$18:$N$28,AB$2+1,FALSE)*$K44*P44))</f>
        <v>6.2163523096222917E-2</v>
      </c>
      <c r="AC44" s="52">
        <f>IF($J44&lt;&gt;1,Q44,IF(VLOOKUP($A44,'User Interface (Start Here!)'!$B$18:$N$28,AC$2+1,FALSE)&lt;&gt;100%,Q44-VLOOKUP($A44,'User Interface (Start Here!)'!$B$18:$N$28,AC$2+1,FALSE)/'User Interface (Start Here!)'!$L$35*$K44*Q44,Q44-VLOOKUP($A44,'User Interface (Start Here!)'!$B$18:$N$28,AC$2+1,FALSE)*$K44*Q44))</f>
        <v>0.14402675409004118</v>
      </c>
      <c r="AD44" s="52">
        <f>IF($J44&lt;&gt;1,R44,IF(VLOOKUP($A44,'User Interface (Start Here!)'!$B$18:$N$28,AD$2+1,FALSE)&lt;&gt;100%,R44-VLOOKUP($A44,'User Interface (Start Here!)'!$B$18:$N$28,AD$2+1,FALSE)/'User Interface (Start Here!)'!$L$35*$K44*R44,R44-VLOOKUP($A44,'User Interface (Start Here!)'!$B$18:$N$28,AD$2+1,FALSE)*$K44*R44))</f>
        <v>5.2358661286289084E-2</v>
      </c>
      <c r="AE44" s="52">
        <f>IF($J44&lt;&gt;1,S44,IF(VLOOKUP($A44,'User Interface (Start Here!)'!$B$18:$N$28,AE$2+1,FALSE)&lt;&gt;100%,S44-VLOOKUP($A44,'User Interface (Start Here!)'!$B$18:$N$28,AE$2+1,FALSE)/'User Interface (Start Here!)'!$L$35*$K44*S44,S44-VLOOKUP($A44,'User Interface (Start Here!)'!$B$18:$N$28,AE$2+1,FALSE)*$K44*S44))</f>
        <v>5.2532554754034216E-3</v>
      </c>
      <c r="AF44" s="52">
        <f>IF($J44&lt;&gt;1,T44,IF(VLOOKUP($A44,'User Interface (Start Here!)'!$B$18:$N$28,AF$2+1,FALSE)&lt;&gt;100%,T44-VLOOKUP($A44,'User Interface (Start Here!)'!$B$18:$N$28,AF$2+1,FALSE)/'User Interface (Start Here!)'!$L$35*$K44*T44,T44-VLOOKUP($A44,'User Interface (Start Here!)'!$B$18:$N$28,AF$2+1,FALSE)*$K44*T44))</f>
        <v>3.5021703169356147E-3</v>
      </c>
      <c r="AG44" s="52">
        <f>IF($J44&lt;&gt;1,U44,IF(VLOOKUP($A44,'User Interface (Start Here!)'!$B$18:$N$28,AG$2+1,FALSE)&lt;&gt;100%,U44-VLOOKUP($A44,'User Interface (Start Here!)'!$B$18:$N$28,AG$2+1,FALSE)/'User Interface (Start Here!)'!$L$35*$K44*U44,U44-VLOOKUP($A44,'User Interface (Start Here!)'!$B$18:$N$28,AG$2+1,FALSE)*$K44*U44))</f>
        <v>0</v>
      </c>
      <c r="AH44" s="52">
        <f>IF($J44&lt;&gt;1,V44,IF(VLOOKUP($A44,'User Interface (Start Here!)'!$B$18:$N$28,AH$2+1,FALSE)&lt;&gt;100%,V44-VLOOKUP($A44,'User Interface (Start Here!)'!$B$18:$N$28,AH$2+1,FALSE)/'User Interface (Start Here!)'!$L$35*$K44*V44,V44-VLOOKUP($A44,'User Interface (Start Here!)'!$B$18:$N$28,AH$2+1,FALSE)*$K44*V44))</f>
        <v>2.7579591228237419E-2</v>
      </c>
      <c r="AI44" s="52">
        <f>IF($J44&lt;&gt;1,W44,IF(VLOOKUP($A44,'User Interface (Start Here!)'!$B$18:$N$28,AI$2+1,FALSE)&lt;&gt;100%,W44-VLOOKUP($A44,'User Interface (Start Here!)'!$B$18:$N$28,AI$2+1,FALSE)/'User Interface (Start Here!)'!$L$35*$K44*W44,W44-VLOOKUP($A44,'User Interface (Start Here!)'!$B$18:$N$28,AI$2+1,FALSE)*$K44*W44))</f>
        <v>0</v>
      </c>
      <c r="AJ44" s="42">
        <f t="shared" si="0"/>
        <v>0.3903180965003345</v>
      </c>
      <c r="AL44" s="1">
        <v>3376</v>
      </c>
      <c r="AM44" s="1">
        <v>6.1049999892711641E-2</v>
      </c>
      <c r="AN44" s="1">
        <v>5.7719999909400937E-2</v>
      </c>
      <c r="AO44" s="1">
        <v>3.4409999936819077E-2</v>
      </c>
      <c r="AP44" s="1">
        <v>1.2187799987792969</v>
      </c>
      <c r="AQ44" s="1">
        <v>0.31425999978184704</v>
      </c>
      <c r="AR44" s="1">
        <v>1.1099999994039537E-3</v>
      </c>
      <c r="AS44" s="1">
        <v>9.7679999858140951E-2</v>
      </c>
      <c r="AT44" s="1">
        <v>1.9979999989271163E-2</v>
      </c>
      <c r="AU44" s="1">
        <v>0</v>
      </c>
      <c r="AV44" s="1">
        <v>0.67931999909877783</v>
      </c>
      <c r="AW44" s="1">
        <v>6.4619999885559082E-2</v>
      </c>
      <c r="AX44" s="1">
        <v>1.3442099999785424</v>
      </c>
      <c r="AY44" s="1">
        <v>3.8931399971097709</v>
      </c>
      <c r="BA44" s="1">
        <v>3376</v>
      </c>
      <c r="BB44" s="31">
        <f t="shared" si="13"/>
        <v>1.568142937013171E-2</v>
      </c>
      <c r="BC44" s="31">
        <f t="shared" si="15"/>
        <v>1.4826078679999102E-2</v>
      </c>
      <c r="BD44" s="31">
        <f t="shared" si="16"/>
        <v>8.8386238261055922E-3</v>
      </c>
      <c r="BE44" s="31">
        <f t="shared" si="17"/>
        <v>0.31305835384396841</v>
      </c>
      <c r="BF44" s="31">
        <f t="shared" si="18"/>
        <v>8.0721474186684933E-2</v>
      </c>
      <c r="BG44" s="31">
        <f t="shared" si="19"/>
        <v>2.8511689798671686E-4</v>
      </c>
      <c r="BH44" s="31">
        <f t="shared" si="20"/>
        <v>2.5090286999865822E-2</v>
      </c>
      <c r="BI44" s="31">
        <f t="shared" si="21"/>
        <v>5.1321041637609026E-3</v>
      </c>
      <c r="BJ44" s="31">
        <f t="shared" si="22"/>
        <v>0</v>
      </c>
      <c r="BK44" s="31">
        <f t="shared" si="23"/>
        <v>0.17449154143007917</v>
      </c>
      <c r="BL44" s="31">
        <f t="shared" si="24"/>
        <v>1.6598426959609041E-2</v>
      </c>
      <c r="BM44" s="31">
        <f t="shared" si="25"/>
        <v>0.34527656364180859</v>
      </c>
      <c r="BO44" s="1">
        <v>3376</v>
      </c>
      <c r="BP44" s="1">
        <v>6.1049999892711641E-2</v>
      </c>
      <c r="BQ44" s="1">
        <v>0</v>
      </c>
      <c r="BR44" s="1">
        <v>5.8684496849489964E-3</v>
      </c>
      <c r="BS44" s="1">
        <v>0</v>
      </c>
      <c r="BT44" s="1">
        <v>0.31425999978184704</v>
      </c>
      <c r="BU44" s="1">
        <v>1.1099999994039537E-3</v>
      </c>
      <c r="BV44" s="1">
        <v>9.7679999858140951E-2</v>
      </c>
      <c r="BW44" s="1">
        <v>1.6649999991059303E-2</v>
      </c>
      <c r="BX44" s="1">
        <v>0</v>
      </c>
      <c r="BY44" s="1">
        <v>0</v>
      </c>
      <c r="BZ44" s="1">
        <v>0</v>
      </c>
      <c r="CA44" s="1">
        <v>0</v>
      </c>
      <c r="CB44" s="1">
        <v>0.49661844920811193</v>
      </c>
      <c r="CD44" s="1">
        <v>3376</v>
      </c>
      <c r="CE44" s="31">
        <f t="shared" si="14"/>
        <v>0.1229313973132886</v>
      </c>
      <c r="CF44" s="31">
        <f t="shared" si="2"/>
        <v>0</v>
      </c>
      <c r="CG44" s="31">
        <f t="shared" si="3"/>
        <v>1.1816817708457253E-2</v>
      </c>
      <c r="CH44" s="31">
        <f t="shared" si="4"/>
        <v>0</v>
      </c>
      <c r="CI44" s="31">
        <f t="shared" si="5"/>
        <v>0.6327996881367447</v>
      </c>
      <c r="CJ44" s="31">
        <f t="shared" si="6"/>
        <v>2.2351163175148158E-3</v>
      </c>
      <c r="CK44" s="31">
        <f t="shared" si="7"/>
        <v>0.19669023576127226</v>
      </c>
      <c r="CL44" s="31">
        <f t="shared" si="8"/>
        <v>3.352674476272223E-2</v>
      </c>
      <c r="CM44" s="31">
        <f t="shared" si="9"/>
        <v>0</v>
      </c>
      <c r="CN44" s="31">
        <f t="shared" si="10"/>
        <v>0</v>
      </c>
      <c r="CO44" s="31">
        <f t="shared" si="11"/>
        <v>0</v>
      </c>
      <c r="CP44" s="31">
        <f t="shared" si="12"/>
        <v>0</v>
      </c>
    </row>
    <row r="45" spans="1:94">
      <c r="A45" s="28">
        <v>3475</v>
      </c>
      <c r="B45" s="29">
        <v>1.4170250387311319E-2</v>
      </c>
      <c r="C45" s="29">
        <v>0</v>
      </c>
      <c r="D45" s="22">
        <v>3.3689677687333474E-3</v>
      </c>
      <c r="E45" s="22">
        <v>0</v>
      </c>
      <c r="G45" s="29">
        <f>IF(ISBLANK('User Interface (Start Here!)'!$L$4),commercial!B45,commercial!C45)</f>
        <v>0</v>
      </c>
      <c r="H45" s="22">
        <f>IF(ISBLANK('User Interface (Start Here!)'!$L$4),commercial!D45,commercial!E45)</f>
        <v>0</v>
      </c>
      <c r="I45" s="40">
        <f>(G45+H45)*'User Interface (Start Here!)'!$L$10</f>
        <v>0</v>
      </c>
      <c r="J45" s="2">
        <f>IF(VLOOKUP(A45,'User Interface (Start Here!)'!$DO$2:$DP$73,2,FALSE)&lt;&gt;0,1,0)</f>
        <v>0</v>
      </c>
      <c r="K45" s="41">
        <f>IF(AND(J45=1,ISBLANK('User Interface (Start Here!)'!$L$14),ISBLANK('User Interface (Start Here!)'!$M$14),ISBLANK('User Interface (Start Here!)'!$N$14)),100%*'User Interface (Start Here!)'!$L$30,IF(J45=1,VLOOKUP(A45,'Bathymetric Closures'!$A$2:$C$57,3,FALSE)*'User Interface (Start Here!)'!$L$30,0%))</f>
        <v>0</v>
      </c>
      <c r="L45" s="50">
        <f>IF(ISBLANK('User Interface (Start Here!)'!#REF!),$I45*VLOOKUP($A45,$BA$5:$BM$60,L$2+1,FALSE),$I45*VLOOKUP($A45,$CD$6:$CP$60,L$2+1,FALSE))</f>
        <v>0</v>
      </c>
      <c r="M45" s="50">
        <f>IF(ISBLANK('User Interface (Start Here!)'!#REF!),$I45*VLOOKUP($A45,$BA$5:$BM$60,M$2+1,FALSE),$I45*VLOOKUP($A45,$CD$6:$CP$60,M$2+1,FALSE))</f>
        <v>0</v>
      </c>
      <c r="N45" s="50">
        <f>IF(ISBLANK('User Interface (Start Here!)'!#REF!),$I45*VLOOKUP($A45,$BA$5:$BM$60,N$2+1,FALSE),$I45*VLOOKUP($A45,$CD$6:$CP$60,N$2+1,FALSE))</f>
        <v>0</v>
      </c>
      <c r="O45" s="50">
        <f>IF(ISBLANK('User Interface (Start Here!)'!#REF!),$I45*VLOOKUP($A45,$BA$5:$BM$60,O$2+1,FALSE),$I45*VLOOKUP($A45,$CD$6:$CP$60,O$2+1,FALSE))</f>
        <v>0</v>
      </c>
      <c r="P45" s="50">
        <f>IF(ISBLANK('User Interface (Start Here!)'!#REF!),$I45*VLOOKUP($A45,$BA$5:$BM$60,P$2+1,FALSE),$I45*VLOOKUP($A45,$CD$6:$CP$60,P$2+1,FALSE))</f>
        <v>0</v>
      </c>
      <c r="Q45" s="50">
        <f>IF(ISBLANK('User Interface (Start Here!)'!#REF!),$I45*VLOOKUP($A45,$BA$5:$BM$60,Q$2+1,FALSE),$I45*VLOOKUP($A45,$CD$6:$CP$60,Q$2+1,FALSE))</f>
        <v>0</v>
      </c>
      <c r="R45" s="50">
        <f>IF(ISBLANK('User Interface (Start Here!)'!#REF!),$I45*VLOOKUP($A45,$BA$5:$BM$60,R$2+1,FALSE),$I45*VLOOKUP($A45,$CD$6:$CP$60,R$2+1,FALSE))</f>
        <v>0</v>
      </c>
      <c r="S45" s="50">
        <f>IF(ISBLANK('User Interface (Start Here!)'!#REF!),$I45*VLOOKUP($A45,$BA$5:$BM$60,S$2+1,FALSE),$I45*VLOOKUP($A45,$CD$6:$CP$60,S$2+1,FALSE))</f>
        <v>0</v>
      </c>
      <c r="T45" s="50">
        <f>IF(ISBLANK('User Interface (Start Here!)'!#REF!),$I45*VLOOKUP($A45,$BA$5:$BM$60,T$2+1,FALSE),$I45*VLOOKUP($A45,$CD$6:$CP$60,T$2+1,FALSE))</f>
        <v>0</v>
      </c>
      <c r="U45" s="50">
        <f>IF(ISBLANK('User Interface (Start Here!)'!#REF!),$I45*VLOOKUP($A45,$BA$5:$BM$60,U$2+1,FALSE),$I45*VLOOKUP($A45,$CD$6:$CP$60,U$2+1,FALSE))</f>
        <v>0</v>
      </c>
      <c r="V45" s="50">
        <f>IF(ISBLANK('User Interface (Start Here!)'!#REF!),$I45*VLOOKUP($A45,$BA$5:$BM$60,V$2+1,FALSE),$I45*VLOOKUP($A45,$CD$6:$CP$60,V$2+1,FALSE))</f>
        <v>0</v>
      </c>
      <c r="W45" s="50">
        <f>IF(ISBLANK('User Interface (Start Here!)'!#REF!),$I45*VLOOKUP($A45,$BA$5:$BM$60,W$2+1,FALSE),$I45*VLOOKUP($A45,$CD$6:$CP$60,W$2+1,FALSE))</f>
        <v>0</v>
      </c>
      <c r="X45" s="51">
        <f>IF($J45&lt;&gt;1,L45,IF(VLOOKUP($A45,'User Interface (Start Here!)'!$B$18:$N$28,X$2+1,FALSE)&lt;&gt;100%,L45-VLOOKUP($A45,'User Interface (Start Here!)'!$B$18:$N$28,X$2+1,FALSE)/'User Interface (Start Here!)'!$L$35*$K45*L45,L45-VLOOKUP($A45,'User Interface (Start Here!)'!$B$18:$N$28,X$2+1,FALSE)*$K45*L45))</f>
        <v>0</v>
      </c>
      <c r="Y45" s="52">
        <f>IF($J45&lt;&gt;1,M45,IF(VLOOKUP($A45,'User Interface (Start Here!)'!$B$18:$N$28,Y$2+1,FALSE)&lt;&gt;100%,M45-VLOOKUP($A45,'User Interface (Start Here!)'!$B$18:$N$28,Y$2+1,FALSE)/'User Interface (Start Here!)'!$L$35*$K45*M45,M45-VLOOKUP($A45,'User Interface (Start Here!)'!$B$18:$N$28,Y$2+1,FALSE)*$K45*M45))</f>
        <v>0</v>
      </c>
      <c r="Z45" s="52">
        <f>IF($J45&lt;&gt;1,N45,IF(VLOOKUP($A45,'User Interface (Start Here!)'!$B$18:$N$28,Z$2+1,FALSE)&lt;&gt;100%,N45-VLOOKUP($A45,'User Interface (Start Here!)'!$B$18:$N$28,Z$2+1,FALSE)/'User Interface (Start Here!)'!$L$35*$K45*N45,N45-VLOOKUP($A45,'User Interface (Start Here!)'!$B$18:$N$28,Z$2+1,FALSE)*$K45*N45))</f>
        <v>0</v>
      </c>
      <c r="AA45" s="52">
        <f>IF($J45&lt;&gt;1,O45,IF(VLOOKUP($A45,'User Interface (Start Here!)'!$B$18:$N$28,AA$2+1,FALSE)&lt;&gt;100%,O45-VLOOKUP($A45,'User Interface (Start Here!)'!$B$18:$N$28,AA$2+1,FALSE)/'User Interface (Start Here!)'!$L$35*$K45*O45,O45-VLOOKUP($A45,'User Interface (Start Here!)'!$B$18:$N$28,AA$2+1,FALSE)*$K45*O45))</f>
        <v>0</v>
      </c>
      <c r="AB45" s="52">
        <f>IF($J45&lt;&gt;1,P45,IF(VLOOKUP($A45,'User Interface (Start Here!)'!$B$18:$N$28,AB$2+1,FALSE)&lt;&gt;100%,P45-VLOOKUP($A45,'User Interface (Start Here!)'!$B$18:$N$28,AB$2+1,FALSE)/'User Interface (Start Here!)'!$L$35*$K45*P45,P45-VLOOKUP($A45,'User Interface (Start Here!)'!$B$18:$N$28,AB$2+1,FALSE)*$K45*P45))</f>
        <v>0</v>
      </c>
      <c r="AC45" s="52">
        <f>IF($J45&lt;&gt;1,Q45,IF(VLOOKUP($A45,'User Interface (Start Here!)'!$B$18:$N$28,AC$2+1,FALSE)&lt;&gt;100%,Q45-VLOOKUP($A45,'User Interface (Start Here!)'!$B$18:$N$28,AC$2+1,FALSE)/'User Interface (Start Here!)'!$L$35*$K45*Q45,Q45-VLOOKUP($A45,'User Interface (Start Here!)'!$B$18:$N$28,AC$2+1,FALSE)*$K45*Q45))</f>
        <v>0</v>
      </c>
      <c r="AD45" s="52">
        <f>IF($J45&lt;&gt;1,R45,IF(VLOOKUP($A45,'User Interface (Start Here!)'!$B$18:$N$28,AD$2+1,FALSE)&lt;&gt;100%,R45-VLOOKUP($A45,'User Interface (Start Here!)'!$B$18:$N$28,AD$2+1,FALSE)/'User Interface (Start Here!)'!$L$35*$K45*R45,R45-VLOOKUP($A45,'User Interface (Start Here!)'!$B$18:$N$28,AD$2+1,FALSE)*$K45*R45))</f>
        <v>0</v>
      </c>
      <c r="AE45" s="52">
        <f>IF($J45&lt;&gt;1,S45,IF(VLOOKUP($A45,'User Interface (Start Here!)'!$B$18:$N$28,AE$2+1,FALSE)&lt;&gt;100%,S45-VLOOKUP($A45,'User Interface (Start Here!)'!$B$18:$N$28,AE$2+1,FALSE)/'User Interface (Start Here!)'!$L$35*$K45*S45,S45-VLOOKUP($A45,'User Interface (Start Here!)'!$B$18:$N$28,AE$2+1,FALSE)*$K45*S45))</f>
        <v>0</v>
      </c>
      <c r="AF45" s="52">
        <f>IF($J45&lt;&gt;1,T45,IF(VLOOKUP($A45,'User Interface (Start Here!)'!$B$18:$N$28,AF$2+1,FALSE)&lt;&gt;100%,T45-VLOOKUP($A45,'User Interface (Start Here!)'!$B$18:$N$28,AF$2+1,FALSE)/'User Interface (Start Here!)'!$L$35*$K45*T45,T45-VLOOKUP($A45,'User Interface (Start Here!)'!$B$18:$N$28,AF$2+1,FALSE)*$K45*T45))</f>
        <v>0</v>
      </c>
      <c r="AG45" s="52">
        <f>IF($J45&lt;&gt;1,U45,IF(VLOOKUP($A45,'User Interface (Start Here!)'!$B$18:$N$28,AG$2+1,FALSE)&lt;&gt;100%,U45-VLOOKUP($A45,'User Interface (Start Here!)'!$B$18:$N$28,AG$2+1,FALSE)/'User Interface (Start Here!)'!$L$35*$K45*U45,U45-VLOOKUP($A45,'User Interface (Start Here!)'!$B$18:$N$28,AG$2+1,FALSE)*$K45*U45))</f>
        <v>0</v>
      </c>
      <c r="AH45" s="52">
        <f>IF($J45&lt;&gt;1,V45,IF(VLOOKUP($A45,'User Interface (Start Here!)'!$B$18:$N$28,AH$2+1,FALSE)&lt;&gt;100%,V45-VLOOKUP($A45,'User Interface (Start Here!)'!$B$18:$N$28,AH$2+1,FALSE)/'User Interface (Start Here!)'!$L$35*$K45*V45,V45-VLOOKUP($A45,'User Interface (Start Here!)'!$B$18:$N$28,AH$2+1,FALSE)*$K45*V45))</f>
        <v>0</v>
      </c>
      <c r="AI45" s="52">
        <f>IF($J45&lt;&gt;1,W45,IF(VLOOKUP($A45,'User Interface (Start Here!)'!$B$18:$N$28,AI$2+1,FALSE)&lt;&gt;100%,W45-VLOOKUP($A45,'User Interface (Start Here!)'!$B$18:$N$28,AI$2+1,FALSE)/'User Interface (Start Here!)'!$L$35*$K45*W45,W45-VLOOKUP($A45,'User Interface (Start Here!)'!$B$18:$N$28,AI$2+1,FALSE)*$K45*W45))</f>
        <v>0</v>
      </c>
      <c r="AJ45" s="42">
        <f t="shared" si="0"/>
        <v>0</v>
      </c>
      <c r="AL45" s="1">
        <v>3377</v>
      </c>
      <c r="AM45" s="1">
        <v>0.67376999872922905</v>
      </c>
      <c r="AN45" s="1">
        <v>0.11654999993741512</v>
      </c>
      <c r="AO45" s="1">
        <v>9.1019999891519543E-2</v>
      </c>
      <c r="AP45" s="1">
        <v>0.21755999982357027</v>
      </c>
      <c r="AQ45" s="1">
        <v>0.96006999848783003</v>
      </c>
      <c r="AR45" s="1">
        <v>0.42124999946355829</v>
      </c>
      <c r="AS45" s="1">
        <v>0.64157999919354913</v>
      </c>
      <c r="AT45" s="1">
        <v>0.34853999960422516</v>
      </c>
      <c r="AU45" s="1">
        <v>0.47142999945580966</v>
      </c>
      <c r="AV45" s="1">
        <v>0.14762999984622005</v>
      </c>
      <c r="AW45" s="1">
        <v>0.12209999988973139</v>
      </c>
      <c r="AX45" s="1">
        <v>0.29414999952912335</v>
      </c>
      <c r="AY45" s="1">
        <v>4.5056499938517813</v>
      </c>
      <c r="BA45" s="1">
        <v>3377</v>
      </c>
      <c r="BB45" s="31">
        <f t="shared" si="13"/>
        <v>0.14953891217662868</v>
      </c>
      <c r="BC45" s="31">
        <f t="shared" si="15"/>
        <v>2.5867521910590992E-2</v>
      </c>
      <c r="BD45" s="31">
        <f t="shared" si="16"/>
        <v>2.0201302812185049E-2</v>
      </c>
      <c r="BE45" s="31">
        <f t="shared" si="17"/>
        <v>4.8286040886540989E-2</v>
      </c>
      <c r="BF45" s="31">
        <f t="shared" si="18"/>
        <v>0.21308135336697276</v>
      </c>
      <c r="BG45" s="31">
        <f t="shared" si="19"/>
        <v>9.3493724554365776E-2</v>
      </c>
      <c r="BH45" s="31">
        <f t="shared" si="20"/>
        <v>0.14239454908149146</v>
      </c>
      <c r="BI45" s="31">
        <f t="shared" si="21"/>
        <v>7.7356208333942508E-2</v>
      </c>
      <c r="BJ45" s="31">
        <f t="shared" si="22"/>
        <v>0.10463085239623651</v>
      </c>
      <c r="BK45" s="31">
        <f t="shared" si="23"/>
        <v>3.2765527736879178E-2</v>
      </c>
      <c r="BL45" s="31">
        <f t="shared" si="24"/>
        <v>2.7099308658316529E-2</v>
      </c>
      <c r="BM45" s="31">
        <f t="shared" si="25"/>
        <v>6.5284698085849538E-2</v>
      </c>
      <c r="BO45" s="1">
        <v>3377</v>
      </c>
      <c r="BP45" s="1">
        <v>0.22532999968528747</v>
      </c>
      <c r="BQ45" s="1">
        <v>5.5499999970197679E-3</v>
      </c>
      <c r="BR45" s="1">
        <v>1.553999999165535E-2</v>
      </c>
      <c r="BS45" s="1">
        <v>4.2179999947547911E-2</v>
      </c>
      <c r="BT45" s="1">
        <v>0.92463999851047984</v>
      </c>
      <c r="BU45" s="1">
        <v>0.3624199994802475</v>
      </c>
      <c r="BV45" s="1">
        <v>0.64157999919354913</v>
      </c>
      <c r="BW45" s="1">
        <v>0.34853999960422521</v>
      </c>
      <c r="BX45" s="1">
        <v>0.4714299994558096</v>
      </c>
      <c r="BY45" s="1">
        <v>0.14762999984622002</v>
      </c>
      <c r="BZ45" s="1">
        <v>9.101999992132187E-2</v>
      </c>
      <c r="CA45" s="1">
        <v>6.6599999964237211E-3</v>
      </c>
      <c r="CB45" s="1">
        <v>3.2825199956297877</v>
      </c>
      <c r="CD45" s="1">
        <v>3377</v>
      </c>
      <c r="CE45" s="31">
        <f t="shared" si="14"/>
        <v>6.8645430944908964E-2</v>
      </c>
      <c r="CF45" s="31">
        <f t="shared" si="2"/>
        <v>1.6907741626582048E-3</v>
      </c>
      <c r="CG45" s="31">
        <f t="shared" si="3"/>
        <v>4.7341676554429734E-3</v>
      </c>
      <c r="CH45" s="31">
        <f t="shared" si="4"/>
        <v>1.2849883627123256E-2</v>
      </c>
      <c r="CI45" s="31">
        <f t="shared" si="5"/>
        <v>0.28168602163627565</v>
      </c>
      <c r="CJ45" s="31">
        <f t="shared" si="6"/>
        <v>0.11040907594249498</v>
      </c>
      <c r="CK45" s="31">
        <f t="shared" si="7"/>
        <v>0.19545349306256243</v>
      </c>
      <c r="CL45" s="31">
        <f t="shared" si="8"/>
        <v>0.10618061735138158</v>
      </c>
      <c r="CM45" s="31">
        <f t="shared" si="9"/>
        <v>0.14361831765943608</v>
      </c>
      <c r="CN45" s="31">
        <f t="shared" si="10"/>
        <v>4.4974592704010496E-2</v>
      </c>
      <c r="CO45" s="31">
        <f t="shared" si="11"/>
        <v>2.7728696258515456E-2</v>
      </c>
      <c r="CP45" s="31">
        <f t="shared" si="12"/>
        <v>2.0289289951898456E-3</v>
      </c>
    </row>
    <row r="46" spans="1:94">
      <c r="A46" s="28">
        <v>3476</v>
      </c>
      <c r="B46" s="29">
        <v>2.7096727117020434</v>
      </c>
      <c r="C46" s="29">
        <v>2.1661343575355887</v>
      </c>
      <c r="D46" s="22">
        <v>0.64422291632297557</v>
      </c>
      <c r="E46" s="22">
        <v>0.51499702784489598</v>
      </c>
      <c r="G46" s="29">
        <f>IF(ISBLANK('User Interface (Start Here!)'!$L$4),commercial!B46,commercial!C46)</f>
        <v>2.1661343575355887</v>
      </c>
      <c r="H46" s="22">
        <f>IF(ISBLANK('User Interface (Start Here!)'!$L$4),commercial!D46,commercial!E46)</f>
        <v>0.51499702784489598</v>
      </c>
      <c r="I46" s="40">
        <f>(G46+H46)*'User Interface (Start Here!)'!$L$10</f>
        <v>2.4130182468424364</v>
      </c>
      <c r="J46" s="2">
        <f>IF(VLOOKUP(A46,'User Interface (Start Here!)'!$DO$2:$DP$73,2,FALSE)&lt;&gt;0,1,0)</f>
        <v>0</v>
      </c>
      <c r="K46" s="41">
        <f>IF(AND(J46=1,ISBLANK('User Interface (Start Here!)'!$L$14),ISBLANK('User Interface (Start Here!)'!$M$14),ISBLANK('User Interface (Start Here!)'!$N$14)),100%*'User Interface (Start Here!)'!$L$30,IF(J46=1,VLOOKUP(A46,'Bathymetric Closures'!$A$2:$C$57,3,FALSE)*'User Interface (Start Here!)'!$L$30,0%))</f>
        <v>0</v>
      </c>
      <c r="L46" s="50">
        <f>IF(ISBLANK('User Interface (Start Here!)'!$L26),$I46*VLOOKUP($A46,$BA$5:$BM$60,L$2+1,FALSE),$I46*VLOOKUP($A46,$CD$6:$CP$60,L$2+1,FALSE))</f>
        <v>0.62086946271734245</v>
      </c>
      <c r="M46" s="50">
        <f>IF(ISBLANK('User Interface (Start Here!)'!$L26),$I46*VLOOKUP($A46,$BA$5:$BM$60,M$2+1,FALSE),$I46*VLOOKUP($A46,$CD$6:$CP$60,M$2+1,FALSE))</f>
        <v>2.4798707634047373E-2</v>
      </c>
      <c r="N46" s="50">
        <f>IF(ISBLANK('User Interface (Start Here!)'!$L26),$I46*VLOOKUP($A46,$BA$5:$BM$60,N$2+1,FALSE),$I46*VLOOKUP($A46,$CD$6:$CP$60,N$2+1,FALSE))</f>
        <v>0.14479238523744595</v>
      </c>
      <c r="O46" s="50">
        <f>IF(ISBLANK('User Interface (Start Here!)'!$L26),$I46*VLOOKUP($A46,$BA$5:$BM$60,O$2+1,FALSE),$I46*VLOOKUP($A46,$CD$6:$CP$60,O$2+1,FALSE))</f>
        <v>5.2334407783986105E-2</v>
      </c>
      <c r="P46" s="50">
        <f>IF(ISBLANK('User Interface (Start Here!)'!$L26),$I46*VLOOKUP($A46,$BA$5:$BM$60,P$2+1,FALSE),$I46*VLOOKUP($A46,$CD$6:$CP$60,P$2+1,FALSE))</f>
        <v>0.2966502244343891</v>
      </c>
      <c r="Q46" s="50">
        <f>IF(ISBLANK('User Interface (Start Here!)'!$L26),$I46*VLOOKUP($A46,$BA$5:$BM$60,Q$2+1,FALSE),$I46*VLOOKUP($A46,$CD$6:$CP$60,Q$2+1,FALSE))</f>
        <v>0.45138560646009374</v>
      </c>
      <c r="R46" s="50">
        <f>IF(ISBLANK('User Interface (Start Here!)'!$L26),$I46*VLOOKUP($A46,$BA$5:$BM$60,R$2+1,FALSE),$I46*VLOOKUP($A46,$CD$6:$CP$60,R$2+1,FALSE))</f>
        <v>0.29767980342632333</v>
      </c>
      <c r="S46" s="50">
        <f>IF(ISBLANK('User Interface (Start Here!)'!$L26),$I46*VLOOKUP($A46,$BA$5:$BM$60,S$2+1,FALSE),$I46*VLOOKUP($A46,$CD$6:$CP$60,S$2+1,FALSE))</f>
        <v>0.1912252000742555</v>
      </c>
      <c r="T46" s="50">
        <f>IF(ISBLANK('User Interface (Start Here!)'!$L26),$I46*VLOOKUP($A46,$BA$5:$BM$60,T$2+1,FALSE),$I46*VLOOKUP($A46,$CD$6:$CP$60,T$2+1,FALSE))</f>
        <v>0.10333534119414038</v>
      </c>
      <c r="U46" s="50">
        <f>IF(ISBLANK('User Interface (Start Here!)'!$L26),$I46*VLOOKUP($A46,$BA$5:$BM$60,U$2+1,FALSE),$I46*VLOOKUP($A46,$CD$6:$CP$60,U$2+1,FALSE))</f>
        <v>0.14350754187337519</v>
      </c>
      <c r="V46" s="50">
        <f>IF(ISBLANK('User Interface (Start Here!)'!$L26),$I46*VLOOKUP($A46,$BA$5:$BM$60,V$2+1,FALSE),$I46*VLOOKUP($A46,$CD$6:$CP$60,V$2+1,FALSE))</f>
        <v>8.6439566007037463E-2</v>
      </c>
      <c r="W46" s="50">
        <f>IF(ISBLANK('User Interface (Start Here!)'!$L26),$I46*VLOOKUP($A46,$BA$5:$BM$60,W$2+1,FALSE),$I46*VLOOKUP($A46,$CD$6:$CP$60,W$2+1,FALSE))</f>
        <v>0</v>
      </c>
      <c r="X46" s="51">
        <f>IF($J46&lt;&gt;1,L46,IF(VLOOKUP($A46,'User Interface (Start Here!)'!$B$18:$N$28,X$2+1,FALSE)&lt;&gt;100%,L46-VLOOKUP($A46,'User Interface (Start Here!)'!$B$18:$N$28,X$2+1,FALSE)/'User Interface (Start Here!)'!$L$35*$K46*L46,L46-VLOOKUP($A46,'User Interface (Start Here!)'!$B$18:$N$28,X$2+1,FALSE)*$K46*L46))</f>
        <v>0.62086946271734245</v>
      </c>
      <c r="Y46" s="52">
        <f>IF($J46&lt;&gt;1,M46,IF(VLOOKUP($A46,'User Interface (Start Here!)'!$B$18:$N$28,Y$2+1,FALSE)&lt;&gt;100%,M46-VLOOKUP($A46,'User Interface (Start Here!)'!$B$18:$N$28,Y$2+1,FALSE)/'User Interface (Start Here!)'!$L$35*$K46*M46,M46-VLOOKUP($A46,'User Interface (Start Here!)'!$B$18:$N$28,Y$2+1,FALSE)*$K46*M46))</f>
        <v>2.4798707634047373E-2</v>
      </c>
      <c r="Z46" s="52">
        <f>IF($J46&lt;&gt;1,N46,IF(VLOOKUP($A46,'User Interface (Start Here!)'!$B$18:$N$28,Z$2+1,FALSE)&lt;&gt;100%,N46-VLOOKUP($A46,'User Interface (Start Here!)'!$B$18:$N$28,Z$2+1,FALSE)/'User Interface (Start Here!)'!$L$35*$K46*N46,N46-VLOOKUP($A46,'User Interface (Start Here!)'!$B$18:$N$28,Z$2+1,FALSE)*$K46*N46))</f>
        <v>0.14479238523744595</v>
      </c>
      <c r="AA46" s="52">
        <f>IF($J46&lt;&gt;1,O46,IF(VLOOKUP($A46,'User Interface (Start Here!)'!$B$18:$N$28,AA$2+1,FALSE)&lt;&gt;100%,O46-VLOOKUP($A46,'User Interface (Start Here!)'!$B$18:$N$28,AA$2+1,FALSE)/'User Interface (Start Here!)'!$L$35*$K46*O46,O46-VLOOKUP($A46,'User Interface (Start Here!)'!$B$18:$N$28,AA$2+1,FALSE)*$K46*O46))</f>
        <v>5.2334407783986105E-2</v>
      </c>
      <c r="AB46" s="52">
        <f>IF($J46&lt;&gt;1,P46,IF(VLOOKUP($A46,'User Interface (Start Here!)'!$B$18:$N$28,AB$2+1,FALSE)&lt;&gt;100%,P46-VLOOKUP($A46,'User Interface (Start Here!)'!$B$18:$N$28,AB$2+1,FALSE)/'User Interface (Start Here!)'!$L$35*$K46*P46,P46-VLOOKUP($A46,'User Interface (Start Here!)'!$B$18:$N$28,AB$2+1,FALSE)*$K46*P46))</f>
        <v>0.2966502244343891</v>
      </c>
      <c r="AC46" s="52">
        <f>IF($J46&lt;&gt;1,Q46,IF(VLOOKUP($A46,'User Interface (Start Here!)'!$B$18:$N$28,AC$2+1,FALSE)&lt;&gt;100%,Q46-VLOOKUP($A46,'User Interface (Start Here!)'!$B$18:$N$28,AC$2+1,FALSE)/'User Interface (Start Here!)'!$L$35*$K46*Q46,Q46-VLOOKUP($A46,'User Interface (Start Here!)'!$B$18:$N$28,AC$2+1,FALSE)*$K46*Q46))</f>
        <v>0.45138560646009374</v>
      </c>
      <c r="AD46" s="52">
        <f>IF($J46&lt;&gt;1,R46,IF(VLOOKUP($A46,'User Interface (Start Here!)'!$B$18:$N$28,AD$2+1,FALSE)&lt;&gt;100%,R46-VLOOKUP($A46,'User Interface (Start Here!)'!$B$18:$N$28,AD$2+1,FALSE)/'User Interface (Start Here!)'!$L$35*$K46*R46,R46-VLOOKUP($A46,'User Interface (Start Here!)'!$B$18:$N$28,AD$2+1,FALSE)*$K46*R46))</f>
        <v>0.29767980342632333</v>
      </c>
      <c r="AE46" s="52">
        <f>IF($J46&lt;&gt;1,S46,IF(VLOOKUP($A46,'User Interface (Start Here!)'!$B$18:$N$28,AE$2+1,FALSE)&lt;&gt;100%,S46-VLOOKUP($A46,'User Interface (Start Here!)'!$B$18:$N$28,AE$2+1,FALSE)/'User Interface (Start Here!)'!$L$35*$K46*S46,S46-VLOOKUP($A46,'User Interface (Start Here!)'!$B$18:$N$28,AE$2+1,FALSE)*$K46*S46))</f>
        <v>0.1912252000742555</v>
      </c>
      <c r="AF46" s="52">
        <f>IF($J46&lt;&gt;1,T46,IF(VLOOKUP($A46,'User Interface (Start Here!)'!$B$18:$N$28,AF$2+1,FALSE)&lt;&gt;100%,T46-VLOOKUP($A46,'User Interface (Start Here!)'!$B$18:$N$28,AF$2+1,FALSE)/'User Interface (Start Here!)'!$L$35*$K46*T46,T46-VLOOKUP($A46,'User Interface (Start Here!)'!$B$18:$N$28,AF$2+1,FALSE)*$K46*T46))</f>
        <v>0.10333534119414038</v>
      </c>
      <c r="AG46" s="52">
        <f>IF($J46&lt;&gt;1,U46,IF(VLOOKUP($A46,'User Interface (Start Here!)'!$B$18:$N$28,AG$2+1,FALSE)&lt;&gt;100%,U46-VLOOKUP($A46,'User Interface (Start Here!)'!$B$18:$N$28,AG$2+1,FALSE)/'User Interface (Start Here!)'!$L$35*$K46*U46,U46-VLOOKUP($A46,'User Interface (Start Here!)'!$B$18:$N$28,AG$2+1,FALSE)*$K46*U46))</f>
        <v>0.14350754187337519</v>
      </c>
      <c r="AH46" s="52">
        <f>IF($J46&lt;&gt;1,V46,IF(VLOOKUP($A46,'User Interface (Start Here!)'!$B$18:$N$28,AH$2+1,FALSE)&lt;&gt;100%,V46-VLOOKUP($A46,'User Interface (Start Here!)'!$B$18:$N$28,AH$2+1,FALSE)/'User Interface (Start Here!)'!$L$35*$K46*V46,V46-VLOOKUP($A46,'User Interface (Start Here!)'!$B$18:$N$28,AH$2+1,FALSE)*$K46*V46))</f>
        <v>8.6439566007037463E-2</v>
      </c>
      <c r="AI46" s="52">
        <f>IF($J46&lt;&gt;1,W46,IF(VLOOKUP($A46,'User Interface (Start Here!)'!$B$18:$N$28,AI$2+1,FALSE)&lt;&gt;100%,W46-VLOOKUP($A46,'User Interface (Start Here!)'!$B$18:$N$28,AI$2+1,FALSE)/'User Interface (Start Here!)'!$L$35*$K46*W46,W46-VLOOKUP($A46,'User Interface (Start Here!)'!$B$18:$N$28,AI$2+1,FALSE)*$K46*W46))</f>
        <v>0</v>
      </c>
      <c r="AJ46" s="42">
        <f t="shared" si="0"/>
        <v>2.4130182468424368</v>
      </c>
      <c r="AL46" s="1">
        <v>3378</v>
      </c>
      <c r="AM46" s="1">
        <v>1.8104099974930288</v>
      </c>
      <c r="AN46" s="1">
        <v>0.95903999879956259</v>
      </c>
      <c r="AO46" s="1">
        <v>1.4385599979162214</v>
      </c>
      <c r="AP46" s="1">
        <v>1.1588399984836577</v>
      </c>
      <c r="AQ46" s="1">
        <v>1.8517299978435042</v>
      </c>
      <c r="AR46" s="1">
        <v>1.6894199979752302</v>
      </c>
      <c r="AS46" s="1">
        <v>2.4220199967771769</v>
      </c>
      <c r="AT46" s="1">
        <v>2.5907399967610831</v>
      </c>
      <c r="AU46" s="1">
        <v>1.595069998085499</v>
      </c>
      <c r="AV46" s="1">
        <v>1.6183799977451563</v>
      </c>
      <c r="AW46" s="1">
        <v>1.9193299970924855</v>
      </c>
      <c r="AX46" s="1">
        <v>1.1455199984014035</v>
      </c>
      <c r="AY46" s="1">
        <v>20.199059973374013</v>
      </c>
      <c r="BA46" s="1">
        <v>3378</v>
      </c>
      <c r="BB46" s="31">
        <f t="shared" si="13"/>
        <v>8.9628428247625097E-2</v>
      </c>
      <c r="BC46" s="31">
        <f t="shared" si="15"/>
        <v>4.7479437165083398E-2</v>
      </c>
      <c r="BD46" s="31">
        <f t="shared" si="16"/>
        <v>7.1219155733608486E-2</v>
      </c>
      <c r="BE46" s="31">
        <f t="shared" si="17"/>
        <v>5.7370986571217517E-2</v>
      </c>
      <c r="BF46" s="31">
        <f t="shared" si="18"/>
        <v>9.1674068015264912E-2</v>
      </c>
      <c r="BG46" s="31">
        <f t="shared" si="19"/>
        <v>8.3638545566090156E-2</v>
      </c>
      <c r="BH46" s="31">
        <f t="shared" si="20"/>
        <v>0.1199075600532814</v>
      </c>
      <c r="BI46" s="31">
        <f t="shared" si="21"/>
        <v>0.12826042400864909</v>
      </c>
      <c r="BJ46" s="31">
        <f t="shared" si="22"/>
        <v>7.8967536122378348E-2</v>
      </c>
      <c r="BK46" s="31">
        <f t="shared" si="23"/>
        <v>8.0121550204735853E-2</v>
      </c>
      <c r="BL46" s="31">
        <f t="shared" si="24"/>
        <v>9.50207583730385E-2</v>
      </c>
      <c r="BM46" s="31">
        <f t="shared" si="25"/>
        <v>5.6711549939027092E-2</v>
      </c>
      <c r="BO46" s="1">
        <v>3378</v>
      </c>
      <c r="BP46" s="1">
        <v>0.41291999930143353</v>
      </c>
      <c r="BQ46" s="1">
        <v>0.22532999980449675</v>
      </c>
      <c r="BR46" s="1">
        <v>0.90575999867916102</v>
      </c>
      <c r="BS46" s="1">
        <v>0.66266999918222436</v>
      </c>
      <c r="BT46" s="1">
        <v>1.8139437449327358</v>
      </c>
      <c r="BU46" s="1">
        <v>1.2221099985688926</v>
      </c>
      <c r="BV46" s="1">
        <v>1.754909997805953</v>
      </c>
      <c r="BW46" s="1">
        <v>2.4608699968755241</v>
      </c>
      <c r="BX46" s="1">
        <v>1.5184799981713295</v>
      </c>
      <c r="BY46" s="1">
        <v>1.1233199982643127</v>
      </c>
      <c r="BZ46" s="1">
        <v>0.96125999850034716</v>
      </c>
      <c r="CA46" s="1">
        <v>0</v>
      </c>
      <c r="CB46" s="1">
        <v>13.061573730086412</v>
      </c>
      <c r="CD46" s="1">
        <v>3378</v>
      </c>
      <c r="CE46" s="31">
        <f t="shared" si="14"/>
        <v>3.1613342146536411E-2</v>
      </c>
      <c r="CF46" s="31">
        <f t="shared" si="2"/>
        <v>1.7251366830741462E-2</v>
      </c>
      <c r="CG46" s="31">
        <f t="shared" si="3"/>
        <v>6.9345395692465978E-2</v>
      </c>
      <c r="CH46" s="31">
        <f t="shared" si="4"/>
        <v>5.0734315242259888E-2</v>
      </c>
      <c r="CI46" s="31">
        <f t="shared" si="5"/>
        <v>0.13887635459687714</v>
      </c>
      <c r="CJ46" s="31">
        <f t="shared" si="6"/>
        <v>9.3565294950167341E-2</v>
      </c>
      <c r="CK46" s="31">
        <f t="shared" si="7"/>
        <v>0.13435670418210341</v>
      </c>
      <c r="CL46" s="31">
        <f t="shared" si="8"/>
        <v>0.1884053214205792</v>
      </c>
      <c r="CM46" s="31">
        <f t="shared" si="9"/>
        <v>0.11625551633748529</v>
      </c>
      <c r="CN46" s="31">
        <f t="shared" si="10"/>
        <v>8.6001887787596723E-2</v>
      </c>
      <c r="CO46" s="31">
        <f t="shared" si="11"/>
        <v>7.3594500813187053E-2</v>
      </c>
      <c r="CP46" s="31">
        <f t="shared" si="12"/>
        <v>0</v>
      </c>
    </row>
    <row r="47" spans="1:94">
      <c r="A47" s="28">
        <v>3477</v>
      </c>
      <c r="B47" s="29">
        <v>0.52884361901507759</v>
      </c>
      <c r="C47" s="29">
        <v>0.37569923031235702</v>
      </c>
      <c r="D47" s="22">
        <v>0.12573222479946231</v>
      </c>
      <c r="E47" s="22">
        <v>8.9322246471638861E-2</v>
      </c>
      <c r="G47" s="29">
        <f>IF(ISBLANK('User Interface (Start Here!)'!$L$4),commercial!B47,commercial!C47)</f>
        <v>0.37569923031235702</v>
      </c>
      <c r="H47" s="22">
        <f>IF(ISBLANK('User Interface (Start Here!)'!$L$4),commercial!D47,commercial!E47)</f>
        <v>8.9322246471638861E-2</v>
      </c>
      <c r="I47" s="40">
        <f>(G47+H47)*'User Interface (Start Here!)'!$L$10</f>
        <v>0.4185193291055963</v>
      </c>
      <c r="J47" s="2">
        <f>IF(VLOOKUP(A47,'User Interface (Start Here!)'!$DO$2:$DP$73,2,FALSE)&lt;&gt;0,1,0)</f>
        <v>0</v>
      </c>
      <c r="K47" s="41">
        <f>IF(AND(J47=1,ISBLANK('User Interface (Start Here!)'!$L$14),ISBLANK('User Interface (Start Here!)'!$M$14),ISBLANK('User Interface (Start Here!)'!$N$14)),100%*'User Interface (Start Here!)'!$L$30,IF(J47=1,VLOOKUP(A47,'Bathymetric Closures'!$A$2:$C$57,3,FALSE)*'User Interface (Start Here!)'!$L$30,0%))</f>
        <v>0</v>
      </c>
      <c r="L47" s="50">
        <f>IF(ISBLANK('User Interface (Start Here!)'!#REF!),$I47*VLOOKUP($A47,$BA$5:$BM$60,L$2+1,FALSE),$I47*VLOOKUP($A47,$CD$6:$CP$60,L$2+1,FALSE))</f>
        <v>0</v>
      </c>
      <c r="M47" s="50">
        <f>IF(ISBLANK('User Interface (Start Here!)'!#REF!),$I47*VLOOKUP($A47,$BA$5:$BM$60,M$2+1,FALSE),$I47*VLOOKUP($A47,$CD$6:$CP$60,M$2+1,FALSE))</f>
        <v>3.9609195997181212E-2</v>
      </c>
      <c r="N47" s="50">
        <f>IF(ISBLANK('User Interface (Start Here!)'!#REF!),$I47*VLOOKUP($A47,$BA$5:$BM$60,N$2+1,FALSE),$I47*VLOOKUP($A47,$CD$6:$CP$60,N$2+1,FALSE))</f>
        <v>9.2421457232225931E-3</v>
      </c>
      <c r="O47" s="50">
        <f>IF(ISBLANK('User Interface (Start Here!)'!#REF!),$I47*VLOOKUP($A47,$BA$5:$BM$60,O$2+1,FALSE),$I47*VLOOKUP($A47,$CD$6:$CP$60,O$2+1,FALSE))</f>
        <v>4.1809706893791015E-3</v>
      </c>
      <c r="P47" s="50">
        <f>IF(ISBLANK('User Interface (Start Here!)'!#REF!),$I47*VLOOKUP($A47,$BA$5:$BM$60,P$2+1,FALSE),$I47*VLOOKUP($A47,$CD$6:$CP$60,P$2+1,FALSE))</f>
        <v>0.10650472698588986</v>
      </c>
      <c r="Q47" s="50">
        <f>IF(ISBLANK('User Interface (Start Here!)'!#REF!),$I47*VLOOKUP($A47,$BA$5:$BM$60,Q$2+1,FALSE),$I47*VLOOKUP($A47,$CD$6:$CP$60,Q$2+1,FALSE))</f>
        <v>3.2087810108535578E-2</v>
      </c>
      <c r="R47" s="50">
        <f>IF(ISBLANK('User Interface (Start Here!)'!#REF!),$I47*VLOOKUP($A47,$BA$5:$BM$60,R$2+1,FALSE),$I47*VLOOKUP($A47,$CD$6:$CP$60,R$2+1,FALSE))</f>
        <v>9.0149578589206525E-2</v>
      </c>
      <c r="S47" s="50">
        <f>IF(ISBLANK('User Interface (Start Here!)'!#REF!),$I47*VLOOKUP($A47,$BA$5:$BM$60,S$2+1,FALSE),$I47*VLOOKUP($A47,$CD$6:$CP$60,S$2+1,FALSE))</f>
        <v>3.9042217518200632E-2</v>
      </c>
      <c r="T47" s="50">
        <f>IF(ISBLANK('User Interface (Start Here!)'!#REF!),$I47*VLOOKUP($A47,$BA$5:$BM$60,T$2+1,FALSE),$I47*VLOOKUP($A47,$CD$6:$CP$60,T$2+1,FALSE))</f>
        <v>7.4817370236591629E-2</v>
      </c>
      <c r="U47" s="50">
        <f>IF(ISBLANK('User Interface (Start Here!)'!#REF!),$I47*VLOOKUP($A47,$BA$5:$BM$60,U$2+1,FALSE),$I47*VLOOKUP($A47,$CD$6:$CP$60,U$2+1,FALSE))</f>
        <v>1.3643167522350346E-2</v>
      </c>
      <c r="V47" s="50">
        <f>IF(ISBLANK('User Interface (Start Here!)'!#REF!),$I47*VLOOKUP($A47,$BA$5:$BM$60,V$2+1,FALSE),$I47*VLOOKUP($A47,$CD$6:$CP$60,V$2+1,FALSE))</f>
        <v>9.2421457350388703E-3</v>
      </c>
      <c r="W47" s="50">
        <f>IF(ISBLANK('User Interface (Start Here!)'!#REF!),$I47*VLOOKUP($A47,$BA$5:$BM$60,W$2+1,FALSE),$I47*VLOOKUP($A47,$CD$6:$CP$60,W$2+1,FALSE))</f>
        <v>0</v>
      </c>
      <c r="X47" s="51">
        <f>IF($J47&lt;&gt;1,L47,IF(VLOOKUP($A47,'User Interface (Start Here!)'!$B$18:$N$28,X$2+1,FALSE)&lt;&gt;100%,L47-VLOOKUP($A47,'User Interface (Start Here!)'!$B$18:$N$28,X$2+1,FALSE)/'User Interface (Start Here!)'!$L$35*$K47*L47,L47-VLOOKUP($A47,'User Interface (Start Here!)'!$B$18:$N$28,X$2+1,FALSE)*$K47*L47))</f>
        <v>0</v>
      </c>
      <c r="Y47" s="52">
        <f>IF($J47&lt;&gt;1,M47,IF(VLOOKUP($A47,'User Interface (Start Here!)'!$B$18:$N$28,Y$2+1,FALSE)&lt;&gt;100%,M47-VLOOKUP($A47,'User Interface (Start Here!)'!$B$18:$N$28,Y$2+1,FALSE)/'User Interface (Start Here!)'!$L$35*$K47*M47,M47-VLOOKUP($A47,'User Interface (Start Here!)'!$B$18:$N$28,Y$2+1,FALSE)*$K47*M47))</f>
        <v>3.9609195997181212E-2</v>
      </c>
      <c r="Z47" s="52">
        <f>IF($J47&lt;&gt;1,N47,IF(VLOOKUP($A47,'User Interface (Start Here!)'!$B$18:$N$28,Z$2+1,FALSE)&lt;&gt;100%,N47-VLOOKUP($A47,'User Interface (Start Here!)'!$B$18:$N$28,Z$2+1,FALSE)/'User Interface (Start Here!)'!$L$35*$K47*N47,N47-VLOOKUP($A47,'User Interface (Start Here!)'!$B$18:$N$28,Z$2+1,FALSE)*$K47*N47))</f>
        <v>9.2421457232225931E-3</v>
      </c>
      <c r="AA47" s="52">
        <f>IF($J47&lt;&gt;1,O47,IF(VLOOKUP($A47,'User Interface (Start Here!)'!$B$18:$N$28,AA$2+1,FALSE)&lt;&gt;100%,O47-VLOOKUP($A47,'User Interface (Start Here!)'!$B$18:$N$28,AA$2+1,FALSE)/'User Interface (Start Here!)'!$L$35*$K47*O47,O47-VLOOKUP($A47,'User Interface (Start Here!)'!$B$18:$N$28,AA$2+1,FALSE)*$K47*O47))</f>
        <v>4.1809706893791015E-3</v>
      </c>
      <c r="AB47" s="52">
        <f>IF($J47&lt;&gt;1,P47,IF(VLOOKUP($A47,'User Interface (Start Here!)'!$B$18:$N$28,AB$2+1,FALSE)&lt;&gt;100%,P47-VLOOKUP($A47,'User Interface (Start Here!)'!$B$18:$N$28,AB$2+1,FALSE)/'User Interface (Start Here!)'!$L$35*$K47*P47,P47-VLOOKUP($A47,'User Interface (Start Here!)'!$B$18:$N$28,AB$2+1,FALSE)*$K47*P47))</f>
        <v>0.10650472698588986</v>
      </c>
      <c r="AC47" s="52">
        <f>IF($J47&lt;&gt;1,Q47,IF(VLOOKUP($A47,'User Interface (Start Here!)'!$B$18:$N$28,AC$2+1,FALSE)&lt;&gt;100%,Q47-VLOOKUP($A47,'User Interface (Start Here!)'!$B$18:$N$28,AC$2+1,FALSE)/'User Interface (Start Here!)'!$L$35*$K47*Q47,Q47-VLOOKUP($A47,'User Interface (Start Here!)'!$B$18:$N$28,AC$2+1,FALSE)*$K47*Q47))</f>
        <v>3.2087810108535578E-2</v>
      </c>
      <c r="AD47" s="52">
        <f>IF($J47&lt;&gt;1,R47,IF(VLOOKUP($A47,'User Interface (Start Here!)'!$B$18:$N$28,AD$2+1,FALSE)&lt;&gt;100%,R47-VLOOKUP($A47,'User Interface (Start Here!)'!$B$18:$N$28,AD$2+1,FALSE)/'User Interface (Start Here!)'!$L$35*$K47*R47,R47-VLOOKUP($A47,'User Interface (Start Here!)'!$B$18:$N$28,AD$2+1,FALSE)*$K47*R47))</f>
        <v>9.0149578589206525E-2</v>
      </c>
      <c r="AE47" s="52">
        <f>IF($J47&lt;&gt;1,S47,IF(VLOOKUP($A47,'User Interface (Start Here!)'!$B$18:$N$28,AE$2+1,FALSE)&lt;&gt;100%,S47-VLOOKUP($A47,'User Interface (Start Here!)'!$B$18:$N$28,AE$2+1,FALSE)/'User Interface (Start Here!)'!$L$35*$K47*S47,S47-VLOOKUP($A47,'User Interface (Start Here!)'!$B$18:$N$28,AE$2+1,FALSE)*$K47*S47))</f>
        <v>3.9042217518200632E-2</v>
      </c>
      <c r="AF47" s="52">
        <f>IF($J47&lt;&gt;1,T47,IF(VLOOKUP($A47,'User Interface (Start Here!)'!$B$18:$N$28,AF$2+1,FALSE)&lt;&gt;100%,T47-VLOOKUP($A47,'User Interface (Start Here!)'!$B$18:$N$28,AF$2+1,FALSE)/'User Interface (Start Here!)'!$L$35*$K47*T47,T47-VLOOKUP($A47,'User Interface (Start Here!)'!$B$18:$N$28,AF$2+1,FALSE)*$K47*T47))</f>
        <v>7.4817370236591629E-2</v>
      </c>
      <c r="AG47" s="52">
        <f>IF($J47&lt;&gt;1,U47,IF(VLOOKUP($A47,'User Interface (Start Here!)'!$B$18:$N$28,AG$2+1,FALSE)&lt;&gt;100%,U47-VLOOKUP($A47,'User Interface (Start Here!)'!$B$18:$N$28,AG$2+1,FALSE)/'User Interface (Start Here!)'!$L$35*$K47*U47,U47-VLOOKUP($A47,'User Interface (Start Here!)'!$B$18:$N$28,AG$2+1,FALSE)*$K47*U47))</f>
        <v>1.3643167522350346E-2</v>
      </c>
      <c r="AH47" s="52">
        <f>IF($J47&lt;&gt;1,V47,IF(VLOOKUP($A47,'User Interface (Start Here!)'!$B$18:$N$28,AH$2+1,FALSE)&lt;&gt;100%,V47-VLOOKUP($A47,'User Interface (Start Here!)'!$B$18:$N$28,AH$2+1,FALSE)/'User Interface (Start Here!)'!$L$35*$K47*V47,V47-VLOOKUP($A47,'User Interface (Start Here!)'!$B$18:$N$28,AH$2+1,FALSE)*$K47*V47))</f>
        <v>9.2421457350388703E-3</v>
      </c>
      <c r="AI47" s="52">
        <f>IF($J47&lt;&gt;1,W47,IF(VLOOKUP($A47,'User Interface (Start Here!)'!$B$18:$N$28,AI$2+1,FALSE)&lt;&gt;100%,W47-VLOOKUP($A47,'User Interface (Start Here!)'!$B$18:$N$28,AI$2+1,FALSE)/'User Interface (Start Here!)'!$L$35*$K47*W47,W47-VLOOKUP($A47,'User Interface (Start Here!)'!$B$18:$N$28,AI$2+1,FALSE)*$K47*W47))</f>
        <v>0</v>
      </c>
      <c r="AJ47" s="42">
        <f t="shared" si="0"/>
        <v>0.4185193291055963</v>
      </c>
      <c r="AL47" s="1">
        <v>3379</v>
      </c>
      <c r="AM47" s="1">
        <v>1.553999999165535E-2</v>
      </c>
      <c r="AN47" s="1">
        <v>0.18425999975204468</v>
      </c>
      <c r="AO47" s="1">
        <v>0.10544999974966049</v>
      </c>
      <c r="AP47" s="1">
        <v>6.659999990463257E-2</v>
      </c>
      <c r="AQ47" s="1">
        <v>0.17648999977111818</v>
      </c>
      <c r="AR47" s="1">
        <v>8.2139999866485597E-2</v>
      </c>
      <c r="AS47" s="1">
        <v>1.4429999977350234E-2</v>
      </c>
      <c r="AW47" s="1">
        <v>8.2139999866485597E-2</v>
      </c>
      <c r="AX47" s="1">
        <v>0</v>
      </c>
      <c r="AY47" s="1">
        <v>0.72704999887943267</v>
      </c>
      <c r="BA47" s="1">
        <v>3379</v>
      </c>
      <c r="BB47" s="31">
        <f t="shared" si="13"/>
        <v>2.1374045822992103E-2</v>
      </c>
      <c r="BC47" s="31">
        <f t="shared" si="15"/>
        <v>0.25343511455338119</v>
      </c>
      <c r="BD47" s="31">
        <f t="shared" si="16"/>
        <v>0.1450381678181494</v>
      </c>
      <c r="BE47" s="31">
        <f t="shared" si="17"/>
        <v>9.1603053445127508E-2</v>
      </c>
      <c r="BF47" s="31">
        <f t="shared" si="18"/>
        <v>0.24274809166238051</v>
      </c>
      <c r="BG47" s="31">
        <f t="shared" si="19"/>
        <v>0.11297709922712887</v>
      </c>
      <c r="BH47" s="31">
        <f t="shared" si="20"/>
        <v>1.9847328243711576E-2</v>
      </c>
      <c r="BI47" s="31">
        <f t="shared" si="21"/>
        <v>0</v>
      </c>
      <c r="BJ47" s="31">
        <f t="shared" si="22"/>
        <v>0</v>
      </c>
      <c r="BK47" s="31">
        <f t="shared" si="23"/>
        <v>0</v>
      </c>
      <c r="BL47" s="31">
        <f t="shared" si="24"/>
        <v>0.11297709922712887</v>
      </c>
      <c r="BM47" s="31">
        <f t="shared" si="25"/>
        <v>0</v>
      </c>
      <c r="BO47" s="1">
        <v>3379</v>
      </c>
      <c r="BP47" s="1">
        <v>0</v>
      </c>
      <c r="BQ47" s="1">
        <v>0</v>
      </c>
      <c r="BR47" s="1">
        <v>0</v>
      </c>
      <c r="BS47" s="1">
        <v>0</v>
      </c>
      <c r="BT47" s="1">
        <v>0.17648999977111818</v>
      </c>
      <c r="BU47" s="1">
        <v>8.2139999866485597E-2</v>
      </c>
      <c r="BV47" s="1">
        <v>1.4429999977350234E-2</v>
      </c>
      <c r="BZ47" s="1">
        <v>8.2139999866485597E-2</v>
      </c>
      <c r="CA47" s="1">
        <v>0</v>
      </c>
      <c r="CB47" s="1">
        <v>0.35519999948143965</v>
      </c>
      <c r="CD47" s="1">
        <v>3379</v>
      </c>
      <c r="CE47" s="31">
        <f t="shared" si="14"/>
        <v>0</v>
      </c>
      <c r="CF47" s="31">
        <f t="shared" si="2"/>
        <v>0</v>
      </c>
      <c r="CG47" s="31">
        <f t="shared" si="3"/>
        <v>0</v>
      </c>
      <c r="CH47" s="31">
        <f t="shared" si="4"/>
        <v>0</v>
      </c>
      <c r="CI47" s="31">
        <f t="shared" si="5"/>
        <v>0.4968750000810187</v>
      </c>
      <c r="CJ47" s="31">
        <f t="shared" si="6"/>
        <v>0.23124999996171924</v>
      </c>
      <c r="CK47" s="31">
        <f t="shared" si="7"/>
        <v>4.062499999554265E-2</v>
      </c>
      <c r="CL47" s="31">
        <f t="shared" si="8"/>
        <v>0</v>
      </c>
      <c r="CM47" s="31">
        <f t="shared" si="9"/>
        <v>0</v>
      </c>
      <c r="CN47" s="31">
        <f t="shared" si="10"/>
        <v>0</v>
      </c>
      <c r="CO47" s="31">
        <f t="shared" si="11"/>
        <v>0.23124999996171924</v>
      </c>
      <c r="CP47" s="31">
        <f t="shared" si="12"/>
        <v>0</v>
      </c>
    </row>
    <row r="48" spans="1:94">
      <c r="A48" s="28">
        <v>3572</v>
      </c>
      <c r="B48" s="29">
        <v>0</v>
      </c>
      <c r="C48" s="29">
        <v>0</v>
      </c>
      <c r="D48" s="22">
        <v>0</v>
      </c>
      <c r="E48" s="22">
        <v>0</v>
      </c>
      <c r="G48" s="29">
        <f>IF(ISBLANK('User Interface (Start Here!)'!$L$4),commercial!B48,commercial!C48)</f>
        <v>0</v>
      </c>
      <c r="H48" s="22">
        <f>IF(ISBLANK('User Interface (Start Here!)'!$L$4),commercial!D48,commercial!E48)</f>
        <v>0</v>
      </c>
      <c r="I48" s="40">
        <f>(G48+H48)*'User Interface (Start Here!)'!$L$10</f>
        <v>0</v>
      </c>
      <c r="J48" s="2">
        <f>IF(VLOOKUP(A48,'User Interface (Start Here!)'!$DO$2:$DP$73,2,FALSE)&lt;&gt;0,1,0)</f>
        <v>0</v>
      </c>
      <c r="K48" s="41">
        <f>IF(AND(J48=1,ISBLANK('User Interface (Start Here!)'!$L$14),ISBLANK('User Interface (Start Here!)'!$M$14),ISBLANK('User Interface (Start Here!)'!$N$14)),100%*'User Interface (Start Here!)'!$L$30,IF(J48=1,VLOOKUP(A48,'Bathymetric Closures'!$A$2:$C$57,3,FALSE)*'User Interface (Start Here!)'!$L$30,0%))</f>
        <v>0</v>
      </c>
      <c r="L48" s="50">
        <f>IF(ISBLANK('User Interface (Start Here!)'!#REF!),$I48*VLOOKUP($A48,$BA$5:$BM$60,L$2+1,FALSE),$I48*VLOOKUP($A48,$CD$6:$CP$60,L$2+1,FALSE))</f>
        <v>0</v>
      </c>
      <c r="M48" s="50">
        <f>IF(ISBLANK('User Interface (Start Here!)'!#REF!),$I48*VLOOKUP($A48,$BA$5:$BM$60,M$2+1,FALSE),$I48*VLOOKUP($A48,$CD$6:$CP$60,M$2+1,FALSE))</f>
        <v>0</v>
      </c>
      <c r="N48" s="50">
        <f>IF(ISBLANK('User Interface (Start Here!)'!#REF!),$I48*VLOOKUP($A48,$BA$5:$BM$60,N$2+1,FALSE),$I48*VLOOKUP($A48,$CD$6:$CP$60,N$2+1,FALSE))</f>
        <v>0</v>
      </c>
      <c r="O48" s="50">
        <f>IF(ISBLANK('User Interface (Start Here!)'!#REF!),$I48*VLOOKUP($A48,$BA$5:$BM$60,O$2+1,FALSE),$I48*VLOOKUP($A48,$CD$6:$CP$60,O$2+1,FALSE))</f>
        <v>0</v>
      </c>
      <c r="P48" s="50">
        <f>IF(ISBLANK('User Interface (Start Here!)'!#REF!),$I48*VLOOKUP($A48,$BA$5:$BM$60,P$2+1,FALSE),$I48*VLOOKUP($A48,$CD$6:$CP$60,P$2+1,FALSE))</f>
        <v>0</v>
      </c>
      <c r="Q48" s="50">
        <f>IF(ISBLANK('User Interface (Start Here!)'!#REF!),$I48*VLOOKUP($A48,$BA$5:$BM$60,Q$2+1,FALSE),$I48*VLOOKUP($A48,$CD$6:$CP$60,Q$2+1,FALSE))</f>
        <v>0</v>
      </c>
      <c r="R48" s="50">
        <f>IF(ISBLANK('User Interface (Start Here!)'!#REF!),$I48*VLOOKUP($A48,$BA$5:$BM$60,R$2+1,FALSE),$I48*VLOOKUP($A48,$CD$6:$CP$60,R$2+1,FALSE))</f>
        <v>0</v>
      </c>
      <c r="S48" s="50">
        <f>IF(ISBLANK('User Interface (Start Here!)'!#REF!),$I48*VLOOKUP($A48,$BA$5:$BM$60,S$2+1,FALSE),$I48*VLOOKUP($A48,$CD$6:$CP$60,S$2+1,FALSE))</f>
        <v>0</v>
      </c>
      <c r="T48" s="50">
        <f>IF(ISBLANK('User Interface (Start Here!)'!#REF!),$I48*VLOOKUP($A48,$BA$5:$BM$60,T$2+1,FALSE),$I48*VLOOKUP($A48,$CD$6:$CP$60,T$2+1,FALSE))</f>
        <v>0</v>
      </c>
      <c r="U48" s="50">
        <f>IF(ISBLANK('User Interface (Start Here!)'!#REF!),$I48*VLOOKUP($A48,$BA$5:$BM$60,U$2+1,FALSE),$I48*VLOOKUP($A48,$CD$6:$CP$60,U$2+1,FALSE))</f>
        <v>0</v>
      </c>
      <c r="V48" s="50">
        <f>IF(ISBLANK('User Interface (Start Here!)'!#REF!),$I48*VLOOKUP($A48,$BA$5:$BM$60,V$2+1,FALSE),$I48*VLOOKUP($A48,$CD$6:$CP$60,V$2+1,FALSE))</f>
        <v>0</v>
      </c>
      <c r="W48" s="50">
        <f>IF(ISBLANK('User Interface (Start Here!)'!#REF!),$I48*VLOOKUP($A48,$BA$5:$BM$60,W$2+1,FALSE),$I48*VLOOKUP($A48,$CD$6:$CP$60,W$2+1,FALSE))</f>
        <v>0</v>
      </c>
      <c r="X48" s="51">
        <f>IF($J48&lt;&gt;1,L48,IF(VLOOKUP($A48,'User Interface (Start Here!)'!$B$18:$N$28,X$2+1,FALSE)&lt;&gt;100%,L48-VLOOKUP($A48,'User Interface (Start Here!)'!$B$18:$N$28,X$2+1,FALSE)/'User Interface (Start Here!)'!$L$35*$K48*L48,L48-VLOOKUP($A48,'User Interface (Start Here!)'!$B$18:$N$28,X$2+1,FALSE)*$K48*L48))</f>
        <v>0</v>
      </c>
      <c r="Y48" s="52">
        <f>IF($J48&lt;&gt;1,M48,IF(VLOOKUP($A48,'User Interface (Start Here!)'!$B$18:$N$28,Y$2+1,FALSE)&lt;&gt;100%,M48-VLOOKUP($A48,'User Interface (Start Here!)'!$B$18:$N$28,Y$2+1,FALSE)/'User Interface (Start Here!)'!$L$35*$K48*M48,M48-VLOOKUP($A48,'User Interface (Start Here!)'!$B$18:$N$28,Y$2+1,FALSE)*$K48*M48))</f>
        <v>0</v>
      </c>
      <c r="Z48" s="52">
        <f>IF($J48&lt;&gt;1,N48,IF(VLOOKUP($A48,'User Interface (Start Here!)'!$B$18:$N$28,Z$2+1,FALSE)&lt;&gt;100%,N48-VLOOKUP($A48,'User Interface (Start Here!)'!$B$18:$N$28,Z$2+1,FALSE)/'User Interface (Start Here!)'!$L$35*$K48*N48,N48-VLOOKUP($A48,'User Interface (Start Here!)'!$B$18:$N$28,Z$2+1,FALSE)*$K48*N48))</f>
        <v>0</v>
      </c>
      <c r="AA48" s="52">
        <f>IF($J48&lt;&gt;1,O48,IF(VLOOKUP($A48,'User Interface (Start Here!)'!$B$18:$N$28,AA$2+1,FALSE)&lt;&gt;100%,O48-VLOOKUP($A48,'User Interface (Start Here!)'!$B$18:$N$28,AA$2+1,FALSE)/'User Interface (Start Here!)'!$L$35*$K48*O48,O48-VLOOKUP($A48,'User Interface (Start Here!)'!$B$18:$N$28,AA$2+1,FALSE)*$K48*O48))</f>
        <v>0</v>
      </c>
      <c r="AB48" s="52">
        <f>IF($J48&lt;&gt;1,P48,IF(VLOOKUP($A48,'User Interface (Start Here!)'!$B$18:$N$28,AB$2+1,FALSE)&lt;&gt;100%,P48-VLOOKUP($A48,'User Interface (Start Here!)'!$B$18:$N$28,AB$2+1,FALSE)/'User Interface (Start Here!)'!$L$35*$K48*P48,P48-VLOOKUP($A48,'User Interface (Start Here!)'!$B$18:$N$28,AB$2+1,FALSE)*$K48*P48))</f>
        <v>0</v>
      </c>
      <c r="AC48" s="52">
        <f>IF($J48&lt;&gt;1,Q48,IF(VLOOKUP($A48,'User Interface (Start Here!)'!$B$18:$N$28,AC$2+1,FALSE)&lt;&gt;100%,Q48-VLOOKUP($A48,'User Interface (Start Here!)'!$B$18:$N$28,AC$2+1,FALSE)/'User Interface (Start Here!)'!$L$35*$K48*Q48,Q48-VLOOKUP($A48,'User Interface (Start Here!)'!$B$18:$N$28,AC$2+1,FALSE)*$K48*Q48))</f>
        <v>0</v>
      </c>
      <c r="AD48" s="52">
        <f>IF($J48&lt;&gt;1,R48,IF(VLOOKUP($A48,'User Interface (Start Here!)'!$B$18:$N$28,AD$2+1,FALSE)&lt;&gt;100%,R48-VLOOKUP($A48,'User Interface (Start Here!)'!$B$18:$N$28,AD$2+1,FALSE)/'User Interface (Start Here!)'!$L$35*$K48*R48,R48-VLOOKUP($A48,'User Interface (Start Here!)'!$B$18:$N$28,AD$2+1,FALSE)*$K48*R48))</f>
        <v>0</v>
      </c>
      <c r="AE48" s="52">
        <f>IF($J48&lt;&gt;1,S48,IF(VLOOKUP($A48,'User Interface (Start Here!)'!$B$18:$N$28,AE$2+1,FALSE)&lt;&gt;100%,S48-VLOOKUP($A48,'User Interface (Start Here!)'!$B$18:$N$28,AE$2+1,FALSE)/'User Interface (Start Here!)'!$L$35*$K48*S48,S48-VLOOKUP($A48,'User Interface (Start Here!)'!$B$18:$N$28,AE$2+1,FALSE)*$K48*S48))</f>
        <v>0</v>
      </c>
      <c r="AF48" s="52">
        <f>IF($J48&lt;&gt;1,T48,IF(VLOOKUP($A48,'User Interface (Start Here!)'!$B$18:$N$28,AF$2+1,FALSE)&lt;&gt;100%,T48-VLOOKUP($A48,'User Interface (Start Here!)'!$B$18:$N$28,AF$2+1,FALSE)/'User Interface (Start Here!)'!$L$35*$K48*T48,T48-VLOOKUP($A48,'User Interface (Start Here!)'!$B$18:$N$28,AF$2+1,FALSE)*$K48*T48))</f>
        <v>0</v>
      </c>
      <c r="AG48" s="52">
        <f>IF($J48&lt;&gt;1,U48,IF(VLOOKUP($A48,'User Interface (Start Here!)'!$B$18:$N$28,AG$2+1,FALSE)&lt;&gt;100%,U48-VLOOKUP($A48,'User Interface (Start Here!)'!$B$18:$N$28,AG$2+1,FALSE)/'User Interface (Start Here!)'!$L$35*$K48*U48,U48-VLOOKUP($A48,'User Interface (Start Here!)'!$B$18:$N$28,AG$2+1,FALSE)*$K48*U48))</f>
        <v>0</v>
      </c>
      <c r="AH48" s="52">
        <f>IF($J48&lt;&gt;1,V48,IF(VLOOKUP($A48,'User Interface (Start Here!)'!$B$18:$N$28,AH$2+1,FALSE)&lt;&gt;100%,V48-VLOOKUP($A48,'User Interface (Start Here!)'!$B$18:$N$28,AH$2+1,FALSE)/'User Interface (Start Here!)'!$L$35*$K48*V48,V48-VLOOKUP($A48,'User Interface (Start Here!)'!$B$18:$N$28,AH$2+1,FALSE)*$K48*V48))</f>
        <v>0</v>
      </c>
      <c r="AI48" s="52">
        <f>IF($J48&lt;&gt;1,W48,IF(VLOOKUP($A48,'User Interface (Start Here!)'!$B$18:$N$28,AI$2+1,FALSE)&lt;&gt;100%,W48-VLOOKUP($A48,'User Interface (Start Here!)'!$B$18:$N$28,AI$2+1,FALSE)/'User Interface (Start Here!)'!$L$35*$K48*W48,W48-VLOOKUP($A48,'User Interface (Start Here!)'!$B$18:$N$28,AI$2+1,FALSE)*$K48*W48))</f>
        <v>0</v>
      </c>
      <c r="AJ48" s="42">
        <f t="shared" si="0"/>
        <v>0</v>
      </c>
      <c r="AL48" s="1">
        <v>3470</v>
      </c>
      <c r="AQ48" s="1">
        <v>0</v>
      </c>
      <c r="AY48" s="1">
        <v>0</v>
      </c>
      <c r="BA48" s="1">
        <v>3470</v>
      </c>
      <c r="BB48" s="31">
        <f t="shared" si="13"/>
        <v>0</v>
      </c>
      <c r="BC48" s="31">
        <f t="shared" si="15"/>
        <v>0</v>
      </c>
      <c r="BD48" s="31">
        <f t="shared" si="16"/>
        <v>0</v>
      </c>
      <c r="BE48" s="31">
        <f t="shared" si="17"/>
        <v>0</v>
      </c>
      <c r="BF48" s="31">
        <f t="shared" si="18"/>
        <v>0</v>
      </c>
      <c r="BG48" s="31">
        <f t="shared" si="19"/>
        <v>0</v>
      </c>
      <c r="BH48" s="31">
        <f t="shared" si="20"/>
        <v>0</v>
      </c>
      <c r="BI48" s="31">
        <f t="shared" si="21"/>
        <v>0</v>
      </c>
      <c r="BJ48" s="31">
        <f t="shared" si="22"/>
        <v>0</v>
      </c>
      <c r="BK48" s="31">
        <f t="shared" si="23"/>
        <v>0</v>
      </c>
      <c r="BL48" s="31">
        <f t="shared" si="24"/>
        <v>0</v>
      </c>
      <c r="BM48" s="31">
        <f t="shared" si="25"/>
        <v>0</v>
      </c>
      <c r="BO48" s="1">
        <v>3470</v>
      </c>
      <c r="BT48" s="1">
        <v>0</v>
      </c>
      <c r="CB48" s="1">
        <v>0</v>
      </c>
      <c r="CD48" s="1">
        <v>3470</v>
      </c>
      <c r="CE48" s="31">
        <f t="shared" si="14"/>
        <v>0</v>
      </c>
      <c r="CF48" s="31">
        <f t="shared" si="2"/>
        <v>0</v>
      </c>
      <c r="CG48" s="31">
        <f t="shared" si="3"/>
        <v>0</v>
      </c>
      <c r="CH48" s="31">
        <f t="shared" si="4"/>
        <v>0</v>
      </c>
      <c r="CI48" s="31">
        <f t="shared" si="5"/>
        <v>0</v>
      </c>
      <c r="CJ48" s="31">
        <f t="shared" si="6"/>
        <v>0</v>
      </c>
      <c r="CK48" s="31">
        <f t="shared" si="7"/>
        <v>0</v>
      </c>
      <c r="CL48" s="31">
        <f t="shared" si="8"/>
        <v>0</v>
      </c>
      <c r="CM48" s="31">
        <f t="shared" si="9"/>
        <v>0</v>
      </c>
      <c r="CN48" s="31">
        <f t="shared" si="10"/>
        <v>0</v>
      </c>
      <c r="CO48" s="31">
        <f t="shared" si="11"/>
        <v>0</v>
      </c>
      <c r="CP48" s="31">
        <f t="shared" si="12"/>
        <v>0</v>
      </c>
    </row>
    <row r="49" spans="1:94">
      <c r="A49" s="28">
        <v>3573</v>
      </c>
      <c r="B49" s="29">
        <v>0</v>
      </c>
      <c r="C49" s="29">
        <v>0</v>
      </c>
      <c r="D49" s="22">
        <v>0</v>
      </c>
      <c r="E49" s="22">
        <v>0</v>
      </c>
      <c r="G49" s="29">
        <f>IF(ISBLANK('User Interface (Start Here!)'!$L$4),commercial!B49,commercial!C49)</f>
        <v>0</v>
      </c>
      <c r="H49" s="22">
        <f>IF(ISBLANK('User Interface (Start Here!)'!$L$4),commercial!D49,commercial!E49)</f>
        <v>0</v>
      </c>
      <c r="I49" s="40">
        <f>(G49+H49)*'User Interface (Start Here!)'!$L$10</f>
        <v>0</v>
      </c>
      <c r="J49" s="2">
        <f>IF(VLOOKUP(A49,'User Interface (Start Here!)'!$DO$2:$DP$73,2,FALSE)&lt;&gt;0,1,0)</f>
        <v>0</v>
      </c>
      <c r="K49" s="41">
        <f>IF(AND(J49=1,ISBLANK('User Interface (Start Here!)'!$L$14),ISBLANK('User Interface (Start Here!)'!$M$14),ISBLANK('User Interface (Start Here!)'!$N$14)),100%*'User Interface (Start Here!)'!$L$30,IF(J49=1,VLOOKUP(A49,'Bathymetric Closures'!$A$2:$C$57,3,FALSE)*'User Interface (Start Here!)'!$L$30,0%))</f>
        <v>0</v>
      </c>
      <c r="L49" s="50">
        <f>IF(ISBLANK('User Interface (Start Here!)'!#REF!),$I49*VLOOKUP($A49,$BA$5:$BM$60,L$2+1,FALSE),$I49*VLOOKUP($A49,$CD$6:$CP$60,L$2+1,FALSE))</f>
        <v>0</v>
      </c>
      <c r="M49" s="50">
        <f>IF(ISBLANK('User Interface (Start Here!)'!#REF!),$I49*VLOOKUP($A49,$BA$5:$BM$60,M$2+1,FALSE),$I49*VLOOKUP($A49,$CD$6:$CP$60,M$2+1,FALSE))</f>
        <v>0</v>
      </c>
      <c r="N49" s="50">
        <f>IF(ISBLANK('User Interface (Start Here!)'!#REF!),$I49*VLOOKUP($A49,$BA$5:$BM$60,N$2+1,FALSE),$I49*VLOOKUP($A49,$CD$6:$CP$60,N$2+1,FALSE))</f>
        <v>0</v>
      </c>
      <c r="O49" s="50">
        <f>IF(ISBLANK('User Interface (Start Here!)'!#REF!),$I49*VLOOKUP($A49,$BA$5:$BM$60,O$2+1,FALSE),$I49*VLOOKUP($A49,$CD$6:$CP$60,O$2+1,FALSE))</f>
        <v>0</v>
      </c>
      <c r="P49" s="50">
        <f>IF(ISBLANK('User Interface (Start Here!)'!#REF!),$I49*VLOOKUP($A49,$BA$5:$BM$60,P$2+1,FALSE),$I49*VLOOKUP($A49,$CD$6:$CP$60,P$2+1,FALSE))</f>
        <v>0</v>
      </c>
      <c r="Q49" s="50">
        <f>IF(ISBLANK('User Interface (Start Here!)'!#REF!),$I49*VLOOKUP($A49,$BA$5:$BM$60,Q$2+1,FALSE),$I49*VLOOKUP($A49,$CD$6:$CP$60,Q$2+1,FALSE))</f>
        <v>0</v>
      </c>
      <c r="R49" s="50">
        <f>IF(ISBLANK('User Interface (Start Here!)'!#REF!),$I49*VLOOKUP($A49,$BA$5:$BM$60,R$2+1,FALSE),$I49*VLOOKUP($A49,$CD$6:$CP$60,R$2+1,FALSE))</f>
        <v>0</v>
      </c>
      <c r="S49" s="50">
        <f>IF(ISBLANK('User Interface (Start Here!)'!#REF!),$I49*VLOOKUP($A49,$BA$5:$BM$60,S$2+1,FALSE),$I49*VLOOKUP($A49,$CD$6:$CP$60,S$2+1,FALSE))</f>
        <v>0</v>
      </c>
      <c r="T49" s="50">
        <f>IF(ISBLANK('User Interface (Start Here!)'!#REF!),$I49*VLOOKUP($A49,$BA$5:$BM$60,T$2+1,FALSE),$I49*VLOOKUP($A49,$CD$6:$CP$60,T$2+1,FALSE))</f>
        <v>0</v>
      </c>
      <c r="U49" s="50">
        <f>IF(ISBLANK('User Interface (Start Here!)'!#REF!),$I49*VLOOKUP($A49,$BA$5:$BM$60,U$2+1,FALSE),$I49*VLOOKUP($A49,$CD$6:$CP$60,U$2+1,FALSE))</f>
        <v>0</v>
      </c>
      <c r="V49" s="50">
        <f>IF(ISBLANK('User Interface (Start Here!)'!#REF!),$I49*VLOOKUP($A49,$BA$5:$BM$60,V$2+1,FALSE),$I49*VLOOKUP($A49,$CD$6:$CP$60,V$2+1,FALSE))</f>
        <v>0</v>
      </c>
      <c r="W49" s="50">
        <f>IF(ISBLANK('User Interface (Start Here!)'!#REF!),$I49*VLOOKUP($A49,$BA$5:$BM$60,W$2+1,FALSE),$I49*VLOOKUP($A49,$CD$6:$CP$60,W$2+1,FALSE))</f>
        <v>0</v>
      </c>
      <c r="X49" s="51">
        <f>IF($J49&lt;&gt;1,L49,IF(VLOOKUP($A49,'User Interface (Start Here!)'!$B$18:$N$28,X$2+1,FALSE)&lt;&gt;100%,L49-VLOOKUP($A49,'User Interface (Start Here!)'!$B$18:$N$28,X$2+1,FALSE)/'User Interface (Start Here!)'!$L$35*$K49*L49,L49-VLOOKUP($A49,'User Interface (Start Here!)'!$B$18:$N$28,X$2+1,FALSE)*$K49*L49))</f>
        <v>0</v>
      </c>
      <c r="Y49" s="52">
        <f>IF($J49&lt;&gt;1,M49,IF(VLOOKUP($A49,'User Interface (Start Here!)'!$B$18:$N$28,Y$2+1,FALSE)&lt;&gt;100%,M49-VLOOKUP($A49,'User Interface (Start Here!)'!$B$18:$N$28,Y$2+1,FALSE)/'User Interface (Start Here!)'!$L$35*$K49*M49,M49-VLOOKUP($A49,'User Interface (Start Here!)'!$B$18:$N$28,Y$2+1,FALSE)*$K49*M49))</f>
        <v>0</v>
      </c>
      <c r="Z49" s="52">
        <f>IF($J49&lt;&gt;1,N49,IF(VLOOKUP($A49,'User Interface (Start Here!)'!$B$18:$N$28,Z$2+1,FALSE)&lt;&gt;100%,N49-VLOOKUP($A49,'User Interface (Start Here!)'!$B$18:$N$28,Z$2+1,FALSE)/'User Interface (Start Here!)'!$L$35*$K49*N49,N49-VLOOKUP($A49,'User Interface (Start Here!)'!$B$18:$N$28,Z$2+1,FALSE)*$K49*N49))</f>
        <v>0</v>
      </c>
      <c r="AA49" s="52">
        <f>IF($J49&lt;&gt;1,O49,IF(VLOOKUP($A49,'User Interface (Start Here!)'!$B$18:$N$28,AA$2+1,FALSE)&lt;&gt;100%,O49-VLOOKUP($A49,'User Interface (Start Here!)'!$B$18:$N$28,AA$2+1,FALSE)/'User Interface (Start Here!)'!$L$35*$K49*O49,O49-VLOOKUP($A49,'User Interface (Start Here!)'!$B$18:$N$28,AA$2+1,FALSE)*$K49*O49))</f>
        <v>0</v>
      </c>
      <c r="AB49" s="52">
        <f>IF($J49&lt;&gt;1,P49,IF(VLOOKUP($A49,'User Interface (Start Here!)'!$B$18:$N$28,AB$2+1,FALSE)&lt;&gt;100%,P49-VLOOKUP($A49,'User Interface (Start Here!)'!$B$18:$N$28,AB$2+1,FALSE)/'User Interface (Start Here!)'!$L$35*$K49*P49,P49-VLOOKUP($A49,'User Interface (Start Here!)'!$B$18:$N$28,AB$2+1,FALSE)*$K49*P49))</f>
        <v>0</v>
      </c>
      <c r="AC49" s="52">
        <f>IF($J49&lt;&gt;1,Q49,IF(VLOOKUP($A49,'User Interface (Start Here!)'!$B$18:$N$28,AC$2+1,FALSE)&lt;&gt;100%,Q49-VLOOKUP($A49,'User Interface (Start Here!)'!$B$18:$N$28,AC$2+1,FALSE)/'User Interface (Start Here!)'!$L$35*$K49*Q49,Q49-VLOOKUP($A49,'User Interface (Start Here!)'!$B$18:$N$28,AC$2+1,FALSE)*$K49*Q49))</f>
        <v>0</v>
      </c>
      <c r="AD49" s="52">
        <f>IF($J49&lt;&gt;1,R49,IF(VLOOKUP($A49,'User Interface (Start Here!)'!$B$18:$N$28,AD$2+1,FALSE)&lt;&gt;100%,R49-VLOOKUP($A49,'User Interface (Start Here!)'!$B$18:$N$28,AD$2+1,FALSE)/'User Interface (Start Here!)'!$L$35*$K49*R49,R49-VLOOKUP($A49,'User Interface (Start Here!)'!$B$18:$N$28,AD$2+1,FALSE)*$K49*R49))</f>
        <v>0</v>
      </c>
      <c r="AE49" s="52">
        <f>IF($J49&lt;&gt;1,S49,IF(VLOOKUP($A49,'User Interface (Start Here!)'!$B$18:$N$28,AE$2+1,FALSE)&lt;&gt;100%,S49-VLOOKUP($A49,'User Interface (Start Here!)'!$B$18:$N$28,AE$2+1,FALSE)/'User Interface (Start Here!)'!$L$35*$K49*S49,S49-VLOOKUP($A49,'User Interface (Start Here!)'!$B$18:$N$28,AE$2+1,FALSE)*$K49*S49))</f>
        <v>0</v>
      </c>
      <c r="AF49" s="52">
        <f>IF($J49&lt;&gt;1,T49,IF(VLOOKUP($A49,'User Interface (Start Here!)'!$B$18:$N$28,AF$2+1,FALSE)&lt;&gt;100%,T49-VLOOKUP($A49,'User Interface (Start Here!)'!$B$18:$N$28,AF$2+1,FALSE)/'User Interface (Start Here!)'!$L$35*$K49*T49,T49-VLOOKUP($A49,'User Interface (Start Here!)'!$B$18:$N$28,AF$2+1,FALSE)*$K49*T49))</f>
        <v>0</v>
      </c>
      <c r="AG49" s="52">
        <f>IF($J49&lt;&gt;1,U49,IF(VLOOKUP($A49,'User Interface (Start Here!)'!$B$18:$N$28,AG$2+1,FALSE)&lt;&gt;100%,U49-VLOOKUP($A49,'User Interface (Start Here!)'!$B$18:$N$28,AG$2+1,FALSE)/'User Interface (Start Here!)'!$L$35*$K49*U49,U49-VLOOKUP($A49,'User Interface (Start Here!)'!$B$18:$N$28,AG$2+1,FALSE)*$K49*U49))</f>
        <v>0</v>
      </c>
      <c r="AH49" s="52">
        <f>IF($J49&lt;&gt;1,V49,IF(VLOOKUP($A49,'User Interface (Start Here!)'!$B$18:$N$28,AH$2+1,FALSE)&lt;&gt;100%,V49-VLOOKUP($A49,'User Interface (Start Here!)'!$B$18:$N$28,AH$2+1,FALSE)/'User Interface (Start Here!)'!$L$35*$K49*V49,V49-VLOOKUP($A49,'User Interface (Start Here!)'!$B$18:$N$28,AH$2+1,FALSE)*$K49*V49))</f>
        <v>0</v>
      </c>
      <c r="AI49" s="52">
        <f>IF($J49&lt;&gt;1,W49,IF(VLOOKUP($A49,'User Interface (Start Here!)'!$B$18:$N$28,AI$2+1,FALSE)&lt;&gt;100%,W49-VLOOKUP($A49,'User Interface (Start Here!)'!$B$18:$N$28,AI$2+1,FALSE)/'User Interface (Start Here!)'!$L$35*$K49*W49,W49-VLOOKUP($A49,'User Interface (Start Here!)'!$B$18:$N$28,AI$2+1,FALSE)*$K49*W49))</f>
        <v>0</v>
      </c>
      <c r="AJ49" s="42">
        <f t="shared" si="0"/>
        <v>0</v>
      </c>
      <c r="AL49" s="1">
        <v>3472</v>
      </c>
      <c r="AQ49" s="1">
        <v>0</v>
      </c>
      <c r="AY49" s="1">
        <v>0</v>
      </c>
      <c r="BA49" s="1">
        <v>3472</v>
      </c>
      <c r="BB49" s="31">
        <f t="shared" si="13"/>
        <v>0</v>
      </c>
      <c r="BC49" s="31">
        <f t="shared" si="15"/>
        <v>0</v>
      </c>
      <c r="BD49" s="31">
        <f t="shared" si="16"/>
        <v>0</v>
      </c>
      <c r="BE49" s="31">
        <f t="shared" si="17"/>
        <v>0</v>
      </c>
      <c r="BF49" s="31">
        <f t="shared" si="18"/>
        <v>0</v>
      </c>
      <c r="BG49" s="31">
        <f t="shared" si="19"/>
        <v>0</v>
      </c>
      <c r="BH49" s="31">
        <f t="shared" si="20"/>
        <v>0</v>
      </c>
      <c r="BI49" s="31">
        <f t="shared" si="21"/>
        <v>0</v>
      </c>
      <c r="BJ49" s="31">
        <f t="shared" si="22"/>
        <v>0</v>
      </c>
      <c r="BK49" s="31">
        <f t="shared" si="23"/>
        <v>0</v>
      </c>
      <c r="BL49" s="31">
        <f t="shared" si="24"/>
        <v>0</v>
      </c>
      <c r="BM49" s="31">
        <f t="shared" si="25"/>
        <v>0</v>
      </c>
      <c r="BO49" s="1">
        <v>3472</v>
      </c>
      <c r="BT49" s="1">
        <v>0</v>
      </c>
      <c r="CB49" s="1">
        <v>0</v>
      </c>
      <c r="CD49" s="1">
        <v>3472</v>
      </c>
      <c r="CE49" s="31">
        <f t="shared" si="14"/>
        <v>0</v>
      </c>
      <c r="CF49" s="31">
        <f t="shared" si="2"/>
        <v>0</v>
      </c>
      <c r="CG49" s="31">
        <f t="shared" si="3"/>
        <v>0</v>
      </c>
      <c r="CH49" s="31">
        <f t="shared" si="4"/>
        <v>0</v>
      </c>
      <c r="CI49" s="31">
        <f t="shared" si="5"/>
        <v>0</v>
      </c>
      <c r="CJ49" s="31">
        <f t="shared" si="6"/>
        <v>0</v>
      </c>
      <c r="CK49" s="31">
        <f t="shared" si="7"/>
        <v>0</v>
      </c>
      <c r="CL49" s="31">
        <f t="shared" si="8"/>
        <v>0</v>
      </c>
      <c r="CM49" s="31">
        <f t="shared" si="9"/>
        <v>0</v>
      </c>
      <c r="CN49" s="31">
        <f t="shared" si="10"/>
        <v>0</v>
      </c>
      <c r="CO49" s="31">
        <f t="shared" si="11"/>
        <v>0</v>
      </c>
      <c r="CP49" s="31">
        <f t="shared" si="12"/>
        <v>0</v>
      </c>
    </row>
    <row r="50" spans="1:94">
      <c r="A50" s="28">
        <v>3574</v>
      </c>
      <c r="B50" s="29">
        <v>1.4170250387311319E-2</v>
      </c>
      <c r="C50" s="29">
        <v>1.4170250387311319E-2</v>
      </c>
      <c r="D50" s="22">
        <v>3.3689677687333474E-3</v>
      </c>
      <c r="E50" s="22">
        <v>3.3689677687333474E-3</v>
      </c>
      <c r="G50" s="29">
        <f>IF(ISBLANK('User Interface (Start Here!)'!$L$4),commercial!B50,commercial!C50)</f>
        <v>1.4170250387311319E-2</v>
      </c>
      <c r="H50" s="22">
        <f>IF(ISBLANK('User Interface (Start Here!)'!$L$4),commercial!D50,commercial!E50)</f>
        <v>3.3689677687333474E-3</v>
      </c>
      <c r="I50" s="40">
        <f>(G50+H50)*'User Interface (Start Here!)'!$L$10</f>
        <v>1.5785296340440201E-2</v>
      </c>
      <c r="J50" s="2">
        <f>IF(VLOOKUP(A50,'User Interface (Start Here!)'!$DO$2:$DP$73,2,FALSE)&lt;&gt;0,1,0)</f>
        <v>0</v>
      </c>
      <c r="K50" s="41">
        <f>IF(AND(J50=1,ISBLANK('User Interface (Start Here!)'!$L$14),ISBLANK('User Interface (Start Here!)'!$M$14),ISBLANK('User Interface (Start Here!)'!$N$14)),100%*'User Interface (Start Here!)'!$L$30,IF(J50=1,VLOOKUP(A50,'Bathymetric Closures'!$A$2:$C$57,3,FALSE)*'User Interface (Start Here!)'!$L$30,0%))</f>
        <v>0</v>
      </c>
      <c r="L50" s="50">
        <f>IF(ISBLANK('User Interface (Start Here!)'!$L27),$I50*VLOOKUP($A50,$BA$5:$BM$60,L$2+1,FALSE),$I50*VLOOKUP($A50,$CD$6:$CP$60,L$2+1,FALSE))</f>
        <v>0</v>
      </c>
      <c r="M50" s="50">
        <f>IF(ISBLANK('User Interface (Start Here!)'!$L27),$I50*VLOOKUP($A50,$BA$5:$BM$60,M$2+1,FALSE),$I50*VLOOKUP($A50,$CD$6:$CP$60,M$2+1,FALSE))</f>
        <v>0</v>
      </c>
      <c r="N50" s="50">
        <f>IF(ISBLANK('User Interface (Start Here!)'!$L27),$I50*VLOOKUP($A50,$BA$5:$BM$60,N$2+1,FALSE),$I50*VLOOKUP($A50,$CD$6:$CP$60,N$2+1,FALSE))</f>
        <v>0</v>
      </c>
      <c r="O50" s="50">
        <f>IF(ISBLANK('User Interface (Start Here!)'!$L27),$I50*VLOOKUP($A50,$BA$5:$BM$60,O$2+1,FALSE),$I50*VLOOKUP($A50,$CD$6:$CP$60,O$2+1,FALSE))</f>
        <v>0</v>
      </c>
      <c r="P50" s="50">
        <f>IF(ISBLANK('User Interface (Start Here!)'!$L27),$I50*VLOOKUP($A50,$BA$5:$BM$60,P$2+1,FALSE),$I50*VLOOKUP($A50,$CD$6:$CP$60,P$2+1,FALSE))</f>
        <v>0</v>
      </c>
      <c r="Q50" s="50">
        <f>IF(ISBLANK('User Interface (Start Here!)'!$L27),$I50*VLOOKUP($A50,$BA$5:$BM$60,Q$2+1,FALSE),$I50*VLOOKUP($A50,$CD$6:$CP$60,Q$2+1,FALSE))</f>
        <v>1.5785296340440201E-2</v>
      </c>
      <c r="R50" s="50">
        <f>IF(ISBLANK('User Interface (Start Here!)'!$L27),$I50*VLOOKUP($A50,$BA$5:$BM$60,R$2+1,FALSE),$I50*VLOOKUP($A50,$CD$6:$CP$60,R$2+1,FALSE))</f>
        <v>0</v>
      </c>
      <c r="S50" s="50">
        <f>IF(ISBLANK('User Interface (Start Here!)'!$L27),$I50*VLOOKUP($A50,$BA$5:$BM$60,S$2+1,FALSE),$I50*VLOOKUP($A50,$CD$6:$CP$60,S$2+1,FALSE))</f>
        <v>0</v>
      </c>
      <c r="T50" s="50">
        <f>IF(ISBLANK('User Interface (Start Here!)'!$L27),$I50*VLOOKUP($A50,$BA$5:$BM$60,T$2+1,FALSE),$I50*VLOOKUP($A50,$CD$6:$CP$60,T$2+1,FALSE))</f>
        <v>0</v>
      </c>
      <c r="U50" s="50">
        <f>IF(ISBLANK('User Interface (Start Here!)'!$L27),$I50*VLOOKUP($A50,$BA$5:$BM$60,U$2+1,FALSE),$I50*VLOOKUP($A50,$CD$6:$CP$60,U$2+1,FALSE))</f>
        <v>0</v>
      </c>
      <c r="V50" s="50">
        <f>IF(ISBLANK('User Interface (Start Here!)'!$L27),$I50*VLOOKUP($A50,$BA$5:$BM$60,V$2+1,FALSE),$I50*VLOOKUP($A50,$CD$6:$CP$60,V$2+1,FALSE))</f>
        <v>0</v>
      </c>
      <c r="W50" s="50">
        <f>IF(ISBLANK('User Interface (Start Here!)'!$L27),$I50*VLOOKUP($A50,$BA$5:$BM$60,W$2+1,FALSE),$I50*VLOOKUP($A50,$CD$6:$CP$60,W$2+1,FALSE))</f>
        <v>0</v>
      </c>
      <c r="X50" s="51">
        <f>IF($J50&lt;&gt;1,L50,IF(VLOOKUP($A50,'User Interface (Start Here!)'!$B$18:$N$28,X$2+1,FALSE)&lt;&gt;100%,L50-VLOOKUP($A50,'User Interface (Start Here!)'!$B$18:$N$28,X$2+1,FALSE)/'User Interface (Start Here!)'!$L$35*$K50*L50,L50-VLOOKUP($A50,'User Interface (Start Here!)'!$B$18:$N$28,X$2+1,FALSE)*$K50*L50))</f>
        <v>0</v>
      </c>
      <c r="Y50" s="52">
        <f>IF($J50&lt;&gt;1,M50,IF(VLOOKUP($A50,'User Interface (Start Here!)'!$B$18:$N$28,Y$2+1,FALSE)&lt;&gt;100%,M50-VLOOKUP($A50,'User Interface (Start Here!)'!$B$18:$N$28,Y$2+1,FALSE)/'User Interface (Start Here!)'!$L$35*$K50*M50,M50-VLOOKUP($A50,'User Interface (Start Here!)'!$B$18:$N$28,Y$2+1,FALSE)*$K50*M50))</f>
        <v>0</v>
      </c>
      <c r="Z50" s="52">
        <f>IF($J50&lt;&gt;1,N50,IF(VLOOKUP($A50,'User Interface (Start Here!)'!$B$18:$N$28,Z$2+1,FALSE)&lt;&gt;100%,N50-VLOOKUP($A50,'User Interface (Start Here!)'!$B$18:$N$28,Z$2+1,FALSE)/'User Interface (Start Here!)'!$L$35*$K50*N50,N50-VLOOKUP($A50,'User Interface (Start Here!)'!$B$18:$N$28,Z$2+1,FALSE)*$K50*N50))</f>
        <v>0</v>
      </c>
      <c r="AA50" s="52">
        <f>IF($J50&lt;&gt;1,O50,IF(VLOOKUP($A50,'User Interface (Start Here!)'!$B$18:$N$28,AA$2+1,FALSE)&lt;&gt;100%,O50-VLOOKUP($A50,'User Interface (Start Here!)'!$B$18:$N$28,AA$2+1,FALSE)/'User Interface (Start Here!)'!$L$35*$K50*O50,O50-VLOOKUP($A50,'User Interface (Start Here!)'!$B$18:$N$28,AA$2+1,FALSE)*$K50*O50))</f>
        <v>0</v>
      </c>
      <c r="AB50" s="52">
        <f>IF($J50&lt;&gt;1,P50,IF(VLOOKUP($A50,'User Interface (Start Here!)'!$B$18:$N$28,AB$2+1,FALSE)&lt;&gt;100%,P50-VLOOKUP($A50,'User Interface (Start Here!)'!$B$18:$N$28,AB$2+1,FALSE)/'User Interface (Start Here!)'!$L$35*$K50*P50,P50-VLOOKUP($A50,'User Interface (Start Here!)'!$B$18:$N$28,AB$2+1,FALSE)*$K50*P50))</f>
        <v>0</v>
      </c>
      <c r="AC50" s="52">
        <f>IF($J50&lt;&gt;1,Q50,IF(VLOOKUP($A50,'User Interface (Start Here!)'!$B$18:$N$28,AC$2+1,FALSE)&lt;&gt;100%,Q50-VLOOKUP($A50,'User Interface (Start Here!)'!$B$18:$N$28,AC$2+1,FALSE)/'User Interface (Start Here!)'!$L$35*$K50*Q50,Q50-VLOOKUP($A50,'User Interface (Start Here!)'!$B$18:$N$28,AC$2+1,FALSE)*$K50*Q50))</f>
        <v>1.5785296340440201E-2</v>
      </c>
      <c r="AD50" s="52">
        <f>IF($J50&lt;&gt;1,R50,IF(VLOOKUP($A50,'User Interface (Start Here!)'!$B$18:$N$28,AD$2+1,FALSE)&lt;&gt;100%,R50-VLOOKUP($A50,'User Interface (Start Here!)'!$B$18:$N$28,AD$2+1,FALSE)/'User Interface (Start Here!)'!$L$35*$K50*R50,R50-VLOOKUP($A50,'User Interface (Start Here!)'!$B$18:$N$28,AD$2+1,FALSE)*$K50*R50))</f>
        <v>0</v>
      </c>
      <c r="AE50" s="52">
        <f>IF($J50&lt;&gt;1,S50,IF(VLOOKUP($A50,'User Interface (Start Here!)'!$B$18:$N$28,AE$2+1,FALSE)&lt;&gt;100%,S50-VLOOKUP($A50,'User Interface (Start Here!)'!$B$18:$N$28,AE$2+1,FALSE)/'User Interface (Start Here!)'!$L$35*$K50*S50,S50-VLOOKUP($A50,'User Interface (Start Here!)'!$B$18:$N$28,AE$2+1,FALSE)*$K50*S50))</f>
        <v>0</v>
      </c>
      <c r="AF50" s="52">
        <f>IF($J50&lt;&gt;1,T50,IF(VLOOKUP($A50,'User Interface (Start Here!)'!$B$18:$N$28,AF$2+1,FALSE)&lt;&gt;100%,T50-VLOOKUP($A50,'User Interface (Start Here!)'!$B$18:$N$28,AF$2+1,FALSE)/'User Interface (Start Here!)'!$L$35*$K50*T50,T50-VLOOKUP($A50,'User Interface (Start Here!)'!$B$18:$N$28,AF$2+1,FALSE)*$K50*T50))</f>
        <v>0</v>
      </c>
      <c r="AG50" s="52">
        <f>IF($J50&lt;&gt;1,U50,IF(VLOOKUP($A50,'User Interface (Start Here!)'!$B$18:$N$28,AG$2+1,FALSE)&lt;&gt;100%,U50-VLOOKUP($A50,'User Interface (Start Here!)'!$B$18:$N$28,AG$2+1,FALSE)/'User Interface (Start Here!)'!$L$35*$K50*U50,U50-VLOOKUP($A50,'User Interface (Start Here!)'!$B$18:$N$28,AG$2+1,FALSE)*$K50*U50))</f>
        <v>0</v>
      </c>
      <c r="AH50" s="52">
        <f>IF($J50&lt;&gt;1,V50,IF(VLOOKUP($A50,'User Interface (Start Here!)'!$B$18:$N$28,AH$2+1,FALSE)&lt;&gt;100%,V50-VLOOKUP($A50,'User Interface (Start Here!)'!$B$18:$N$28,AH$2+1,FALSE)/'User Interface (Start Here!)'!$L$35*$K50*V50,V50-VLOOKUP($A50,'User Interface (Start Here!)'!$B$18:$N$28,AH$2+1,FALSE)*$K50*V50))</f>
        <v>0</v>
      </c>
      <c r="AI50" s="52">
        <f>IF($J50&lt;&gt;1,W50,IF(VLOOKUP($A50,'User Interface (Start Here!)'!$B$18:$N$28,AI$2+1,FALSE)&lt;&gt;100%,W50-VLOOKUP($A50,'User Interface (Start Here!)'!$B$18:$N$28,AI$2+1,FALSE)/'User Interface (Start Here!)'!$L$35*$K50*W50,W50-VLOOKUP($A50,'User Interface (Start Here!)'!$B$18:$N$28,AI$2+1,FALSE)*$K50*W50))</f>
        <v>0</v>
      </c>
      <c r="AJ50" s="42">
        <f t="shared" si="0"/>
        <v>1.5785296340440201E-2</v>
      </c>
      <c r="AL50" s="1">
        <v>3473</v>
      </c>
      <c r="AV50" s="1">
        <v>0</v>
      </c>
      <c r="AW50" s="1">
        <v>0</v>
      </c>
      <c r="AX50" s="1">
        <v>0</v>
      </c>
      <c r="AY50" s="1">
        <v>0</v>
      </c>
      <c r="BA50" s="1">
        <v>3473</v>
      </c>
      <c r="BB50" s="31">
        <f t="shared" si="13"/>
        <v>0</v>
      </c>
      <c r="BC50" s="31">
        <f t="shared" si="15"/>
        <v>0</v>
      </c>
      <c r="BD50" s="31">
        <f t="shared" si="16"/>
        <v>0</v>
      </c>
      <c r="BE50" s="31">
        <f t="shared" si="17"/>
        <v>0</v>
      </c>
      <c r="BF50" s="31">
        <f t="shared" si="18"/>
        <v>0</v>
      </c>
      <c r="BG50" s="31">
        <f t="shared" si="19"/>
        <v>0</v>
      </c>
      <c r="BH50" s="31">
        <f t="shared" si="20"/>
        <v>0</v>
      </c>
      <c r="BI50" s="31">
        <f t="shared" si="21"/>
        <v>0</v>
      </c>
      <c r="BJ50" s="31">
        <f t="shared" si="22"/>
        <v>0</v>
      </c>
      <c r="BK50" s="31">
        <f t="shared" si="23"/>
        <v>0</v>
      </c>
      <c r="BL50" s="31">
        <f t="shared" si="24"/>
        <v>0</v>
      </c>
      <c r="BM50" s="31">
        <f t="shared" si="25"/>
        <v>0</v>
      </c>
      <c r="BO50" s="1">
        <v>3473</v>
      </c>
      <c r="BY50" s="1">
        <v>0</v>
      </c>
      <c r="BZ50" s="1">
        <v>0</v>
      </c>
      <c r="CA50" s="1">
        <v>0</v>
      </c>
      <c r="CB50" s="1">
        <v>0</v>
      </c>
      <c r="CD50" s="1">
        <v>3473</v>
      </c>
      <c r="CE50" s="31">
        <f t="shared" si="14"/>
        <v>0</v>
      </c>
      <c r="CF50" s="31">
        <f t="shared" si="2"/>
        <v>0</v>
      </c>
      <c r="CG50" s="31">
        <f t="shared" si="3"/>
        <v>0</v>
      </c>
      <c r="CH50" s="31">
        <f t="shared" si="4"/>
        <v>0</v>
      </c>
      <c r="CI50" s="31">
        <f t="shared" si="5"/>
        <v>0</v>
      </c>
      <c r="CJ50" s="31">
        <f t="shared" si="6"/>
        <v>0</v>
      </c>
      <c r="CK50" s="31">
        <f t="shared" si="7"/>
        <v>0</v>
      </c>
      <c r="CL50" s="31">
        <f t="shared" si="8"/>
        <v>0</v>
      </c>
      <c r="CM50" s="31">
        <f t="shared" si="9"/>
        <v>0</v>
      </c>
      <c r="CN50" s="31">
        <f t="shared" si="10"/>
        <v>0</v>
      </c>
      <c r="CO50" s="31">
        <f t="shared" si="11"/>
        <v>0</v>
      </c>
      <c r="CP50" s="31">
        <f t="shared" si="12"/>
        <v>0</v>
      </c>
    </row>
    <row r="51" spans="1:94">
      <c r="A51" s="28">
        <v>3575</v>
      </c>
      <c r="B51" s="29">
        <v>4.142153680567455E-2</v>
      </c>
      <c r="C51" s="29">
        <v>1.6381848166949493E-2</v>
      </c>
      <c r="D51" s="22">
        <v>9.8479433048464012E-3</v>
      </c>
      <c r="E51" s="22">
        <v>3.8947736954708903E-3</v>
      </c>
      <c r="G51" s="29">
        <f>IF(ISBLANK('User Interface (Start Here!)'!$L$4),commercial!B51,commercial!C51)</f>
        <v>1.6381848166949493E-2</v>
      </c>
      <c r="H51" s="22">
        <f>IF(ISBLANK('User Interface (Start Here!)'!$L$4),commercial!D51,commercial!E51)</f>
        <v>3.8947736954708903E-3</v>
      </c>
      <c r="I51" s="40">
        <f>(G51+H51)*'User Interface (Start Here!)'!$L$10</f>
        <v>1.8248959676178345E-2</v>
      </c>
      <c r="J51" s="2">
        <f>IF(VLOOKUP(A51,'User Interface (Start Here!)'!$DO$2:$DP$73,2,FALSE)&lt;&gt;0,1,0)</f>
        <v>0</v>
      </c>
      <c r="K51" s="41">
        <f>IF(AND(J51=1,ISBLANK('User Interface (Start Here!)'!$L$14),ISBLANK('User Interface (Start Here!)'!$M$14),ISBLANK('User Interface (Start Here!)'!$N$14)),100%*'User Interface (Start Here!)'!$L$30,IF(J51=1,VLOOKUP(A51,'Bathymetric Closures'!$A$2:$C$57,3,FALSE)*'User Interface (Start Here!)'!$L$30,0%))</f>
        <v>0</v>
      </c>
      <c r="L51" s="50">
        <f>IF(ISBLANK('User Interface (Start Here!)'!#REF!),$I51*VLOOKUP($A51,$BA$5:$BM$60,L$2+1,FALSE),$I51*VLOOKUP($A51,$CD$6:$CP$60,L$2+1,FALSE))</f>
        <v>0</v>
      </c>
      <c r="M51" s="50">
        <f>IF(ISBLANK('User Interface (Start Here!)'!#REF!),$I51*VLOOKUP($A51,$BA$5:$BM$60,M$2+1,FALSE),$I51*VLOOKUP($A51,$CD$6:$CP$60,M$2+1,FALSE))</f>
        <v>0</v>
      </c>
      <c r="N51" s="50">
        <f>IF(ISBLANK('User Interface (Start Here!)'!#REF!),$I51*VLOOKUP($A51,$BA$5:$BM$60,N$2+1,FALSE),$I51*VLOOKUP($A51,$CD$6:$CP$60,N$2+1,FALSE))</f>
        <v>0</v>
      </c>
      <c r="O51" s="50">
        <f>IF(ISBLANK('User Interface (Start Here!)'!#REF!),$I51*VLOOKUP($A51,$BA$5:$BM$60,O$2+1,FALSE),$I51*VLOOKUP($A51,$CD$6:$CP$60,O$2+1,FALSE))</f>
        <v>5.1181021829817481E-3</v>
      </c>
      <c r="P51" s="50">
        <f>IF(ISBLANK('User Interface (Start Here!)'!#REF!),$I51*VLOOKUP($A51,$BA$5:$BM$60,P$2+1,FALSE),$I51*VLOOKUP($A51,$CD$6:$CP$60,P$2+1,FALSE))</f>
        <v>8.3785891603188663E-3</v>
      </c>
      <c r="Q51" s="50">
        <f>IF(ISBLANK('User Interface (Start Here!)'!#REF!),$I51*VLOOKUP($A51,$BA$5:$BM$60,Q$2+1,FALSE),$I51*VLOOKUP($A51,$CD$6:$CP$60,Q$2+1,FALSE))</f>
        <v>0</v>
      </c>
      <c r="R51" s="50">
        <f>IF(ISBLANK('User Interface (Start Here!)'!#REF!),$I51*VLOOKUP($A51,$BA$5:$BM$60,R$2+1,FALSE),$I51*VLOOKUP($A51,$CD$6:$CP$60,R$2+1,FALSE))</f>
        <v>3.7373192184484702E-4</v>
      </c>
      <c r="S51" s="50">
        <f>IF(ISBLANK('User Interface (Start Here!)'!#REF!),$I51*VLOOKUP($A51,$BA$5:$BM$60,S$2+1,FALSE),$I51*VLOOKUP($A51,$CD$6:$CP$60,S$2+1,FALSE))</f>
        <v>0</v>
      </c>
      <c r="T51" s="50">
        <f>IF(ISBLANK('User Interface (Start Here!)'!#REF!),$I51*VLOOKUP($A51,$BA$5:$BM$60,T$2+1,FALSE),$I51*VLOOKUP($A51,$CD$6:$CP$60,T$2+1,FALSE))</f>
        <v>4.3785364110328819E-3</v>
      </c>
      <c r="U51" s="50">
        <f>IF(ISBLANK('User Interface (Start Here!)'!#REF!),$I51*VLOOKUP($A51,$BA$5:$BM$60,U$2+1,FALSE),$I51*VLOOKUP($A51,$CD$6:$CP$60,U$2+1,FALSE))</f>
        <v>0</v>
      </c>
      <c r="V51" s="50">
        <f>IF(ISBLANK('User Interface (Start Here!)'!#REF!),$I51*VLOOKUP($A51,$BA$5:$BM$60,V$2+1,FALSE),$I51*VLOOKUP($A51,$CD$6:$CP$60,V$2+1,FALSE))</f>
        <v>0</v>
      </c>
      <c r="W51" s="50">
        <f>IF(ISBLANK('User Interface (Start Here!)'!#REF!),$I51*VLOOKUP($A51,$BA$5:$BM$60,W$2+1,FALSE),$I51*VLOOKUP($A51,$CD$6:$CP$60,W$2+1,FALSE))</f>
        <v>0</v>
      </c>
      <c r="X51" s="51">
        <f>IF($J51&lt;&gt;1,L51,IF(VLOOKUP($A51,'User Interface (Start Here!)'!$B$18:$N$28,X$2+1,FALSE)&lt;&gt;100%,L51-VLOOKUP($A51,'User Interface (Start Here!)'!$B$18:$N$28,X$2+1,FALSE)/'User Interface (Start Here!)'!$L$35*$K51*L51,L51-VLOOKUP($A51,'User Interface (Start Here!)'!$B$18:$N$28,X$2+1,FALSE)*$K51*L51))</f>
        <v>0</v>
      </c>
      <c r="Y51" s="52">
        <f>IF($J51&lt;&gt;1,M51,IF(VLOOKUP($A51,'User Interface (Start Here!)'!$B$18:$N$28,Y$2+1,FALSE)&lt;&gt;100%,M51-VLOOKUP($A51,'User Interface (Start Here!)'!$B$18:$N$28,Y$2+1,FALSE)/'User Interface (Start Here!)'!$L$35*$K51*M51,M51-VLOOKUP($A51,'User Interface (Start Here!)'!$B$18:$N$28,Y$2+1,FALSE)*$K51*M51))</f>
        <v>0</v>
      </c>
      <c r="Z51" s="52">
        <f>IF($J51&lt;&gt;1,N51,IF(VLOOKUP($A51,'User Interface (Start Here!)'!$B$18:$N$28,Z$2+1,FALSE)&lt;&gt;100%,N51-VLOOKUP($A51,'User Interface (Start Here!)'!$B$18:$N$28,Z$2+1,FALSE)/'User Interface (Start Here!)'!$L$35*$K51*N51,N51-VLOOKUP($A51,'User Interface (Start Here!)'!$B$18:$N$28,Z$2+1,FALSE)*$K51*N51))</f>
        <v>0</v>
      </c>
      <c r="AA51" s="52">
        <f>IF($J51&lt;&gt;1,O51,IF(VLOOKUP($A51,'User Interface (Start Here!)'!$B$18:$N$28,AA$2+1,FALSE)&lt;&gt;100%,O51-VLOOKUP($A51,'User Interface (Start Here!)'!$B$18:$N$28,AA$2+1,FALSE)/'User Interface (Start Here!)'!$L$35*$K51*O51,O51-VLOOKUP($A51,'User Interface (Start Here!)'!$B$18:$N$28,AA$2+1,FALSE)*$K51*O51))</f>
        <v>5.1181021829817481E-3</v>
      </c>
      <c r="AB51" s="52">
        <f>IF($J51&lt;&gt;1,P51,IF(VLOOKUP($A51,'User Interface (Start Here!)'!$B$18:$N$28,AB$2+1,FALSE)&lt;&gt;100%,P51-VLOOKUP($A51,'User Interface (Start Here!)'!$B$18:$N$28,AB$2+1,FALSE)/'User Interface (Start Here!)'!$L$35*$K51*P51,P51-VLOOKUP($A51,'User Interface (Start Here!)'!$B$18:$N$28,AB$2+1,FALSE)*$K51*P51))</f>
        <v>8.3785891603188663E-3</v>
      </c>
      <c r="AC51" s="52">
        <f>IF($J51&lt;&gt;1,Q51,IF(VLOOKUP($A51,'User Interface (Start Here!)'!$B$18:$N$28,AC$2+1,FALSE)&lt;&gt;100%,Q51-VLOOKUP($A51,'User Interface (Start Here!)'!$B$18:$N$28,AC$2+1,FALSE)/'User Interface (Start Here!)'!$L$35*$K51*Q51,Q51-VLOOKUP($A51,'User Interface (Start Here!)'!$B$18:$N$28,AC$2+1,FALSE)*$K51*Q51))</f>
        <v>0</v>
      </c>
      <c r="AD51" s="52">
        <f>IF($J51&lt;&gt;1,R51,IF(VLOOKUP($A51,'User Interface (Start Here!)'!$B$18:$N$28,AD$2+1,FALSE)&lt;&gt;100%,R51-VLOOKUP($A51,'User Interface (Start Here!)'!$B$18:$N$28,AD$2+1,FALSE)/'User Interface (Start Here!)'!$L$35*$K51*R51,R51-VLOOKUP($A51,'User Interface (Start Here!)'!$B$18:$N$28,AD$2+1,FALSE)*$K51*R51))</f>
        <v>3.7373192184484702E-4</v>
      </c>
      <c r="AE51" s="52">
        <f>IF($J51&lt;&gt;1,S51,IF(VLOOKUP($A51,'User Interface (Start Here!)'!$B$18:$N$28,AE$2+1,FALSE)&lt;&gt;100%,S51-VLOOKUP($A51,'User Interface (Start Here!)'!$B$18:$N$28,AE$2+1,FALSE)/'User Interface (Start Here!)'!$L$35*$K51*S51,S51-VLOOKUP($A51,'User Interface (Start Here!)'!$B$18:$N$28,AE$2+1,FALSE)*$K51*S51))</f>
        <v>0</v>
      </c>
      <c r="AF51" s="52">
        <f>IF($J51&lt;&gt;1,T51,IF(VLOOKUP($A51,'User Interface (Start Here!)'!$B$18:$N$28,AF$2+1,FALSE)&lt;&gt;100%,T51-VLOOKUP($A51,'User Interface (Start Here!)'!$B$18:$N$28,AF$2+1,FALSE)/'User Interface (Start Here!)'!$L$35*$K51*T51,T51-VLOOKUP($A51,'User Interface (Start Here!)'!$B$18:$N$28,AF$2+1,FALSE)*$K51*T51))</f>
        <v>4.3785364110328819E-3</v>
      </c>
      <c r="AG51" s="52">
        <f>IF($J51&lt;&gt;1,U51,IF(VLOOKUP($A51,'User Interface (Start Here!)'!$B$18:$N$28,AG$2+1,FALSE)&lt;&gt;100%,U51-VLOOKUP($A51,'User Interface (Start Here!)'!$B$18:$N$28,AG$2+1,FALSE)/'User Interface (Start Here!)'!$L$35*$K51*U51,U51-VLOOKUP($A51,'User Interface (Start Here!)'!$B$18:$N$28,AG$2+1,FALSE)*$K51*U51))</f>
        <v>0</v>
      </c>
      <c r="AH51" s="52">
        <f>IF($J51&lt;&gt;1,V51,IF(VLOOKUP($A51,'User Interface (Start Here!)'!$B$18:$N$28,AH$2+1,FALSE)&lt;&gt;100%,V51-VLOOKUP($A51,'User Interface (Start Here!)'!$B$18:$N$28,AH$2+1,FALSE)/'User Interface (Start Here!)'!$L$35*$K51*V51,V51-VLOOKUP($A51,'User Interface (Start Here!)'!$B$18:$N$28,AH$2+1,FALSE)*$K51*V51))</f>
        <v>0</v>
      </c>
      <c r="AI51" s="52">
        <f>IF($J51&lt;&gt;1,W51,IF(VLOOKUP($A51,'User Interface (Start Here!)'!$B$18:$N$28,AI$2+1,FALSE)&lt;&gt;100%,W51-VLOOKUP($A51,'User Interface (Start Here!)'!$B$18:$N$28,AI$2+1,FALSE)/'User Interface (Start Here!)'!$L$35*$K51*W51,W51-VLOOKUP($A51,'User Interface (Start Here!)'!$B$18:$N$28,AI$2+1,FALSE)*$K51*W51))</f>
        <v>0</v>
      </c>
      <c r="AJ51" s="42">
        <f t="shared" si="0"/>
        <v>1.8248959676178345E-2</v>
      </c>
      <c r="AL51" s="1">
        <v>3474</v>
      </c>
      <c r="AM51" s="1">
        <v>0.10100999987125397</v>
      </c>
      <c r="AN51" s="1">
        <v>5.43899998664856E-2</v>
      </c>
      <c r="AO51" s="1">
        <v>8.8799999952316293E-3</v>
      </c>
      <c r="AP51" s="1">
        <v>7.7699999809265133E-2</v>
      </c>
      <c r="AQ51" s="1">
        <v>0.15761999984085562</v>
      </c>
      <c r="AR51" s="1">
        <v>0.39515999928116796</v>
      </c>
      <c r="AS51" s="1">
        <v>0.13874999985098838</v>
      </c>
      <c r="AT51" s="1">
        <v>1.3319999992847442E-2</v>
      </c>
      <c r="AU51" s="1">
        <v>8.8799999952316293E-3</v>
      </c>
      <c r="AV51" s="1">
        <v>5.7719999849796297E-2</v>
      </c>
      <c r="AW51" s="1">
        <v>6.9929999917745594E-2</v>
      </c>
      <c r="AX51" s="1">
        <v>1.6649999976158143E-2</v>
      </c>
      <c r="AY51" s="1">
        <v>1.1000099982470275</v>
      </c>
      <c r="BA51" s="1">
        <v>3474</v>
      </c>
      <c r="BB51" s="31">
        <f t="shared" si="13"/>
        <v>9.1826437970766811E-2</v>
      </c>
      <c r="BC51" s="31">
        <f t="shared" si="15"/>
        <v>4.944500500282846E-2</v>
      </c>
      <c r="BD51" s="31">
        <f t="shared" si="16"/>
        <v>8.0726538934943956E-3</v>
      </c>
      <c r="BE51" s="31">
        <f t="shared" si="17"/>
        <v>7.063572143261207E-2</v>
      </c>
      <c r="BF51" s="31">
        <f t="shared" si="18"/>
        <v>0.14328960654179357</v>
      </c>
      <c r="BG51" s="31">
        <f t="shared" si="19"/>
        <v>0.35923309779992335</v>
      </c>
      <c r="BH51" s="31">
        <f t="shared" si="20"/>
        <v>0.12613521701811797</v>
      </c>
      <c r="BI51" s="31">
        <f t="shared" si="21"/>
        <v>1.2108980840241592E-2</v>
      </c>
      <c r="BJ51" s="31">
        <f t="shared" si="22"/>
        <v>8.0726538934943956E-3</v>
      </c>
      <c r="BK51" s="31">
        <f t="shared" si="23"/>
        <v>5.2472250199342471E-2</v>
      </c>
      <c r="BL51" s="31">
        <f t="shared" si="24"/>
        <v>6.3572149370629202E-2</v>
      </c>
      <c r="BM51" s="31">
        <f t="shared" si="25"/>
        <v>1.5136226036755603E-2</v>
      </c>
      <c r="BO51" s="1">
        <v>3474</v>
      </c>
      <c r="BP51" s="1">
        <v>0.10100999987125397</v>
      </c>
      <c r="BQ51" s="1">
        <v>5.43899998664856E-2</v>
      </c>
      <c r="BR51" s="1">
        <v>8.8799999952316293E-3</v>
      </c>
      <c r="BS51" s="1">
        <v>7.7699999809265133E-2</v>
      </c>
      <c r="BT51" s="1">
        <v>0.15761999984085559</v>
      </c>
      <c r="BU51" s="1">
        <v>0.36518999931216239</v>
      </c>
      <c r="BV51" s="1">
        <v>0.13275908076892345</v>
      </c>
      <c r="BW51" s="1">
        <v>1.3319999992847442E-2</v>
      </c>
      <c r="BX51" s="1">
        <v>8.8799999952316293E-3</v>
      </c>
      <c r="BY51" s="1">
        <v>0</v>
      </c>
      <c r="BZ51" s="1">
        <v>6.9929999917745581E-2</v>
      </c>
      <c r="CA51" s="1">
        <v>0</v>
      </c>
      <c r="CB51" s="1">
        <v>0.98967907937000232</v>
      </c>
      <c r="CD51" s="1">
        <v>3474</v>
      </c>
      <c r="CE51" s="31">
        <f t="shared" si="14"/>
        <v>0.1020633879980101</v>
      </c>
      <c r="CF51" s="31">
        <f t="shared" si="2"/>
        <v>5.4957208857146417E-2</v>
      </c>
      <c r="CG51" s="31">
        <f t="shared" si="3"/>
        <v>8.9726055449048693E-3</v>
      </c>
      <c r="CH51" s="31">
        <f t="shared" si="4"/>
        <v>7.8510298367352002E-2</v>
      </c>
      <c r="CI51" s="31">
        <f t="shared" si="5"/>
        <v>0.15926374834677862</v>
      </c>
      <c r="CJ51" s="31">
        <f t="shared" si="6"/>
        <v>0.36899840253734628</v>
      </c>
      <c r="CK51" s="31">
        <f t="shared" si="7"/>
        <v>0.13414356586524351</v>
      </c>
      <c r="CL51" s="31">
        <f t="shared" si="8"/>
        <v>1.3458908317357302E-2</v>
      </c>
      <c r="CM51" s="31">
        <f t="shared" si="9"/>
        <v>8.9726055449048693E-3</v>
      </c>
      <c r="CN51" s="31">
        <f t="shared" si="10"/>
        <v>0</v>
      </c>
      <c r="CO51" s="31">
        <f t="shared" si="11"/>
        <v>7.0659268620956159E-2</v>
      </c>
      <c r="CP51" s="31">
        <f t="shared" si="12"/>
        <v>0</v>
      </c>
    </row>
    <row r="52" spans="1:94">
      <c r="A52" s="28">
        <v>3674</v>
      </c>
      <c r="B52" s="29">
        <v>0</v>
      </c>
      <c r="C52" s="29">
        <v>0</v>
      </c>
      <c r="D52" s="22">
        <v>0</v>
      </c>
      <c r="E52" s="22">
        <v>0</v>
      </c>
      <c r="G52" s="29">
        <f>IF(ISBLANK('User Interface (Start Here!)'!$L$4),commercial!B52,commercial!C52)</f>
        <v>0</v>
      </c>
      <c r="H52" s="22">
        <f>IF(ISBLANK('User Interface (Start Here!)'!$L$4),commercial!D52,commercial!E52)</f>
        <v>0</v>
      </c>
      <c r="I52" s="40">
        <f>(G52+H52)*'User Interface (Start Here!)'!$L$10</f>
        <v>0</v>
      </c>
      <c r="J52" s="2">
        <f>IF(VLOOKUP(A52,'User Interface (Start Here!)'!$DO$2:$DP$73,2,FALSE)&lt;&gt;0,1,0)</f>
        <v>0</v>
      </c>
      <c r="K52" s="41">
        <f>IF(AND(J52=1,ISBLANK('User Interface (Start Here!)'!$L$14),ISBLANK('User Interface (Start Here!)'!$M$14),ISBLANK('User Interface (Start Here!)'!$N$14)),100%*'User Interface (Start Here!)'!$L$30,IF(J52=1,VLOOKUP(A52,'Bathymetric Closures'!$A$2:$C$57,3,FALSE)*'User Interface (Start Here!)'!$L$30,0%))</f>
        <v>0</v>
      </c>
      <c r="L52" s="50">
        <f>IF(ISBLANK('User Interface (Start Here!)'!#REF!),$I52*VLOOKUP($A52,$BA$5:$BM$60,L$2+1,FALSE),$I52*VLOOKUP($A52,$CD$6:$CP$60,L$2+1,FALSE))</f>
        <v>0</v>
      </c>
      <c r="M52" s="50">
        <f>IF(ISBLANK('User Interface (Start Here!)'!#REF!),$I52*VLOOKUP($A52,$BA$5:$BM$60,M$2+1,FALSE),$I52*VLOOKUP($A52,$CD$6:$CP$60,M$2+1,FALSE))</f>
        <v>0</v>
      </c>
      <c r="N52" s="50">
        <f>IF(ISBLANK('User Interface (Start Here!)'!#REF!),$I52*VLOOKUP($A52,$BA$5:$BM$60,N$2+1,FALSE),$I52*VLOOKUP($A52,$CD$6:$CP$60,N$2+1,FALSE))</f>
        <v>0</v>
      </c>
      <c r="O52" s="50">
        <f>IF(ISBLANK('User Interface (Start Here!)'!#REF!),$I52*VLOOKUP($A52,$BA$5:$BM$60,O$2+1,FALSE),$I52*VLOOKUP($A52,$CD$6:$CP$60,O$2+1,FALSE))</f>
        <v>0</v>
      </c>
      <c r="P52" s="50">
        <f>IF(ISBLANK('User Interface (Start Here!)'!#REF!),$I52*VLOOKUP($A52,$BA$5:$BM$60,P$2+1,FALSE),$I52*VLOOKUP($A52,$CD$6:$CP$60,P$2+1,FALSE))</f>
        <v>0</v>
      </c>
      <c r="Q52" s="50">
        <f>IF(ISBLANK('User Interface (Start Here!)'!#REF!),$I52*VLOOKUP($A52,$BA$5:$BM$60,Q$2+1,FALSE),$I52*VLOOKUP($A52,$CD$6:$CP$60,Q$2+1,FALSE))</f>
        <v>0</v>
      </c>
      <c r="R52" s="50">
        <f>IF(ISBLANK('User Interface (Start Here!)'!#REF!),$I52*VLOOKUP($A52,$BA$5:$BM$60,R$2+1,FALSE),$I52*VLOOKUP($A52,$CD$6:$CP$60,R$2+1,FALSE))</f>
        <v>0</v>
      </c>
      <c r="S52" s="50">
        <f>IF(ISBLANK('User Interface (Start Here!)'!#REF!),$I52*VLOOKUP($A52,$BA$5:$BM$60,S$2+1,FALSE),$I52*VLOOKUP($A52,$CD$6:$CP$60,S$2+1,FALSE))</f>
        <v>0</v>
      </c>
      <c r="T52" s="50">
        <f>IF(ISBLANK('User Interface (Start Here!)'!#REF!),$I52*VLOOKUP($A52,$BA$5:$BM$60,T$2+1,FALSE),$I52*VLOOKUP($A52,$CD$6:$CP$60,T$2+1,FALSE))</f>
        <v>0</v>
      </c>
      <c r="U52" s="50">
        <f>IF(ISBLANK('User Interface (Start Here!)'!#REF!),$I52*VLOOKUP($A52,$BA$5:$BM$60,U$2+1,FALSE),$I52*VLOOKUP($A52,$CD$6:$CP$60,U$2+1,FALSE))</f>
        <v>0</v>
      </c>
      <c r="V52" s="50">
        <f>IF(ISBLANK('User Interface (Start Here!)'!#REF!),$I52*VLOOKUP($A52,$BA$5:$BM$60,V$2+1,FALSE),$I52*VLOOKUP($A52,$CD$6:$CP$60,V$2+1,FALSE))</f>
        <v>0</v>
      </c>
      <c r="W52" s="50">
        <f>IF(ISBLANK('User Interface (Start Here!)'!#REF!),$I52*VLOOKUP($A52,$BA$5:$BM$60,W$2+1,FALSE),$I52*VLOOKUP($A52,$CD$6:$CP$60,W$2+1,FALSE))</f>
        <v>0</v>
      </c>
      <c r="X52" s="51">
        <f>IF($J52&lt;&gt;1,L52,IF(VLOOKUP($A52,'User Interface (Start Here!)'!$B$18:$N$28,X$2+1,FALSE)&lt;&gt;100%,L52-VLOOKUP($A52,'User Interface (Start Here!)'!$B$18:$N$28,X$2+1,FALSE)/'User Interface (Start Here!)'!$L$35*$K52*L52,L52-VLOOKUP($A52,'User Interface (Start Here!)'!$B$18:$N$28,X$2+1,FALSE)*$K52*L52))</f>
        <v>0</v>
      </c>
      <c r="Y52" s="52">
        <f>IF($J52&lt;&gt;1,M52,IF(VLOOKUP($A52,'User Interface (Start Here!)'!$B$18:$N$28,Y$2+1,FALSE)&lt;&gt;100%,M52-VLOOKUP($A52,'User Interface (Start Here!)'!$B$18:$N$28,Y$2+1,FALSE)/'User Interface (Start Here!)'!$L$35*$K52*M52,M52-VLOOKUP($A52,'User Interface (Start Here!)'!$B$18:$N$28,Y$2+1,FALSE)*$K52*M52))</f>
        <v>0</v>
      </c>
      <c r="Z52" s="52">
        <f>IF($J52&lt;&gt;1,N52,IF(VLOOKUP($A52,'User Interface (Start Here!)'!$B$18:$N$28,Z$2+1,FALSE)&lt;&gt;100%,N52-VLOOKUP($A52,'User Interface (Start Here!)'!$B$18:$N$28,Z$2+1,FALSE)/'User Interface (Start Here!)'!$L$35*$K52*N52,N52-VLOOKUP($A52,'User Interface (Start Here!)'!$B$18:$N$28,Z$2+1,FALSE)*$K52*N52))</f>
        <v>0</v>
      </c>
      <c r="AA52" s="52">
        <f>IF($J52&lt;&gt;1,O52,IF(VLOOKUP($A52,'User Interface (Start Here!)'!$B$18:$N$28,AA$2+1,FALSE)&lt;&gt;100%,O52-VLOOKUP($A52,'User Interface (Start Here!)'!$B$18:$N$28,AA$2+1,FALSE)/'User Interface (Start Here!)'!$L$35*$K52*O52,O52-VLOOKUP($A52,'User Interface (Start Here!)'!$B$18:$N$28,AA$2+1,FALSE)*$K52*O52))</f>
        <v>0</v>
      </c>
      <c r="AB52" s="52">
        <f>IF($J52&lt;&gt;1,P52,IF(VLOOKUP($A52,'User Interface (Start Here!)'!$B$18:$N$28,AB$2+1,FALSE)&lt;&gt;100%,P52-VLOOKUP($A52,'User Interface (Start Here!)'!$B$18:$N$28,AB$2+1,FALSE)/'User Interface (Start Here!)'!$L$35*$K52*P52,P52-VLOOKUP($A52,'User Interface (Start Here!)'!$B$18:$N$28,AB$2+1,FALSE)*$K52*P52))</f>
        <v>0</v>
      </c>
      <c r="AC52" s="52">
        <f>IF($J52&lt;&gt;1,Q52,IF(VLOOKUP($A52,'User Interface (Start Here!)'!$B$18:$N$28,AC$2+1,FALSE)&lt;&gt;100%,Q52-VLOOKUP($A52,'User Interface (Start Here!)'!$B$18:$N$28,AC$2+1,FALSE)/'User Interface (Start Here!)'!$L$35*$K52*Q52,Q52-VLOOKUP($A52,'User Interface (Start Here!)'!$B$18:$N$28,AC$2+1,FALSE)*$K52*Q52))</f>
        <v>0</v>
      </c>
      <c r="AD52" s="52">
        <f>IF($J52&lt;&gt;1,R52,IF(VLOOKUP($A52,'User Interface (Start Here!)'!$B$18:$N$28,AD$2+1,FALSE)&lt;&gt;100%,R52-VLOOKUP($A52,'User Interface (Start Here!)'!$B$18:$N$28,AD$2+1,FALSE)/'User Interface (Start Here!)'!$L$35*$K52*R52,R52-VLOOKUP($A52,'User Interface (Start Here!)'!$B$18:$N$28,AD$2+1,FALSE)*$K52*R52))</f>
        <v>0</v>
      </c>
      <c r="AE52" s="52">
        <f>IF($J52&lt;&gt;1,S52,IF(VLOOKUP($A52,'User Interface (Start Here!)'!$B$18:$N$28,AE$2+1,FALSE)&lt;&gt;100%,S52-VLOOKUP($A52,'User Interface (Start Here!)'!$B$18:$N$28,AE$2+1,FALSE)/'User Interface (Start Here!)'!$L$35*$K52*S52,S52-VLOOKUP($A52,'User Interface (Start Here!)'!$B$18:$N$28,AE$2+1,FALSE)*$K52*S52))</f>
        <v>0</v>
      </c>
      <c r="AF52" s="52">
        <f>IF($J52&lt;&gt;1,T52,IF(VLOOKUP($A52,'User Interface (Start Here!)'!$B$18:$N$28,AF$2+1,FALSE)&lt;&gt;100%,T52-VLOOKUP($A52,'User Interface (Start Here!)'!$B$18:$N$28,AF$2+1,FALSE)/'User Interface (Start Here!)'!$L$35*$K52*T52,T52-VLOOKUP($A52,'User Interface (Start Here!)'!$B$18:$N$28,AF$2+1,FALSE)*$K52*T52))</f>
        <v>0</v>
      </c>
      <c r="AG52" s="52">
        <f>IF($J52&lt;&gt;1,U52,IF(VLOOKUP($A52,'User Interface (Start Here!)'!$B$18:$N$28,AG$2+1,FALSE)&lt;&gt;100%,U52-VLOOKUP($A52,'User Interface (Start Here!)'!$B$18:$N$28,AG$2+1,FALSE)/'User Interface (Start Here!)'!$L$35*$K52*U52,U52-VLOOKUP($A52,'User Interface (Start Here!)'!$B$18:$N$28,AG$2+1,FALSE)*$K52*U52))</f>
        <v>0</v>
      </c>
      <c r="AH52" s="52">
        <f>IF($J52&lt;&gt;1,V52,IF(VLOOKUP($A52,'User Interface (Start Here!)'!$B$18:$N$28,AH$2+1,FALSE)&lt;&gt;100%,V52-VLOOKUP($A52,'User Interface (Start Here!)'!$B$18:$N$28,AH$2+1,FALSE)/'User Interface (Start Here!)'!$L$35*$K52*V52,V52-VLOOKUP($A52,'User Interface (Start Here!)'!$B$18:$N$28,AH$2+1,FALSE)*$K52*V52))</f>
        <v>0</v>
      </c>
      <c r="AI52" s="52">
        <f>IF($J52&lt;&gt;1,W52,IF(VLOOKUP($A52,'User Interface (Start Here!)'!$B$18:$N$28,AI$2+1,FALSE)&lt;&gt;100%,W52-VLOOKUP($A52,'User Interface (Start Here!)'!$B$18:$N$28,AI$2+1,FALSE)/'User Interface (Start Here!)'!$L$35*$K52*W52,W52-VLOOKUP($A52,'User Interface (Start Here!)'!$B$18:$N$28,AI$2+1,FALSE)*$K52*W52))</f>
        <v>0</v>
      </c>
      <c r="AJ52" s="42">
        <f t="shared" si="0"/>
        <v>0</v>
      </c>
      <c r="AL52" s="1">
        <v>3475</v>
      </c>
      <c r="AM52" s="1">
        <v>0</v>
      </c>
      <c r="AN52" s="1">
        <v>0</v>
      </c>
      <c r="AO52" s="1">
        <v>0</v>
      </c>
      <c r="AP52" s="1">
        <v>0</v>
      </c>
      <c r="AQ52" s="1">
        <v>0</v>
      </c>
      <c r="AR52" s="1">
        <v>0</v>
      </c>
      <c r="AS52" s="1">
        <v>0</v>
      </c>
      <c r="AT52" s="1">
        <v>0</v>
      </c>
      <c r="AU52" s="1">
        <v>0</v>
      </c>
      <c r="AV52" s="1">
        <v>2.2199999988079073E-3</v>
      </c>
      <c r="AW52" s="1">
        <v>1.1099999994039537E-3</v>
      </c>
      <c r="AX52" s="1">
        <v>3.6629999980330466E-2</v>
      </c>
      <c r="AY52" s="1">
        <v>3.9959999978542327E-2</v>
      </c>
      <c r="BA52" s="1">
        <v>3475</v>
      </c>
      <c r="BB52" s="31">
        <f t="shared" si="13"/>
        <v>0</v>
      </c>
      <c r="BC52" s="31">
        <f t="shared" si="15"/>
        <v>0</v>
      </c>
      <c r="BD52" s="31">
        <f t="shared" si="16"/>
        <v>0</v>
      </c>
      <c r="BE52" s="31">
        <f t="shared" si="17"/>
        <v>0</v>
      </c>
      <c r="BF52" s="31">
        <f t="shared" si="18"/>
        <v>0</v>
      </c>
      <c r="BG52" s="31">
        <f t="shared" si="19"/>
        <v>0</v>
      </c>
      <c r="BH52" s="31">
        <f t="shared" si="20"/>
        <v>0</v>
      </c>
      <c r="BI52" s="31">
        <f t="shared" si="21"/>
        <v>0</v>
      </c>
      <c r="BJ52" s="31">
        <f t="shared" si="22"/>
        <v>0</v>
      </c>
      <c r="BK52" s="31">
        <f t="shared" si="23"/>
        <v>5.5555555555555559E-2</v>
      </c>
      <c r="BL52" s="31">
        <f t="shared" si="24"/>
        <v>2.777777777777778E-2</v>
      </c>
      <c r="BM52" s="31">
        <f t="shared" si="25"/>
        <v>0.91666666666666663</v>
      </c>
      <c r="BO52" s="1">
        <v>3475</v>
      </c>
      <c r="BP52" s="1">
        <v>0</v>
      </c>
      <c r="BQ52" s="1">
        <v>0</v>
      </c>
      <c r="BR52" s="1">
        <v>0</v>
      </c>
      <c r="BS52" s="1">
        <v>0</v>
      </c>
      <c r="BT52" s="1">
        <v>0</v>
      </c>
      <c r="BU52" s="1">
        <v>0</v>
      </c>
      <c r="BV52" s="1">
        <v>0</v>
      </c>
      <c r="BW52" s="1">
        <v>0</v>
      </c>
      <c r="BX52" s="1">
        <v>0</v>
      </c>
      <c r="BY52" s="1">
        <v>0</v>
      </c>
      <c r="BZ52" s="1">
        <v>0</v>
      </c>
      <c r="CA52" s="1">
        <v>0</v>
      </c>
      <c r="CB52" s="1">
        <v>0</v>
      </c>
      <c r="CD52" s="1">
        <v>3475</v>
      </c>
      <c r="CE52" s="31">
        <f t="shared" si="14"/>
        <v>0</v>
      </c>
      <c r="CF52" s="31">
        <f t="shared" si="2"/>
        <v>0</v>
      </c>
      <c r="CG52" s="31">
        <f t="shared" si="3"/>
        <v>0</v>
      </c>
      <c r="CH52" s="31">
        <f t="shared" si="4"/>
        <v>0</v>
      </c>
      <c r="CI52" s="31">
        <f t="shared" si="5"/>
        <v>0</v>
      </c>
      <c r="CJ52" s="31">
        <f t="shared" si="6"/>
        <v>0</v>
      </c>
      <c r="CK52" s="31">
        <f t="shared" si="7"/>
        <v>0</v>
      </c>
      <c r="CL52" s="31">
        <f t="shared" si="8"/>
        <v>0</v>
      </c>
      <c r="CM52" s="31">
        <f t="shared" si="9"/>
        <v>0</v>
      </c>
      <c r="CN52" s="31">
        <f t="shared" si="10"/>
        <v>0</v>
      </c>
      <c r="CO52" s="31">
        <f t="shared" si="11"/>
        <v>0</v>
      </c>
      <c r="CP52" s="31">
        <f t="shared" si="12"/>
        <v>0</v>
      </c>
    </row>
    <row r="53" spans="1:94" ht="16.2" thickBot="1">
      <c r="A53" s="28">
        <v>3675</v>
      </c>
      <c r="B53" s="29">
        <v>0</v>
      </c>
      <c r="C53" s="29">
        <v>0</v>
      </c>
      <c r="D53" s="22">
        <v>0</v>
      </c>
      <c r="E53" s="22">
        <v>0</v>
      </c>
      <c r="G53" s="29">
        <f>IF(ISBLANK('User Interface (Start Here!)'!$L$4),commercial!B53,commercial!C53)</f>
        <v>0</v>
      </c>
      <c r="H53" s="22">
        <f>IF(ISBLANK('User Interface (Start Here!)'!$L$4),commercial!D53,commercial!E53)</f>
        <v>0</v>
      </c>
      <c r="I53" s="40">
        <f>(G53+H53)*'User Interface (Start Here!)'!$L$10</f>
        <v>0</v>
      </c>
      <c r="J53" s="2">
        <f>IF(VLOOKUP(A53,'User Interface (Start Here!)'!$DO$2:$DP$73,2,FALSE)&lt;&gt;0,1,0)</f>
        <v>0</v>
      </c>
      <c r="K53" s="41">
        <f>IF(AND(J53=1,ISBLANK('User Interface (Start Here!)'!$L$14),ISBLANK('User Interface (Start Here!)'!$M$14),ISBLANK('User Interface (Start Here!)'!$N$14)),100%*'User Interface (Start Here!)'!$L$30,IF(J53=1,VLOOKUP(A53,'Bathymetric Closures'!$A$2:$C$57,3,FALSE)*'User Interface (Start Here!)'!$L$30,0%))</f>
        <v>0</v>
      </c>
      <c r="L53" s="50">
        <f>IF(ISBLANK('User Interface (Start Here!)'!#REF!),$I53*VLOOKUP($A53,$BA$5:$BM$60,L$2+1,FALSE),$I53*VLOOKUP($A53,$CD$6:$CP$60,L$2+1,FALSE))</f>
        <v>0</v>
      </c>
      <c r="M53" s="50">
        <f>IF(ISBLANK('User Interface (Start Here!)'!#REF!),$I53*VLOOKUP($A53,$BA$5:$BM$60,M$2+1,FALSE),$I53*VLOOKUP($A53,$CD$6:$CP$60,M$2+1,FALSE))</f>
        <v>0</v>
      </c>
      <c r="N53" s="50">
        <f>IF(ISBLANK('User Interface (Start Here!)'!#REF!),$I53*VLOOKUP($A53,$BA$5:$BM$60,N$2+1,FALSE),$I53*VLOOKUP($A53,$CD$6:$CP$60,N$2+1,FALSE))</f>
        <v>0</v>
      </c>
      <c r="O53" s="50">
        <f>IF(ISBLANK('User Interface (Start Here!)'!#REF!),$I53*VLOOKUP($A53,$BA$5:$BM$60,O$2+1,FALSE),$I53*VLOOKUP($A53,$CD$6:$CP$60,O$2+1,FALSE))</f>
        <v>0</v>
      </c>
      <c r="P53" s="50">
        <f>IF(ISBLANK('User Interface (Start Here!)'!#REF!),$I53*VLOOKUP($A53,$BA$5:$BM$60,P$2+1,FALSE),$I53*VLOOKUP($A53,$CD$6:$CP$60,P$2+1,FALSE))</f>
        <v>0</v>
      </c>
      <c r="Q53" s="50">
        <f>IF(ISBLANK('User Interface (Start Here!)'!#REF!),$I53*VLOOKUP($A53,$BA$5:$BM$60,Q$2+1,FALSE),$I53*VLOOKUP($A53,$CD$6:$CP$60,Q$2+1,FALSE))</f>
        <v>0</v>
      </c>
      <c r="R53" s="50">
        <f>IF(ISBLANK('User Interface (Start Here!)'!#REF!),$I53*VLOOKUP($A53,$BA$5:$BM$60,R$2+1,FALSE),$I53*VLOOKUP($A53,$CD$6:$CP$60,R$2+1,FALSE))</f>
        <v>0</v>
      </c>
      <c r="S53" s="50">
        <f>IF(ISBLANK('User Interface (Start Here!)'!#REF!),$I53*VLOOKUP($A53,$BA$5:$BM$60,S$2+1,FALSE),$I53*VLOOKUP($A53,$CD$6:$CP$60,S$2+1,FALSE))</f>
        <v>0</v>
      </c>
      <c r="T53" s="50">
        <f>IF(ISBLANK('User Interface (Start Here!)'!#REF!),$I53*VLOOKUP($A53,$BA$5:$BM$60,T$2+1,FALSE),$I53*VLOOKUP($A53,$CD$6:$CP$60,T$2+1,FALSE))</f>
        <v>0</v>
      </c>
      <c r="U53" s="50">
        <f>IF(ISBLANK('User Interface (Start Here!)'!#REF!),$I53*VLOOKUP($A53,$BA$5:$BM$60,U$2+1,FALSE),$I53*VLOOKUP($A53,$CD$6:$CP$60,U$2+1,FALSE))</f>
        <v>0</v>
      </c>
      <c r="V53" s="50">
        <f>IF(ISBLANK('User Interface (Start Here!)'!#REF!),$I53*VLOOKUP($A53,$BA$5:$BM$60,V$2+1,FALSE),$I53*VLOOKUP($A53,$CD$6:$CP$60,V$2+1,FALSE))</f>
        <v>0</v>
      </c>
      <c r="W53" s="50">
        <f>IF(ISBLANK('User Interface (Start Here!)'!#REF!),$I53*VLOOKUP($A53,$BA$5:$BM$60,W$2+1,FALSE),$I53*VLOOKUP($A53,$CD$6:$CP$60,W$2+1,FALSE))</f>
        <v>0</v>
      </c>
      <c r="X53" s="51">
        <f>IF($J53&lt;&gt;1,L53,IF(VLOOKUP($A53,'User Interface (Start Here!)'!$B$18:$N$28,X$2+1,FALSE)&lt;&gt;100%,L53-VLOOKUP($A53,'User Interface (Start Here!)'!$B$18:$N$28,X$2+1,FALSE)/'User Interface (Start Here!)'!$L$35*$K53*L53,L53-VLOOKUP($A53,'User Interface (Start Here!)'!$B$18:$N$28,X$2+1,FALSE)*$K53*L53))</f>
        <v>0</v>
      </c>
      <c r="Y53" s="52">
        <f>IF($J53&lt;&gt;1,M53,IF(VLOOKUP($A53,'User Interface (Start Here!)'!$B$18:$N$28,Y$2+1,FALSE)&lt;&gt;100%,M53-VLOOKUP($A53,'User Interface (Start Here!)'!$B$18:$N$28,Y$2+1,FALSE)/'User Interface (Start Here!)'!$L$35*$K53*M53,M53-VLOOKUP($A53,'User Interface (Start Here!)'!$B$18:$N$28,Y$2+1,FALSE)*$K53*M53))</f>
        <v>0</v>
      </c>
      <c r="Z53" s="52">
        <f>IF($J53&lt;&gt;1,N53,IF(VLOOKUP($A53,'User Interface (Start Here!)'!$B$18:$N$28,Z$2+1,FALSE)&lt;&gt;100%,N53-VLOOKUP($A53,'User Interface (Start Here!)'!$B$18:$N$28,Z$2+1,FALSE)/'User Interface (Start Here!)'!$L$35*$K53*N53,N53-VLOOKUP($A53,'User Interface (Start Here!)'!$B$18:$N$28,Z$2+1,FALSE)*$K53*N53))</f>
        <v>0</v>
      </c>
      <c r="AA53" s="52">
        <f>IF($J53&lt;&gt;1,O53,IF(VLOOKUP($A53,'User Interface (Start Here!)'!$B$18:$N$28,AA$2+1,FALSE)&lt;&gt;100%,O53-VLOOKUP($A53,'User Interface (Start Here!)'!$B$18:$N$28,AA$2+1,FALSE)/'User Interface (Start Here!)'!$L$35*$K53*O53,O53-VLOOKUP($A53,'User Interface (Start Here!)'!$B$18:$N$28,AA$2+1,FALSE)*$K53*O53))</f>
        <v>0</v>
      </c>
      <c r="AB53" s="52">
        <f>IF($J53&lt;&gt;1,P53,IF(VLOOKUP($A53,'User Interface (Start Here!)'!$B$18:$N$28,AB$2+1,FALSE)&lt;&gt;100%,P53-VLOOKUP($A53,'User Interface (Start Here!)'!$B$18:$N$28,AB$2+1,FALSE)/'User Interface (Start Here!)'!$L$35*$K53*P53,P53-VLOOKUP($A53,'User Interface (Start Here!)'!$B$18:$N$28,AB$2+1,FALSE)*$K53*P53))</f>
        <v>0</v>
      </c>
      <c r="AC53" s="52">
        <f>IF($J53&lt;&gt;1,Q53,IF(VLOOKUP($A53,'User Interface (Start Here!)'!$B$18:$N$28,AC$2+1,FALSE)&lt;&gt;100%,Q53-VLOOKUP($A53,'User Interface (Start Here!)'!$B$18:$N$28,AC$2+1,FALSE)/'User Interface (Start Here!)'!$L$35*$K53*Q53,Q53-VLOOKUP($A53,'User Interface (Start Here!)'!$B$18:$N$28,AC$2+1,FALSE)*$K53*Q53))</f>
        <v>0</v>
      </c>
      <c r="AD53" s="52">
        <f>IF($J53&lt;&gt;1,R53,IF(VLOOKUP($A53,'User Interface (Start Here!)'!$B$18:$N$28,AD$2+1,FALSE)&lt;&gt;100%,R53-VLOOKUP($A53,'User Interface (Start Here!)'!$B$18:$N$28,AD$2+1,FALSE)/'User Interface (Start Here!)'!$L$35*$K53*R53,R53-VLOOKUP($A53,'User Interface (Start Here!)'!$B$18:$N$28,AD$2+1,FALSE)*$K53*R53))</f>
        <v>0</v>
      </c>
      <c r="AE53" s="52">
        <f>IF($J53&lt;&gt;1,S53,IF(VLOOKUP($A53,'User Interface (Start Here!)'!$B$18:$N$28,AE$2+1,FALSE)&lt;&gt;100%,S53-VLOOKUP($A53,'User Interface (Start Here!)'!$B$18:$N$28,AE$2+1,FALSE)/'User Interface (Start Here!)'!$L$35*$K53*S53,S53-VLOOKUP($A53,'User Interface (Start Here!)'!$B$18:$N$28,AE$2+1,FALSE)*$K53*S53))</f>
        <v>0</v>
      </c>
      <c r="AF53" s="52">
        <f>IF($J53&lt;&gt;1,T53,IF(VLOOKUP($A53,'User Interface (Start Here!)'!$B$18:$N$28,AF$2+1,FALSE)&lt;&gt;100%,T53-VLOOKUP($A53,'User Interface (Start Here!)'!$B$18:$N$28,AF$2+1,FALSE)/'User Interface (Start Here!)'!$L$35*$K53*T53,T53-VLOOKUP($A53,'User Interface (Start Here!)'!$B$18:$N$28,AF$2+1,FALSE)*$K53*T53))</f>
        <v>0</v>
      </c>
      <c r="AG53" s="52">
        <f>IF($J53&lt;&gt;1,U53,IF(VLOOKUP($A53,'User Interface (Start Here!)'!$B$18:$N$28,AG$2+1,FALSE)&lt;&gt;100%,U53-VLOOKUP($A53,'User Interface (Start Here!)'!$B$18:$N$28,AG$2+1,FALSE)/'User Interface (Start Here!)'!$L$35*$K53*U53,U53-VLOOKUP($A53,'User Interface (Start Here!)'!$B$18:$N$28,AG$2+1,FALSE)*$K53*U53))</f>
        <v>0</v>
      </c>
      <c r="AH53" s="52">
        <f>IF($J53&lt;&gt;1,V53,IF(VLOOKUP($A53,'User Interface (Start Here!)'!$B$18:$N$28,AH$2+1,FALSE)&lt;&gt;100%,V53-VLOOKUP($A53,'User Interface (Start Here!)'!$B$18:$N$28,AH$2+1,FALSE)/'User Interface (Start Here!)'!$L$35*$K53*V53,V53-VLOOKUP($A53,'User Interface (Start Here!)'!$B$18:$N$28,AH$2+1,FALSE)*$K53*V53))</f>
        <v>0</v>
      </c>
      <c r="AI53" s="52">
        <f>IF($J53&lt;&gt;1,W53,IF(VLOOKUP($A53,'User Interface (Start Here!)'!$B$18:$N$28,AI$2+1,FALSE)&lt;&gt;100%,W53-VLOOKUP($A53,'User Interface (Start Here!)'!$B$18:$N$28,AI$2+1,FALSE)/'User Interface (Start Here!)'!$L$35*$K53*W53,W53-VLOOKUP($A53,'User Interface (Start Here!)'!$B$18:$N$28,AI$2+1,FALSE)*$K53*W53))</f>
        <v>0</v>
      </c>
      <c r="AJ53" s="42">
        <f t="shared" si="0"/>
        <v>0</v>
      </c>
      <c r="AL53" s="1">
        <v>3476</v>
      </c>
      <c r="AM53" s="1">
        <v>1.5452399982362985</v>
      </c>
      <c r="AN53" s="1">
        <v>9.5459999829530712E-2</v>
      </c>
      <c r="AO53" s="1">
        <v>0.40726999932527552</v>
      </c>
      <c r="AP53" s="1">
        <v>0.41846999958157538</v>
      </c>
      <c r="AQ53" s="1">
        <v>0.74529999902844424</v>
      </c>
      <c r="AR53" s="1">
        <v>1.2467699981927871</v>
      </c>
      <c r="AS53" s="1">
        <v>0.80903999918699254</v>
      </c>
      <c r="AT53" s="1">
        <v>0.49262999947369102</v>
      </c>
      <c r="AU53" s="1">
        <v>0.25598999983072279</v>
      </c>
      <c r="AV53" s="1">
        <v>0.43653999948501587</v>
      </c>
      <c r="AW53" s="1">
        <v>0.55006499958038324</v>
      </c>
      <c r="AX53" s="1">
        <v>0.42142499938607214</v>
      </c>
      <c r="AY53" s="1">
        <v>7.4241999911367902</v>
      </c>
      <c r="BA53" s="1">
        <v>3476</v>
      </c>
      <c r="BB53" s="31">
        <f t="shared" si="13"/>
        <v>0.20813555670389369</v>
      </c>
      <c r="BC53" s="31">
        <f t="shared" si="15"/>
        <v>1.2857951017415133E-2</v>
      </c>
      <c r="BD53" s="31">
        <f t="shared" si="16"/>
        <v>5.4857088953892054E-2</v>
      </c>
      <c r="BE53" s="31">
        <f t="shared" si="17"/>
        <v>5.6365669039244108E-2</v>
      </c>
      <c r="BF53" s="31">
        <f t="shared" si="18"/>
        <v>0.10038792057301843</v>
      </c>
      <c r="BG53" s="31">
        <f t="shared" si="19"/>
        <v>0.16793324528989179</v>
      </c>
      <c r="BH53" s="31">
        <f t="shared" si="20"/>
        <v>0.10897335741936455</v>
      </c>
      <c r="BI53" s="31">
        <f t="shared" si="21"/>
        <v>6.63546240755645E-2</v>
      </c>
      <c r="BJ53" s="31">
        <f t="shared" si="22"/>
        <v>3.4480482763978686E-2</v>
      </c>
      <c r="BK53" s="31">
        <f t="shared" si="23"/>
        <v>5.8799601304675125E-2</v>
      </c>
      <c r="BL53" s="31">
        <f t="shared" si="24"/>
        <v>7.4090811163097126E-2</v>
      </c>
      <c r="BM53" s="31">
        <f t="shared" si="25"/>
        <v>5.6763691695964638E-2</v>
      </c>
      <c r="BO53" s="1">
        <v>3476</v>
      </c>
      <c r="BP53" s="1">
        <v>1.5284699982404708</v>
      </c>
      <c r="BQ53" s="1">
        <v>6.1049999862909321E-2</v>
      </c>
      <c r="BR53" s="1">
        <v>0.35645305510840808</v>
      </c>
      <c r="BS53" s="1">
        <v>0.12883798765590498</v>
      </c>
      <c r="BT53" s="1">
        <v>0.73029999902844434</v>
      </c>
      <c r="BU53" s="1">
        <v>1.111230940707308</v>
      </c>
      <c r="BV53" s="1">
        <v>0.73283463906872381</v>
      </c>
      <c r="BW53" s="1">
        <v>0.47076237240241836</v>
      </c>
      <c r="BX53" s="1">
        <v>0.25439319898568175</v>
      </c>
      <c r="BY53" s="1">
        <v>0.35328999966382979</v>
      </c>
      <c r="BZ53" s="1">
        <v>0.21279881075876461</v>
      </c>
      <c r="CA53" s="1">
        <v>0</v>
      </c>
      <c r="CB53" s="1">
        <v>5.9404210014828633</v>
      </c>
      <c r="CD53" s="1">
        <v>3476</v>
      </c>
      <c r="CE53" s="31">
        <f t="shared" si="14"/>
        <v>0.25729994521582394</v>
      </c>
      <c r="CF53" s="31">
        <f t="shared" si="2"/>
        <v>1.0277049361934089E-2</v>
      </c>
      <c r="CG53" s="31">
        <f t="shared" si="3"/>
        <v>6.000467896457664E-2</v>
      </c>
      <c r="CH53" s="31">
        <f t="shared" si="4"/>
        <v>2.168835973472993E-2</v>
      </c>
      <c r="CI53" s="31">
        <f t="shared" si="5"/>
        <v>0.12293741451088146</v>
      </c>
      <c r="CJ53" s="31">
        <f t="shared" si="6"/>
        <v>0.18706265775269457</v>
      </c>
      <c r="CK53" s="31">
        <f t="shared" si="7"/>
        <v>0.1233640913473627</v>
      </c>
      <c r="CL53" s="31">
        <f t="shared" si="8"/>
        <v>7.9247307940784911E-2</v>
      </c>
      <c r="CM53" s="31">
        <f t="shared" si="9"/>
        <v>4.2824102689385052E-2</v>
      </c>
      <c r="CN53" s="31">
        <f t="shared" si="10"/>
        <v>5.9472215786665727E-2</v>
      </c>
      <c r="CO53" s="31">
        <f t="shared" si="11"/>
        <v>3.5822176695161037E-2</v>
      </c>
      <c r="CP53" s="31">
        <f t="shared" si="12"/>
        <v>0</v>
      </c>
    </row>
    <row r="54" spans="1:94" ht="16.2" thickTop="1">
      <c r="A54" s="26" t="s">
        <v>24</v>
      </c>
      <c r="B54" s="19">
        <v>107.75033333333334</v>
      </c>
      <c r="C54" s="19">
        <v>53.182374153594708</v>
      </c>
      <c r="D54" s="23">
        <v>25.617571330661001</v>
      </c>
      <c r="E54" s="23">
        <v>12.587374252708836</v>
      </c>
      <c r="G54" s="43">
        <f>IF(ISBLANK('User Interface (Start Here!)'!$L$4),commercial!B54,commercial!C54)</f>
        <v>53.182374153594708</v>
      </c>
      <c r="H54" s="44">
        <f>IF(ISBLANK('User Interface (Start Here!)'!$L$4),commercial!D54,commercial!E54)</f>
        <v>12.587374252708836</v>
      </c>
      <c r="I54" s="40">
        <f>SUM(I3:I53)</f>
        <v>58.978134065598603</v>
      </c>
      <c r="AJ54" s="47">
        <f>SUM(AJ3:AJ53)</f>
        <v>19.670405768583681</v>
      </c>
      <c r="AL54" s="1">
        <v>3477</v>
      </c>
      <c r="AM54" s="1">
        <v>0</v>
      </c>
      <c r="AN54" s="1">
        <v>9.9899999856948848E-2</v>
      </c>
      <c r="AO54" s="1">
        <v>0.11987999986112119</v>
      </c>
      <c r="AP54" s="1">
        <v>4.3844999939203266E-2</v>
      </c>
      <c r="AQ54" s="1">
        <v>0.26861999954283233</v>
      </c>
      <c r="AR54" s="1">
        <v>8.0929999828338622E-2</v>
      </c>
      <c r="AS54" s="1">
        <v>0.22736999985575679</v>
      </c>
      <c r="AT54" s="1">
        <v>9.8469999864697455E-2</v>
      </c>
      <c r="AU54" s="1">
        <v>0.18869999977946283</v>
      </c>
      <c r="AV54" s="1">
        <v>3.4409999981522561E-2</v>
      </c>
      <c r="AW54" s="1">
        <v>2.3309999972581864E-2</v>
      </c>
      <c r="AX54" s="1">
        <v>0.29636999942362308</v>
      </c>
      <c r="AY54" s="1">
        <v>1.481804997906089</v>
      </c>
      <c r="BA54" s="1">
        <v>3477</v>
      </c>
      <c r="BB54" s="31">
        <f t="shared" si="13"/>
        <v>0</v>
      </c>
      <c r="BC54" s="31">
        <f t="shared" si="15"/>
        <v>6.7417777641535614E-2</v>
      </c>
      <c r="BD54" s="31">
        <f t="shared" si="16"/>
        <v>8.0901333191966143E-2</v>
      </c>
      <c r="BE54" s="31">
        <f t="shared" si="17"/>
        <v>2.9588913521792555E-2</v>
      </c>
      <c r="BF54" s="31">
        <f t="shared" si="18"/>
        <v>0.18127891316496722</v>
      </c>
      <c r="BG54" s="31">
        <f t="shared" si="19"/>
        <v>5.4615823230923968E-2</v>
      </c>
      <c r="BH54" s="31">
        <f t="shared" si="20"/>
        <v>0.15344124238820162</v>
      </c>
      <c r="BI54" s="31">
        <f t="shared" si="21"/>
        <v>6.6452738385849405E-2</v>
      </c>
      <c r="BJ54" s="31">
        <f t="shared" si="22"/>
        <v>0.12734469113419869</v>
      </c>
      <c r="BK54" s="31">
        <f t="shared" si="23"/>
        <v>2.3221678986200405E-2</v>
      </c>
      <c r="BL54" s="31">
        <f t="shared" si="24"/>
        <v>1.5730814787047413E-2</v>
      </c>
      <c r="BM54" s="31">
        <f t="shared" si="25"/>
        <v>0.20000607356731689</v>
      </c>
      <c r="BO54" s="1">
        <v>3477</v>
      </c>
      <c r="BP54" s="1">
        <v>0</v>
      </c>
      <c r="BQ54" s="1">
        <v>9.9899999856948848E-2</v>
      </c>
      <c r="BR54" s="1">
        <v>2.330999994277954E-2</v>
      </c>
      <c r="BS54" s="1">
        <v>1.0544999986886978E-2</v>
      </c>
      <c r="BT54" s="1">
        <v>0.26861999954283239</v>
      </c>
      <c r="BU54" s="1">
        <v>8.0929999828338622E-2</v>
      </c>
      <c r="BV54" s="1">
        <v>0.22736999985575673</v>
      </c>
      <c r="BW54" s="1">
        <v>9.8469999864697455E-2</v>
      </c>
      <c r="BX54" s="1">
        <v>0.18869999977946281</v>
      </c>
      <c r="BY54" s="1">
        <v>3.4409999981522561E-2</v>
      </c>
      <c r="BZ54" s="1">
        <v>2.3309999972581864E-2</v>
      </c>
      <c r="CA54" s="1">
        <v>0</v>
      </c>
      <c r="CB54" s="1">
        <v>1.0555649986118076</v>
      </c>
      <c r="CD54" s="1">
        <v>3477</v>
      </c>
      <c r="CE54" s="31">
        <f t="shared" si="14"/>
        <v>0</v>
      </c>
      <c r="CF54" s="31">
        <f t="shared" si="2"/>
        <v>9.4641258461893987E-2</v>
      </c>
      <c r="CG54" s="31">
        <f t="shared" si="3"/>
        <v>2.2082960285188441E-2</v>
      </c>
      <c r="CH54" s="31">
        <f t="shared" si="4"/>
        <v>9.9899106173043772E-3</v>
      </c>
      <c r="CI54" s="31">
        <f t="shared" si="5"/>
        <v>0.25447982823994669</v>
      </c>
      <c r="CJ54" s="31">
        <f t="shared" si="6"/>
        <v>7.6669840260686087E-2</v>
      </c>
      <c r="CK54" s="31">
        <f t="shared" si="7"/>
        <v>0.21540123076719583</v>
      </c>
      <c r="CL54" s="31">
        <f t="shared" si="8"/>
        <v>9.3286533746569006E-2</v>
      </c>
      <c r="CM54" s="31">
        <f t="shared" si="9"/>
        <v>0.17876682158618895</v>
      </c>
      <c r="CN54" s="31">
        <f t="shared" si="10"/>
        <v>3.2598655721604794E-2</v>
      </c>
      <c r="CO54" s="31">
        <f t="shared" si="11"/>
        <v>2.2082960313421968E-2</v>
      </c>
      <c r="CP54" s="31">
        <f t="shared" si="12"/>
        <v>0</v>
      </c>
    </row>
    <row r="55" spans="1:94" ht="16.2" thickBot="1">
      <c r="A55" s="27" t="s">
        <v>25</v>
      </c>
      <c r="B55" s="20">
        <v>1</v>
      </c>
      <c r="C55" s="20">
        <v>0.49357039099889594</v>
      </c>
      <c r="D55" s="24">
        <v>1</v>
      </c>
      <c r="E55" s="24">
        <v>0.49357039099889594</v>
      </c>
      <c r="G55" s="45">
        <f>IF(ISBLANK('User Interface (Start Here!)'!$L$4),commercial!B55,commercial!C55)</f>
        <v>0.49357039099889594</v>
      </c>
      <c r="H55" s="46">
        <f>IF(ISBLANK('User Interface (Start Here!)'!$L$4),commercial!D55,commercial!E55)</f>
        <v>0.49357039099889594</v>
      </c>
      <c r="AL55" s="1">
        <v>3572</v>
      </c>
      <c r="AW55" s="1">
        <v>0</v>
      </c>
      <c r="AY55" s="1">
        <v>0</v>
      </c>
      <c r="BA55" s="1">
        <v>3572</v>
      </c>
      <c r="BB55" s="31">
        <f t="shared" si="13"/>
        <v>0</v>
      </c>
      <c r="BC55" s="31">
        <f t="shared" si="15"/>
        <v>0</v>
      </c>
      <c r="BD55" s="31">
        <f t="shared" si="16"/>
        <v>0</v>
      </c>
      <c r="BE55" s="31">
        <f t="shared" si="17"/>
        <v>0</v>
      </c>
      <c r="BF55" s="31">
        <f t="shared" si="18"/>
        <v>0</v>
      </c>
      <c r="BG55" s="31">
        <f t="shared" si="19"/>
        <v>0</v>
      </c>
      <c r="BH55" s="31">
        <f t="shared" si="20"/>
        <v>0</v>
      </c>
      <c r="BI55" s="31">
        <f t="shared" si="21"/>
        <v>0</v>
      </c>
      <c r="BJ55" s="31">
        <f t="shared" si="22"/>
        <v>0</v>
      </c>
      <c r="BK55" s="31">
        <f t="shared" si="23"/>
        <v>0</v>
      </c>
      <c r="BL55" s="31">
        <f t="shared" si="24"/>
        <v>0</v>
      </c>
      <c r="BM55" s="31">
        <f t="shared" si="25"/>
        <v>0</v>
      </c>
      <c r="BO55" s="1">
        <v>3572</v>
      </c>
      <c r="BZ55" s="1">
        <v>0</v>
      </c>
      <c r="CB55" s="1">
        <v>0</v>
      </c>
      <c r="CD55" s="1">
        <v>3572</v>
      </c>
      <c r="CE55" s="31">
        <f t="shared" si="14"/>
        <v>0</v>
      </c>
      <c r="CF55" s="31">
        <f t="shared" si="2"/>
        <v>0</v>
      </c>
      <c r="CG55" s="31">
        <f t="shared" si="3"/>
        <v>0</v>
      </c>
      <c r="CH55" s="31">
        <f t="shared" si="4"/>
        <v>0</v>
      </c>
      <c r="CI55" s="31">
        <f t="shared" si="5"/>
        <v>0</v>
      </c>
      <c r="CJ55" s="31">
        <f t="shared" si="6"/>
        <v>0</v>
      </c>
      <c r="CK55" s="31">
        <f t="shared" si="7"/>
        <v>0</v>
      </c>
      <c r="CL55" s="31">
        <f t="shared" si="8"/>
        <v>0</v>
      </c>
      <c r="CM55" s="31">
        <f t="shared" si="9"/>
        <v>0</v>
      </c>
      <c r="CN55" s="31">
        <f t="shared" si="10"/>
        <v>0</v>
      </c>
      <c r="CO55" s="31">
        <f t="shared" si="11"/>
        <v>0</v>
      </c>
      <c r="CP55" s="31">
        <f t="shared" si="12"/>
        <v>0</v>
      </c>
    </row>
    <row r="56" spans="1:94" ht="16.2" thickTop="1">
      <c r="AL56" s="1">
        <v>3573</v>
      </c>
      <c r="AO56" s="1">
        <v>0</v>
      </c>
      <c r="AY56" s="1">
        <v>0</v>
      </c>
      <c r="BA56" s="1">
        <v>3573</v>
      </c>
      <c r="BB56" s="31">
        <f t="shared" si="13"/>
        <v>0</v>
      </c>
      <c r="BC56" s="31">
        <f t="shared" si="15"/>
        <v>0</v>
      </c>
      <c r="BD56" s="31">
        <f t="shared" si="16"/>
        <v>0</v>
      </c>
      <c r="BE56" s="31">
        <f t="shared" si="17"/>
        <v>0</v>
      </c>
      <c r="BF56" s="31">
        <f t="shared" si="18"/>
        <v>0</v>
      </c>
      <c r="BG56" s="31">
        <f t="shared" si="19"/>
        <v>0</v>
      </c>
      <c r="BH56" s="31">
        <f t="shared" si="20"/>
        <v>0</v>
      </c>
      <c r="BI56" s="31">
        <f t="shared" si="21"/>
        <v>0</v>
      </c>
      <c r="BJ56" s="31">
        <f t="shared" si="22"/>
        <v>0</v>
      </c>
      <c r="BK56" s="31">
        <f t="shared" si="23"/>
        <v>0</v>
      </c>
      <c r="BL56" s="31">
        <f t="shared" si="24"/>
        <v>0</v>
      </c>
      <c r="BM56" s="31">
        <f t="shared" si="25"/>
        <v>0</v>
      </c>
      <c r="BO56" s="1">
        <v>3573</v>
      </c>
      <c r="BR56" s="1">
        <v>0</v>
      </c>
      <c r="CB56" s="1">
        <v>0</v>
      </c>
      <c r="CD56" s="1">
        <v>3573</v>
      </c>
      <c r="CE56" s="31">
        <f t="shared" si="14"/>
        <v>0</v>
      </c>
      <c r="CF56" s="31">
        <f t="shared" si="2"/>
        <v>0</v>
      </c>
      <c r="CG56" s="31">
        <f t="shared" si="3"/>
        <v>0</v>
      </c>
      <c r="CH56" s="31">
        <f t="shared" si="4"/>
        <v>0</v>
      </c>
      <c r="CI56" s="31">
        <f t="shared" si="5"/>
        <v>0</v>
      </c>
      <c r="CJ56" s="31">
        <f t="shared" si="6"/>
        <v>0</v>
      </c>
      <c r="CK56" s="31">
        <f t="shared" si="7"/>
        <v>0</v>
      </c>
      <c r="CL56" s="31">
        <f t="shared" si="8"/>
        <v>0</v>
      </c>
      <c r="CM56" s="31">
        <f t="shared" si="9"/>
        <v>0</v>
      </c>
      <c r="CN56" s="31">
        <f t="shared" si="10"/>
        <v>0</v>
      </c>
      <c r="CO56" s="31">
        <f t="shared" si="11"/>
        <v>0</v>
      </c>
      <c r="CP56" s="31">
        <f t="shared" si="12"/>
        <v>0</v>
      </c>
    </row>
    <row r="57" spans="1:94">
      <c r="AL57" s="1">
        <v>3574</v>
      </c>
      <c r="AM57" s="1">
        <v>0</v>
      </c>
      <c r="AN57" s="1">
        <v>0</v>
      </c>
      <c r="AO57" s="1">
        <v>0</v>
      </c>
      <c r="AP57" s="1">
        <v>0</v>
      </c>
      <c r="AQ57" s="1">
        <v>0</v>
      </c>
      <c r="AR57" s="1">
        <v>3.9959999918937686E-2</v>
      </c>
      <c r="AS57" s="1">
        <v>0</v>
      </c>
      <c r="AT57" s="1">
        <v>0</v>
      </c>
      <c r="AU57" s="1">
        <v>0</v>
      </c>
      <c r="AV57" s="1">
        <v>0</v>
      </c>
      <c r="AW57" s="1">
        <v>0</v>
      </c>
      <c r="AX57" s="1">
        <v>0</v>
      </c>
      <c r="AY57" s="1">
        <v>3.9959999918937686E-2</v>
      </c>
      <c r="BA57" s="1">
        <v>3574</v>
      </c>
      <c r="BB57" s="31">
        <f t="shared" si="13"/>
        <v>0</v>
      </c>
      <c r="BC57" s="31">
        <f t="shared" si="15"/>
        <v>0</v>
      </c>
      <c r="BD57" s="31">
        <f t="shared" si="16"/>
        <v>0</v>
      </c>
      <c r="BE57" s="31">
        <f t="shared" si="17"/>
        <v>0</v>
      </c>
      <c r="BF57" s="31">
        <f t="shared" si="18"/>
        <v>0</v>
      </c>
      <c r="BG57" s="31">
        <f t="shared" si="19"/>
        <v>1</v>
      </c>
      <c r="BH57" s="31">
        <f t="shared" si="20"/>
        <v>0</v>
      </c>
      <c r="BI57" s="31">
        <f t="shared" si="21"/>
        <v>0</v>
      </c>
      <c r="BJ57" s="31">
        <f t="shared" si="22"/>
        <v>0</v>
      </c>
      <c r="BK57" s="31">
        <f t="shared" si="23"/>
        <v>0</v>
      </c>
      <c r="BL57" s="31">
        <f t="shared" si="24"/>
        <v>0</v>
      </c>
      <c r="BM57" s="31">
        <f t="shared" si="25"/>
        <v>0</v>
      </c>
      <c r="BO57" s="1">
        <v>3574</v>
      </c>
      <c r="BP57" s="1">
        <v>0</v>
      </c>
      <c r="BQ57" s="1">
        <v>0</v>
      </c>
      <c r="BR57" s="1">
        <v>0</v>
      </c>
      <c r="BS57" s="1">
        <v>0</v>
      </c>
      <c r="BT57" s="1">
        <v>0</v>
      </c>
      <c r="BU57" s="1">
        <v>3.9959999918937686E-2</v>
      </c>
      <c r="BV57" s="1">
        <v>0</v>
      </c>
      <c r="BW57" s="1">
        <v>0</v>
      </c>
      <c r="BX57" s="1">
        <v>0</v>
      </c>
      <c r="BY57" s="1">
        <v>0</v>
      </c>
      <c r="BZ57" s="1">
        <v>0</v>
      </c>
      <c r="CA57" s="1">
        <v>0</v>
      </c>
      <c r="CB57" s="1">
        <v>3.9959999918937686E-2</v>
      </c>
      <c r="CD57" s="1">
        <v>3574</v>
      </c>
      <c r="CE57" s="31">
        <f t="shared" si="14"/>
        <v>0</v>
      </c>
      <c r="CF57" s="31">
        <f t="shared" si="2"/>
        <v>0</v>
      </c>
      <c r="CG57" s="31">
        <f t="shared" si="3"/>
        <v>0</v>
      </c>
      <c r="CH57" s="31">
        <f t="shared" si="4"/>
        <v>0</v>
      </c>
      <c r="CI57" s="31">
        <f t="shared" si="5"/>
        <v>0</v>
      </c>
      <c r="CJ57" s="31">
        <f t="shared" si="6"/>
        <v>1</v>
      </c>
      <c r="CK57" s="31">
        <f t="shared" si="7"/>
        <v>0</v>
      </c>
      <c r="CL57" s="31">
        <f t="shared" si="8"/>
        <v>0</v>
      </c>
      <c r="CM57" s="31">
        <f t="shared" si="9"/>
        <v>0</v>
      </c>
      <c r="CN57" s="31">
        <f t="shared" si="10"/>
        <v>0</v>
      </c>
      <c r="CO57" s="31">
        <f t="shared" si="11"/>
        <v>0</v>
      </c>
      <c r="CP57" s="31">
        <f t="shared" si="12"/>
        <v>0</v>
      </c>
    </row>
    <row r="58" spans="1:94">
      <c r="A58" s="34" t="s">
        <v>26</v>
      </c>
      <c r="B58" s="34"/>
      <c r="AL58" s="1">
        <v>3575</v>
      </c>
      <c r="AM58" s="1">
        <v>0</v>
      </c>
      <c r="AN58" s="1">
        <v>0</v>
      </c>
      <c r="AO58" s="1">
        <v>0</v>
      </c>
      <c r="AP58" s="1">
        <v>2.2199999988079071E-2</v>
      </c>
      <c r="AQ58" s="1">
        <v>7.7699999898672101E-2</v>
      </c>
      <c r="AR58" s="1">
        <v>0</v>
      </c>
      <c r="AS58" s="1">
        <v>7.7699999958276752E-3</v>
      </c>
      <c r="AT58" s="1">
        <v>0</v>
      </c>
      <c r="AU58" s="1">
        <v>1.1099999994039536E-2</v>
      </c>
      <c r="AV58" s="1">
        <v>0</v>
      </c>
      <c r="AW58" s="1">
        <v>0</v>
      </c>
      <c r="AX58" s="1">
        <v>0</v>
      </c>
      <c r="AY58" s="1">
        <v>0.11876999987661838</v>
      </c>
      <c r="BA58" s="1">
        <v>3575</v>
      </c>
      <c r="BB58" s="31">
        <f t="shared" si="13"/>
        <v>0</v>
      </c>
      <c r="BC58" s="31">
        <f t="shared" si="15"/>
        <v>0</v>
      </c>
      <c r="BD58" s="31">
        <f t="shared" si="16"/>
        <v>0</v>
      </c>
      <c r="BE58" s="31">
        <f t="shared" si="17"/>
        <v>0.18691588794427091</v>
      </c>
      <c r="BF58" s="31">
        <f t="shared" si="18"/>
        <v>0.65420560730309885</v>
      </c>
      <c r="BG58" s="31">
        <f t="shared" si="19"/>
        <v>0</v>
      </c>
      <c r="BH58" s="31">
        <f t="shared" si="20"/>
        <v>6.5420560780494824E-2</v>
      </c>
      <c r="BI58" s="31">
        <f t="shared" si="21"/>
        <v>0</v>
      </c>
      <c r="BJ58" s="31">
        <f t="shared" si="22"/>
        <v>9.3457943972135457E-2</v>
      </c>
      <c r="BK58" s="31">
        <f t="shared" si="23"/>
        <v>0</v>
      </c>
      <c r="BL58" s="31">
        <f t="shared" si="24"/>
        <v>0</v>
      </c>
      <c r="BM58" s="31">
        <f t="shared" si="25"/>
        <v>0</v>
      </c>
      <c r="BO58" s="1">
        <v>3575</v>
      </c>
      <c r="BP58" s="1">
        <v>0</v>
      </c>
      <c r="BQ58" s="1">
        <v>0</v>
      </c>
      <c r="BR58" s="1">
        <v>0</v>
      </c>
      <c r="BS58" s="1">
        <v>1.2974868510272278E-2</v>
      </c>
      <c r="BT58" s="1">
        <v>2.1240508448269406E-2</v>
      </c>
      <c r="BU58" s="1">
        <v>0</v>
      </c>
      <c r="BV58" s="1">
        <v>9.4744543400327385E-4</v>
      </c>
      <c r="BW58" s="1">
        <v>0</v>
      </c>
      <c r="BX58" s="1">
        <v>1.1099999994039536E-2</v>
      </c>
      <c r="BY58" s="1">
        <v>0</v>
      </c>
      <c r="BZ58" s="1">
        <v>0</v>
      </c>
      <c r="CA58" s="1">
        <v>0</v>
      </c>
      <c r="CB58" s="1">
        <v>4.6262822386584496E-2</v>
      </c>
      <c r="CD58" s="1">
        <v>3575</v>
      </c>
      <c r="CE58" s="31">
        <f t="shared" si="14"/>
        <v>0</v>
      </c>
      <c r="CF58" s="31">
        <f t="shared" si="2"/>
        <v>0</v>
      </c>
      <c r="CG58" s="31">
        <f t="shared" si="3"/>
        <v>0</v>
      </c>
      <c r="CH58" s="31">
        <f t="shared" si="4"/>
        <v>0.28045994258307055</v>
      </c>
      <c r="CI58" s="31">
        <f t="shared" si="5"/>
        <v>0.45912694800109788</v>
      </c>
      <c r="CJ58" s="31">
        <f t="shared" si="6"/>
        <v>0</v>
      </c>
      <c r="CK58" s="31">
        <f t="shared" si="7"/>
        <v>2.0479628892637956E-2</v>
      </c>
      <c r="CL58" s="31">
        <f t="shared" si="8"/>
        <v>0</v>
      </c>
      <c r="CM58" s="31">
        <f t="shared" si="9"/>
        <v>0.2399334805231936</v>
      </c>
      <c r="CN58" s="31">
        <f t="shared" si="10"/>
        <v>0</v>
      </c>
      <c r="CO58" s="31">
        <f t="shared" si="11"/>
        <v>0</v>
      </c>
      <c r="CP58" s="31">
        <f t="shared" si="12"/>
        <v>0</v>
      </c>
    </row>
    <row r="59" spans="1:94">
      <c r="A59" s="35" t="s">
        <v>28</v>
      </c>
      <c r="B59" s="35"/>
      <c r="AL59" s="1">
        <v>3674</v>
      </c>
      <c r="AN59" s="1">
        <v>0</v>
      </c>
      <c r="AO59" s="1">
        <v>0</v>
      </c>
      <c r="AW59" s="1">
        <v>0</v>
      </c>
      <c r="AX59" s="1">
        <v>0</v>
      </c>
      <c r="AY59" s="1">
        <v>0</v>
      </c>
      <c r="BA59" s="1">
        <v>3674</v>
      </c>
      <c r="BB59" s="31">
        <f t="shared" si="13"/>
        <v>0</v>
      </c>
      <c r="BC59" s="31">
        <f t="shared" si="15"/>
        <v>0</v>
      </c>
      <c r="BD59" s="31">
        <f t="shared" si="16"/>
        <v>0</v>
      </c>
      <c r="BE59" s="31">
        <f t="shared" si="17"/>
        <v>0</v>
      </c>
      <c r="BF59" s="31">
        <f t="shared" si="18"/>
        <v>0</v>
      </c>
      <c r="BG59" s="31">
        <f t="shared" si="19"/>
        <v>0</v>
      </c>
      <c r="BH59" s="31">
        <f t="shared" si="20"/>
        <v>0</v>
      </c>
      <c r="BI59" s="31">
        <f t="shared" si="21"/>
        <v>0</v>
      </c>
      <c r="BJ59" s="31">
        <f t="shared" si="22"/>
        <v>0</v>
      </c>
      <c r="BK59" s="31">
        <f t="shared" si="23"/>
        <v>0</v>
      </c>
      <c r="BL59" s="31">
        <f t="shared" si="24"/>
        <v>0</v>
      </c>
      <c r="BM59" s="31">
        <f t="shared" si="25"/>
        <v>0</v>
      </c>
      <c r="BO59" s="1">
        <v>3674</v>
      </c>
      <c r="BQ59" s="1">
        <v>0</v>
      </c>
      <c r="BR59" s="1">
        <v>0</v>
      </c>
      <c r="BZ59" s="1">
        <v>0</v>
      </c>
      <c r="CA59" s="1">
        <v>0</v>
      </c>
      <c r="CB59" s="1">
        <v>0</v>
      </c>
      <c r="CD59" s="1">
        <v>3674</v>
      </c>
      <c r="CE59" s="31">
        <f t="shared" si="14"/>
        <v>0</v>
      </c>
      <c r="CF59" s="31">
        <f t="shared" si="2"/>
        <v>0</v>
      </c>
      <c r="CG59" s="31">
        <f t="shared" si="3"/>
        <v>0</v>
      </c>
      <c r="CH59" s="31">
        <f t="shared" si="4"/>
        <v>0</v>
      </c>
      <c r="CI59" s="31">
        <f t="shared" si="5"/>
        <v>0</v>
      </c>
      <c r="CJ59" s="31">
        <f t="shared" si="6"/>
        <v>0</v>
      </c>
      <c r="CK59" s="31">
        <f t="shared" si="7"/>
        <v>0</v>
      </c>
      <c r="CL59" s="31">
        <f t="shared" si="8"/>
        <v>0</v>
      </c>
      <c r="CM59" s="31">
        <f t="shared" si="9"/>
        <v>0</v>
      </c>
      <c r="CN59" s="31">
        <f t="shared" si="10"/>
        <v>0</v>
      </c>
      <c r="CO59" s="31">
        <f t="shared" si="11"/>
        <v>0</v>
      </c>
      <c r="CP59" s="31">
        <f t="shared" si="12"/>
        <v>0</v>
      </c>
    </row>
    <row r="60" spans="1:94">
      <c r="A60" s="1"/>
      <c r="B60" s="1"/>
      <c r="AL60" s="1">
        <v>3675</v>
      </c>
      <c r="AM60" s="1">
        <v>0</v>
      </c>
      <c r="AN60" s="1">
        <v>0</v>
      </c>
      <c r="AO60" s="1">
        <v>0</v>
      </c>
      <c r="AP60" s="1">
        <v>0</v>
      </c>
      <c r="AQ60" s="1">
        <v>0</v>
      </c>
      <c r="AW60" s="1">
        <v>0</v>
      </c>
      <c r="AX60" s="1">
        <v>0</v>
      </c>
      <c r="AY60" s="1">
        <v>0</v>
      </c>
      <c r="BA60" s="1">
        <v>3675</v>
      </c>
      <c r="BB60" s="31">
        <f t="shared" si="13"/>
        <v>0</v>
      </c>
      <c r="BC60" s="31">
        <f t="shared" si="15"/>
        <v>0</v>
      </c>
      <c r="BD60" s="31">
        <f t="shared" si="16"/>
        <v>0</v>
      </c>
      <c r="BE60" s="31">
        <f t="shared" si="17"/>
        <v>0</v>
      </c>
      <c r="BF60" s="31">
        <f t="shared" si="18"/>
        <v>0</v>
      </c>
      <c r="BG60" s="31">
        <f t="shared" si="19"/>
        <v>0</v>
      </c>
      <c r="BH60" s="31">
        <f t="shared" si="20"/>
        <v>0</v>
      </c>
      <c r="BI60" s="31">
        <f t="shared" si="21"/>
        <v>0</v>
      </c>
      <c r="BJ60" s="31">
        <f t="shared" si="22"/>
        <v>0</v>
      </c>
      <c r="BK60" s="31">
        <f t="shared" si="23"/>
        <v>0</v>
      </c>
      <c r="BL60" s="31">
        <f t="shared" si="24"/>
        <v>0</v>
      </c>
      <c r="BM60" s="31">
        <f t="shared" si="25"/>
        <v>0</v>
      </c>
      <c r="BO60" s="1">
        <v>3675</v>
      </c>
      <c r="BP60" s="1">
        <v>0</v>
      </c>
      <c r="BQ60" s="1">
        <v>0</v>
      </c>
      <c r="BR60" s="1">
        <v>0</v>
      </c>
      <c r="BS60" s="1">
        <v>0</v>
      </c>
      <c r="BT60" s="1">
        <v>0</v>
      </c>
      <c r="BZ60" s="1">
        <v>0</v>
      </c>
      <c r="CA60" s="1">
        <v>0</v>
      </c>
      <c r="CB60" s="1">
        <v>0</v>
      </c>
      <c r="CD60" s="1">
        <v>3675</v>
      </c>
      <c r="CE60" s="31">
        <f t="shared" si="14"/>
        <v>0</v>
      </c>
      <c r="CF60" s="31">
        <f t="shared" si="2"/>
        <v>0</v>
      </c>
      <c r="CG60" s="31">
        <f t="shared" si="3"/>
        <v>0</v>
      </c>
      <c r="CH60" s="31">
        <f t="shared" si="4"/>
        <v>0</v>
      </c>
      <c r="CI60" s="31">
        <f t="shared" si="5"/>
        <v>0</v>
      </c>
      <c r="CJ60" s="31">
        <f t="shared" si="6"/>
        <v>0</v>
      </c>
      <c r="CK60" s="31">
        <f t="shared" si="7"/>
        <v>0</v>
      </c>
      <c r="CL60" s="31">
        <f t="shared" si="8"/>
        <v>0</v>
      </c>
      <c r="CM60" s="31">
        <f t="shared" si="9"/>
        <v>0</v>
      </c>
      <c r="CN60" s="31">
        <f t="shared" si="10"/>
        <v>0</v>
      </c>
      <c r="CO60" s="31">
        <f t="shared" si="11"/>
        <v>0</v>
      </c>
      <c r="CP60" s="31">
        <f t="shared" si="12"/>
        <v>0</v>
      </c>
    </row>
    <row r="61" spans="1:94">
      <c r="A61" s="1" t="s">
        <v>30</v>
      </c>
      <c r="B61" s="1"/>
      <c r="AL61" s="1" t="s">
        <v>24</v>
      </c>
      <c r="AM61" s="1">
        <v>28.109839964911341</v>
      </c>
      <c r="AN61" s="1">
        <v>27.892731959223745</v>
      </c>
      <c r="AO61" s="1">
        <v>22.769576974302531</v>
      </c>
      <c r="AP61" s="1">
        <v>19.919459976792336</v>
      </c>
      <c r="AQ61" s="1">
        <v>32.468717960774903</v>
      </c>
      <c r="AR61" s="1">
        <v>28.965129962086678</v>
      </c>
      <c r="AS61" s="1">
        <v>24.93353997123241</v>
      </c>
      <c r="AT61" s="1">
        <v>18.810989976748825</v>
      </c>
      <c r="AU61" s="1">
        <v>16.368564979806546</v>
      </c>
      <c r="AV61" s="1">
        <v>17.811489976868035</v>
      </c>
      <c r="AW61" s="1">
        <v>25.474714969813824</v>
      </c>
      <c r="AX61" s="1">
        <v>26.209444967702026</v>
      </c>
      <c r="AY61" s="1">
        <v>289.73420164026317</v>
      </c>
      <c r="BA61" s="3"/>
      <c r="BB61" s="33">
        <f>SUM(BB6:BB60)/(SUM($BB$6:$BM$60))</f>
        <v>7.0828235161343747E-2</v>
      </c>
      <c r="BC61" s="33">
        <f t="shared" ref="BC61:BM61" si="26">SUM(BC6:BC60)/(SUM($BB$6:$BM$60))</f>
        <v>0.10107364092086354</v>
      </c>
      <c r="BD61" s="33">
        <f t="shared" si="26"/>
        <v>3.9008005590446981E-2</v>
      </c>
      <c r="BE61" s="33">
        <f t="shared" si="26"/>
        <v>0.10447788933327526</v>
      </c>
      <c r="BF61" s="33">
        <f t="shared" si="26"/>
        <v>0.13714210521889905</v>
      </c>
      <c r="BG61" s="33">
        <f t="shared" si="26"/>
        <v>0.16968000649616896</v>
      </c>
      <c r="BH61" s="33">
        <f t="shared" si="26"/>
        <v>6.8362183652714098E-2</v>
      </c>
      <c r="BI61" s="33">
        <f t="shared" si="26"/>
        <v>5.9786970223462708E-2</v>
      </c>
      <c r="BJ61" s="33">
        <f t="shared" si="26"/>
        <v>4.2546240055209628E-2</v>
      </c>
      <c r="BK61" s="33">
        <f t="shared" si="26"/>
        <v>5.9733409005011617E-2</v>
      </c>
      <c r="BL61" s="33">
        <f t="shared" si="26"/>
        <v>6.4882703882461659E-2</v>
      </c>
      <c r="BM61" s="33">
        <f t="shared" si="26"/>
        <v>8.2478610460142543E-2</v>
      </c>
      <c r="BO61" s="1" t="s">
        <v>24</v>
      </c>
      <c r="BP61" s="1">
        <v>12.93490798535943</v>
      </c>
      <c r="BQ61" s="1">
        <v>7.1161091855935199</v>
      </c>
      <c r="BR61" s="1">
        <v>9.298942932638731</v>
      </c>
      <c r="BS61" s="1">
        <v>6.4005878481106109</v>
      </c>
      <c r="BT61" s="1">
        <v>24.879408225537642</v>
      </c>
      <c r="BU61" s="1">
        <v>16.92938091824232</v>
      </c>
      <c r="BV61" s="1">
        <v>17.060820684874777</v>
      </c>
      <c r="BW61" s="1">
        <v>14.217740482520151</v>
      </c>
      <c r="BX61" s="1">
        <v>13.087674361008649</v>
      </c>
      <c r="BY61" s="1">
        <v>9.7061806811940325</v>
      </c>
      <c r="BZ61" s="1">
        <v>8.1173861481166512</v>
      </c>
      <c r="CA61" s="1">
        <v>3.2963058337924367</v>
      </c>
      <c r="CB61" s="1">
        <v>143.04544528698898</v>
      </c>
      <c r="CD61" s="3"/>
      <c r="CE61" s="33">
        <f>SUM(CE6:CE60)/(SUM($CE$6:$CP$60))</f>
        <v>8.1934609358514154E-2</v>
      </c>
      <c r="CF61" s="33">
        <f t="shared" ref="CF61:CP61" si="27">SUM(CF6:CF60)/(SUM($CE$6:$CP$60))</f>
        <v>8.9348025261443045E-2</v>
      </c>
      <c r="CG61" s="33">
        <f t="shared" si="27"/>
        <v>3.1474736444953723E-2</v>
      </c>
      <c r="CH61" s="33">
        <f t="shared" si="27"/>
        <v>5.2713320761326503E-2</v>
      </c>
      <c r="CI61" s="33">
        <f t="shared" si="27"/>
        <v>0.21133850503622897</v>
      </c>
      <c r="CJ61" s="33">
        <f t="shared" si="27"/>
        <v>0.18666669464995531</v>
      </c>
      <c r="CK61" s="33">
        <f t="shared" si="27"/>
        <v>0.10009257030081717</v>
      </c>
      <c r="CL61" s="33">
        <f t="shared" si="27"/>
        <v>7.440642092737261E-2</v>
      </c>
      <c r="CM61" s="33">
        <f t="shared" si="27"/>
        <v>8.4724113463254466E-2</v>
      </c>
      <c r="CN61" s="33">
        <f t="shared" si="27"/>
        <v>4.2420513325324968E-2</v>
      </c>
      <c r="CO61" s="33">
        <f t="shared" si="27"/>
        <v>3.1155675043787568E-2</v>
      </c>
      <c r="CP61" s="33">
        <f t="shared" si="27"/>
        <v>1.3724815427021007E-2</v>
      </c>
    </row>
    <row r="62" spans="1:94">
      <c r="A62" s="1" t="s">
        <v>31</v>
      </c>
      <c r="B62" s="1"/>
      <c r="BB62" s="2" t="s">
        <v>41</v>
      </c>
      <c r="BC62" s="2" t="s">
        <v>42</v>
      </c>
      <c r="BD62" s="2" t="s">
        <v>43</v>
      </c>
      <c r="BE62" s="2" t="s">
        <v>44</v>
      </c>
      <c r="BF62" s="2" t="s">
        <v>45</v>
      </c>
      <c r="BG62" s="2" t="s">
        <v>46</v>
      </c>
      <c r="BH62" s="2" t="s">
        <v>47</v>
      </c>
      <c r="BI62" s="2" t="s">
        <v>48</v>
      </c>
      <c r="BJ62" s="2" t="s">
        <v>49</v>
      </c>
      <c r="BK62" s="2" t="s">
        <v>50</v>
      </c>
      <c r="BL62" s="2" t="s">
        <v>51</v>
      </c>
      <c r="BM62" s="2" t="s">
        <v>52</v>
      </c>
      <c r="CE62" s="2" t="s">
        <v>41</v>
      </c>
      <c r="CF62" s="2" t="s">
        <v>42</v>
      </c>
      <c r="CG62" s="2" t="s">
        <v>43</v>
      </c>
      <c r="CH62" s="2" t="s">
        <v>44</v>
      </c>
      <c r="CI62" s="2" t="s">
        <v>45</v>
      </c>
      <c r="CJ62" s="2" t="s">
        <v>46</v>
      </c>
      <c r="CK62" s="2" t="s">
        <v>47</v>
      </c>
      <c r="CL62" s="2" t="s">
        <v>48</v>
      </c>
      <c r="CM62" s="2" t="s">
        <v>49</v>
      </c>
      <c r="CN62" s="2" t="s">
        <v>50</v>
      </c>
      <c r="CO62" s="2" t="s">
        <v>51</v>
      </c>
      <c r="CP62" s="2" t="s">
        <v>52</v>
      </c>
    </row>
    <row r="63" spans="1:94">
      <c r="A63" s="1" t="s">
        <v>32</v>
      </c>
      <c r="B63" s="1"/>
    </row>
  </sheetData>
  <mergeCells count="2">
    <mergeCell ref="L1:W1"/>
    <mergeCell ref="X1:AI1"/>
  </mergeCells>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codeName="Sheet3" enableFormatConditionsCalculation="0">
    <tabColor indexed="9"/>
  </sheetPr>
  <dimension ref="A1:BE26"/>
  <sheetViews>
    <sheetView workbookViewId="0">
      <selection activeCell="M3" sqref="M3"/>
    </sheetView>
  </sheetViews>
  <sheetFormatPr defaultRowHeight="13.2"/>
  <cols>
    <col min="3" max="5" width="11.44140625" style="4" bestFit="1" customWidth="1"/>
    <col min="6" max="6" width="12.109375" style="4" bestFit="1" customWidth="1"/>
    <col min="7" max="7" width="11" bestFit="1" customWidth="1"/>
    <col min="10" max="10" width="14.6640625" style="63" bestFit="1" customWidth="1"/>
    <col min="11" max="11" width="16" customWidth="1"/>
    <col min="12" max="12" width="10.6640625" bestFit="1" customWidth="1"/>
    <col min="13" max="13" width="13.109375" bestFit="1" customWidth="1"/>
    <col min="14" max="37" width="10.109375" bestFit="1" customWidth="1"/>
    <col min="38" max="38" width="11.88671875" style="63" bestFit="1" customWidth="1"/>
  </cols>
  <sheetData>
    <row r="1" spans="1:57" ht="16.8" thickTop="1" thickBot="1">
      <c r="C1" s="507" t="s">
        <v>106</v>
      </c>
      <c r="D1" s="508"/>
      <c r="E1" s="509"/>
      <c r="F1" s="88" t="s">
        <v>108</v>
      </c>
      <c r="G1" s="89" t="s">
        <v>110</v>
      </c>
      <c r="H1" s="89" t="s">
        <v>111</v>
      </c>
      <c r="I1" s="90" t="s">
        <v>112</v>
      </c>
      <c r="J1" s="67" t="str">
        <f>IF(AND(ISBLANK('User Interface (Start Here!)'!$M4),ISBLANK('User Interface (Start Here!)'!$L$6)),I1,IF(AND(ISBLANK('User Interface (Start Here!)'!$M4),NOT(ISBLANK('User Interface (Start Here!)'!$L$6))),H1,IF(AND(NOT(ISBLANK('User Interface (Start Here!)'!$M4)),ISBLANK('User Interface (Start Here!)'!$L$6)),G1,F1)))</f>
        <v>A16dt+A17dt</v>
      </c>
      <c r="K1" s="17" t="s">
        <v>76</v>
      </c>
      <c r="L1" s="2"/>
      <c r="M1" s="2"/>
      <c r="N1" s="505" t="s">
        <v>78</v>
      </c>
      <c r="O1" s="505"/>
      <c r="P1" s="505"/>
      <c r="Q1" s="505"/>
      <c r="R1" s="505"/>
      <c r="S1" s="505"/>
      <c r="T1" s="505"/>
      <c r="U1" s="505"/>
      <c r="V1" s="505"/>
      <c r="W1" s="505"/>
      <c r="X1" s="505"/>
      <c r="Y1" s="505"/>
      <c r="Z1" s="506" t="s">
        <v>79</v>
      </c>
      <c r="AA1" s="506"/>
      <c r="AB1" s="506"/>
      <c r="AC1" s="506"/>
      <c r="AD1" s="506"/>
      <c r="AE1" s="506"/>
      <c r="AF1" s="506"/>
      <c r="AG1" s="506"/>
      <c r="AH1" s="506"/>
      <c r="AI1" s="506"/>
      <c r="AJ1" s="506"/>
      <c r="AK1" s="506"/>
      <c r="AL1" s="68" t="s">
        <v>125</v>
      </c>
      <c r="AR1" s="1" t="s">
        <v>119</v>
      </c>
      <c r="AS1" s="1" t="s">
        <v>113</v>
      </c>
      <c r="AT1" s="1" t="s">
        <v>122</v>
      </c>
      <c r="AU1" s="1"/>
      <c r="AV1" s="1"/>
      <c r="AW1" s="1"/>
      <c r="AX1" s="1"/>
      <c r="AY1" s="1"/>
      <c r="AZ1" s="1"/>
      <c r="BA1" s="1"/>
      <c r="BB1" s="1"/>
      <c r="BC1" s="1"/>
      <c r="BD1" s="1"/>
      <c r="BE1" s="1"/>
    </row>
    <row r="2" spans="1:57" ht="16.8" thickTop="1" thickBot="1">
      <c r="A2" s="55" t="s">
        <v>0</v>
      </c>
      <c r="B2" s="56" t="s">
        <v>103</v>
      </c>
      <c r="C2" s="91" t="s">
        <v>104</v>
      </c>
      <c r="D2" s="92" t="s">
        <v>105</v>
      </c>
      <c r="E2" s="93" t="s">
        <v>107</v>
      </c>
      <c r="F2" s="94" t="s">
        <v>109</v>
      </c>
      <c r="G2" s="95" t="s">
        <v>109</v>
      </c>
      <c r="H2" s="95" t="s">
        <v>109</v>
      </c>
      <c r="I2" s="96" t="s">
        <v>109</v>
      </c>
      <c r="J2" s="66" t="str">
        <f>CONCATENATE(IF($J$1=$F$1,F2,IF($J$1=$G$1,G2,IF($J$1=$H$1,H2,IF($J$1=$I$1,I2,"error"))))," (TP)")</f>
        <v>catch (TP)</v>
      </c>
      <c r="K2" s="40" t="s">
        <v>124</v>
      </c>
      <c r="L2" s="28" t="s">
        <v>74</v>
      </c>
      <c r="M2" s="28" t="s">
        <v>75</v>
      </c>
      <c r="N2" s="28">
        <v>1</v>
      </c>
      <c r="O2" s="28">
        <v>2</v>
      </c>
      <c r="P2" s="28">
        <v>3</v>
      </c>
      <c r="Q2" s="28">
        <v>4</v>
      </c>
      <c r="R2" s="28">
        <v>5</v>
      </c>
      <c r="S2" s="28">
        <v>6</v>
      </c>
      <c r="T2" s="28">
        <v>7</v>
      </c>
      <c r="U2" s="28">
        <v>8</v>
      </c>
      <c r="V2" s="28">
        <v>9</v>
      </c>
      <c r="W2" s="28">
        <v>10</v>
      </c>
      <c r="X2" s="28">
        <v>11</v>
      </c>
      <c r="Y2" s="28">
        <v>12</v>
      </c>
      <c r="Z2" s="48">
        <v>1</v>
      </c>
      <c r="AA2" s="28">
        <v>2</v>
      </c>
      <c r="AB2" s="28">
        <v>3</v>
      </c>
      <c r="AC2" s="28">
        <v>4</v>
      </c>
      <c r="AD2" s="28">
        <v>5</v>
      </c>
      <c r="AE2" s="28">
        <v>6</v>
      </c>
      <c r="AF2" s="28">
        <v>7</v>
      </c>
      <c r="AG2" s="28">
        <v>8</v>
      </c>
      <c r="AH2" s="28">
        <v>9</v>
      </c>
      <c r="AI2" s="28">
        <v>10</v>
      </c>
      <c r="AJ2" s="28">
        <v>11</v>
      </c>
      <c r="AK2" s="28">
        <v>12</v>
      </c>
      <c r="AL2" s="78" t="s">
        <v>68</v>
      </c>
      <c r="AR2" s="1" t="s">
        <v>114</v>
      </c>
      <c r="AS2" s="1">
        <v>1</v>
      </c>
      <c r="AT2" s="1">
        <v>2</v>
      </c>
      <c r="AU2" s="1">
        <v>3</v>
      </c>
      <c r="AV2" s="1">
        <v>4</v>
      </c>
      <c r="AW2" s="1">
        <v>5</v>
      </c>
      <c r="AX2" s="1">
        <v>6</v>
      </c>
      <c r="AY2" s="1" t="s">
        <v>24</v>
      </c>
      <c r="AZ2" s="1"/>
      <c r="BA2" s="1"/>
      <c r="BB2" s="1"/>
      <c r="BC2" s="1"/>
      <c r="BD2" s="1"/>
      <c r="BE2" s="1"/>
    </row>
    <row r="3" spans="1:57" ht="16.2" thickTop="1">
      <c r="A3" s="69">
        <v>2679</v>
      </c>
      <c r="B3" s="57" t="s">
        <v>99</v>
      </c>
      <c r="C3" s="97">
        <v>4806.7372537139599</v>
      </c>
      <c r="D3" s="98">
        <v>4712.7075616166185</v>
      </c>
      <c r="E3" s="99">
        <f t="shared" ref="E3:E24" si="0">C3+D3*0.4</f>
        <v>6691.8202783606075</v>
      </c>
      <c r="F3" s="100">
        <v>8904.7021624793106</v>
      </c>
      <c r="G3" s="100">
        <v>8903.9582474481485</v>
      </c>
      <c r="H3" s="100">
        <v>8902.1607058218306</v>
      </c>
      <c r="I3" s="101">
        <v>9354.5047220399683</v>
      </c>
      <c r="J3" s="64">
        <f>IF($J$1=$F$1,F3,IF($J$1=$G$1,G3,IF($J$1=$H$1,H3,IF($J$1=$I$1,I3,"error"))))/1000</f>
        <v>8.9047021624793103</v>
      </c>
      <c r="K3" s="84">
        <f>(J3)*'User Interface (Start Here!)'!$L$8</f>
        <v>3.5618808649917244</v>
      </c>
      <c r="L3" s="2">
        <f>IF(VLOOKUP(A3,'User Interface (Start Here!)'!$DO$2:$DP$73,2,FALSE)&lt;&gt;0,1,0)</f>
        <v>0</v>
      </c>
      <c r="M3" s="41">
        <f>IF(AND(L3=1,ISBLANK('User Interface (Start Here!)'!$L$14),ISBLANK('User Interface (Start Here!)'!$M$14),ISBLANK('User Interface (Start Here!)'!$N$14)),100%*'User Interface (Start Here!)'!$L$30,IF(L3=1,VLOOKUP(A3,'Bathymetric Closures'!$A$2:$C$57,3,FALSE)*'User Interface (Start Here!)'!$L$30,0%))</f>
        <v>0</v>
      </c>
      <c r="N3" s="79">
        <f t="shared" ref="N3:N24" si="1">$K3*VLOOKUP($B3,$AR$18:$BD$23,N$2+1,FALSE)</f>
        <v>0.27093305298150011</v>
      </c>
      <c r="O3" s="79">
        <f t="shared" ref="O3:Y18" si="2">$K3*VLOOKUP($B3,$AR$18:$BD$23,O$2+1,FALSE)</f>
        <v>0.27093305298150011</v>
      </c>
      <c r="P3" s="79">
        <f t="shared" si="2"/>
        <v>0.28639895889920308</v>
      </c>
      <c r="Q3" s="79">
        <f t="shared" si="2"/>
        <v>0.28639895889920308</v>
      </c>
      <c r="R3" s="79">
        <f t="shared" si="2"/>
        <v>0.33245662103961543</v>
      </c>
      <c r="S3" s="79">
        <f t="shared" si="2"/>
        <v>0.33245662103961543</v>
      </c>
      <c r="T3" s="79">
        <f t="shared" si="2"/>
        <v>0.39923706612344151</v>
      </c>
      <c r="U3" s="79">
        <f t="shared" si="2"/>
        <v>0.39923706612344151</v>
      </c>
      <c r="V3" s="79">
        <f t="shared" si="2"/>
        <v>0.21484595841987034</v>
      </c>
      <c r="W3" s="79">
        <f t="shared" si="2"/>
        <v>0.21484595841987034</v>
      </c>
      <c r="X3" s="79">
        <f t="shared" si="2"/>
        <v>0.27706877503223171</v>
      </c>
      <c r="Y3" s="79">
        <f t="shared" si="2"/>
        <v>0.27706877503223171</v>
      </c>
      <c r="Z3" s="80">
        <f>IF($L3&lt;&gt;1,N3,IF(VLOOKUP($A3,'User Interface (Start Here!)'!$B$18:$N$28,Z$2+1,FALSE)&lt;&gt;100%,N3-VLOOKUP($A3,'User Interface (Start Here!)'!$B$18:$N$28,Z$2+1,FALSE)/'User Interface (Start Here!)'!$L$35*$M3*N3,N3-VLOOKUP($A3,'User Interface (Start Here!)'!$B$18:$N$28,Z$2+1,FALSE)*$M3*N3))</f>
        <v>0.27093305298150011</v>
      </c>
      <c r="AA3" s="81">
        <f>IF($L3&lt;&gt;1,O3,IF(VLOOKUP($A3,'User Interface (Start Here!)'!$B$18:$N$28,AA$2+1,FALSE)&lt;&gt;100%,O3-VLOOKUP($A3,'User Interface (Start Here!)'!$B$18:$N$28,AA$2+1,FALSE)/'User Interface (Start Here!)'!$L$35*$M3*O3,O3-VLOOKUP($A3,'User Interface (Start Here!)'!$B$18:$N$28,AA$2+1,FALSE)*$M3*O3))</f>
        <v>0.27093305298150011</v>
      </c>
      <c r="AB3" s="81">
        <f>IF($L3&lt;&gt;1,P3,IF(VLOOKUP($A3,'User Interface (Start Here!)'!$B$18:$N$28,AB$2+1,FALSE)&lt;&gt;100%,P3-VLOOKUP($A3,'User Interface (Start Here!)'!$B$18:$N$28,AB$2+1,FALSE)/'User Interface (Start Here!)'!$L$35*$M3*P3,P3-VLOOKUP($A3,'User Interface (Start Here!)'!$B$18:$N$28,AB$2+1,FALSE)*$M3*P3))</f>
        <v>0.28639895889920308</v>
      </c>
      <c r="AC3" s="81">
        <f>IF($L3&lt;&gt;1,Q3,IF(VLOOKUP($A3,'User Interface (Start Here!)'!$B$18:$N$28,AC$2+1,FALSE)&lt;&gt;100%,Q3-VLOOKUP($A3,'User Interface (Start Here!)'!$B$18:$N$28,AC$2+1,FALSE)/'User Interface (Start Here!)'!$L$35*$M3*Q3,Q3-VLOOKUP($A3,'User Interface (Start Here!)'!$B$18:$N$28,AC$2+1,FALSE)*$M3*Q3))</f>
        <v>0.28639895889920308</v>
      </c>
      <c r="AD3" s="81">
        <f>IF($L3&lt;&gt;1,R3,IF(VLOOKUP($A3,'User Interface (Start Here!)'!$B$18:$N$28,AD$2+1,FALSE)&lt;&gt;100%,R3-VLOOKUP($A3,'User Interface (Start Here!)'!$B$18:$N$28,AD$2+1,FALSE)/'User Interface (Start Here!)'!$L$35*$M3*R3,R3-VLOOKUP($A3,'User Interface (Start Here!)'!$B$18:$N$28,AD$2+1,FALSE)*$M3*R3))</f>
        <v>0.33245662103961543</v>
      </c>
      <c r="AE3" s="81">
        <f>IF($L3&lt;&gt;1,S3,IF(VLOOKUP($A3,'User Interface (Start Here!)'!$B$18:$N$28,AE$2+1,FALSE)&lt;&gt;100%,S3-VLOOKUP($A3,'User Interface (Start Here!)'!$B$18:$N$28,AE$2+1,FALSE)/'User Interface (Start Here!)'!$L$35*$M3*S3,S3-VLOOKUP($A3,'User Interface (Start Here!)'!$B$18:$N$28,AE$2+1,FALSE)*$M3*S3))</f>
        <v>0.33245662103961543</v>
      </c>
      <c r="AF3" s="81">
        <f>IF($L3&lt;&gt;1,T3,IF(VLOOKUP($A3,'User Interface (Start Here!)'!$B$18:$N$28,AF$2+1,FALSE)&lt;&gt;100%,T3-VLOOKUP($A3,'User Interface (Start Here!)'!$B$18:$N$28,AF$2+1,FALSE)/'User Interface (Start Here!)'!$L$35*$M3*T3,T3-VLOOKUP($A3,'User Interface (Start Here!)'!$B$18:$N$28,AF$2+1,FALSE)*$M3*T3))</f>
        <v>0.39923706612344151</v>
      </c>
      <c r="AG3" s="81">
        <f>IF($L3&lt;&gt;1,U3,IF(VLOOKUP($A3,'User Interface (Start Here!)'!$B$18:$N$28,AG$2+1,FALSE)&lt;&gt;100%,U3-VLOOKUP($A3,'User Interface (Start Here!)'!$B$18:$N$28,AG$2+1,FALSE)/'User Interface (Start Here!)'!$L$35*$M3*U3,U3-VLOOKUP($A3,'User Interface (Start Here!)'!$B$18:$N$28,AG$2+1,FALSE)*$M3*U3))</f>
        <v>0.39923706612344151</v>
      </c>
      <c r="AH3" s="81">
        <f>IF($L3&lt;&gt;1,V3,IF(VLOOKUP($A3,'User Interface (Start Here!)'!$B$18:$N$28,AH$2+1,FALSE)&lt;&gt;100%,V3-VLOOKUP($A3,'User Interface (Start Here!)'!$B$18:$N$28,AH$2+1,FALSE)/'User Interface (Start Here!)'!$L$35*$M3*V3,V3-VLOOKUP($A3,'User Interface (Start Here!)'!$B$18:$N$28,AH$2+1,FALSE)*$M3*V3))</f>
        <v>0.21484595841987034</v>
      </c>
      <c r="AI3" s="81">
        <f>IF($L3&lt;&gt;1,W3,IF(VLOOKUP($A3,'User Interface (Start Here!)'!$B$18:$N$28,AI$2+1,FALSE)&lt;&gt;100%,W3-VLOOKUP($A3,'User Interface (Start Here!)'!$B$18:$N$28,AI$2+1,FALSE)/'User Interface (Start Here!)'!$L$35*$M3*W3,W3-VLOOKUP($A3,'User Interface (Start Here!)'!$B$18:$N$28,AI$2+1,FALSE)*$M3*W3))</f>
        <v>0.21484595841987034</v>
      </c>
      <c r="AJ3" s="81">
        <f>IF($L3&lt;&gt;1,X3,IF(VLOOKUP($A3,'User Interface (Start Here!)'!$B$18:$N$28,AJ$2+1,FALSE)&lt;&gt;100%,X3-VLOOKUP($A3,'User Interface (Start Here!)'!$B$18:$N$28,AJ$2+1,FALSE)/'User Interface (Start Here!)'!$L$35*$M3*X3,X3-VLOOKUP($A3,'User Interface (Start Here!)'!$B$18:$N$28,AJ$2+1,FALSE)*$M3*X3))</f>
        <v>0.27706877503223171</v>
      </c>
      <c r="AK3" s="81">
        <f>IF($L3&lt;&gt;1,Y3,IF(VLOOKUP($A3,'User Interface (Start Here!)'!$B$18:$N$28,AK$2+1,FALSE)&lt;&gt;100%,Y3-VLOOKUP($A3,'User Interface (Start Here!)'!$B$18:$N$28,AK$2+1,FALSE)/'User Interface (Start Here!)'!$L$35*$M3*Y3,Y3-VLOOKUP($A3,'User Interface (Start Here!)'!$B$18:$N$28,AK$2+1,FALSE)*$M3*Y3))</f>
        <v>0.27706877503223171</v>
      </c>
      <c r="AL3" s="82">
        <f>SUM(Z3:AK3)</f>
        <v>3.5618808649917248</v>
      </c>
      <c r="AR3" t="s">
        <v>115</v>
      </c>
      <c r="AS3">
        <v>184045</v>
      </c>
      <c r="AT3">
        <v>194551</v>
      </c>
      <c r="AU3">
        <v>225838</v>
      </c>
      <c r="AV3">
        <v>271202</v>
      </c>
      <c r="AW3">
        <v>145945</v>
      </c>
      <c r="AX3">
        <v>188213</v>
      </c>
      <c r="AY3">
        <v>1209794</v>
      </c>
    </row>
    <row r="4" spans="1:57" ht="15.6">
      <c r="A4" s="69">
        <v>2680</v>
      </c>
      <c r="B4" s="57" t="s">
        <v>99</v>
      </c>
      <c r="C4" s="97">
        <v>145.89751810796935</v>
      </c>
      <c r="D4" s="98">
        <v>143.0434618154481</v>
      </c>
      <c r="E4" s="99">
        <f t="shared" si="0"/>
        <v>203.11490283414858</v>
      </c>
      <c r="F4" s="100">
        <v>270.28187238497026</v>
      </c>
      <c r="G4" s="100">
        <v>270.25929254525761</v>
      </c>
      <c r="H4" s="100">
        <v>270.20473227950293</v>
      </c>
      <c r="I4" s="101">
        <v>283.93460054850914</v>
      </c>
      <c r="J4" s="65">
        <f t="shared" ref="J4:J25" si="3">IF($J$1=$F$1,F4,IF($J$1=$G$1,G4,IF($J$1=$H$1,H4,IF($J$1=$I$1,I4,"error"))))/1000</f>
        <v>0.27028187238497026</v>
      </c>
      <c r="K4" s="84">
        <f>(J4)*'User Interface (Start Here!)'!$L$8</f>
        <v>0.10811274895398811</v>
      </c>
      <c r="L4" s="2">
        <f>IF(VLOOKUP(A4,'User Interface (Start Here!)'!$DO$2:$DP$73,2,FALSE)&lt;&gt;0,1,0)</f>
        <v>0</v>
      </c>
      <c r="M4" s="41">
        <f>IF(AND(L4=1,ISBLANK('User Interface (Start Here!)'!$L$14),ISBLANK('User Interface (Start Here!)'!$M$14),ISBLANK('User Interface (Start Here!)'!$N$14)),100%*'User Interface (Start Here!)'!$L$30,IF(L4=1,VLOOKUP(A4,'Bathymetric Closures'!$A$2:$C$57,3,FALSE)*'User Interface (Start Here!)'!$L$30,0%))</f>
        <v>0</v>
      </c>
      <c r="N4" s="79">
        <f t="shared" si="1"/>
        <v>8.2235532996678528E-3</v>
      </c>
      <c r="O4" s="79">
        <f t="shared" si="2"/>
        <v>8.2235532996678528E-3</v>
      </c>
      <c r="P4" s="79">
        <f t="shared" si="2"/>
        <v>8.6929855089987792E-3</v>
      </c>
      <c r="Q4" s="79">
        <f t="shared" si="2"/>
        <v>8.6929855089987792E-3</v>
      </c>
      <c r="R4" s="79">
        <f t="shared" si="2"/>
        <v>1.0090960526449446E-2</v>
      </c>
      <c r="S4" s="79">
        <f t="shared" si="2"/>
        <v>1.0090960526449446E-2</v>
      </c>
      <c r="T4" s="79">
        <f t="shared" si="2"/>
        <v>1.211792823481497E-2</v>
      </c>
      <c r="U4" s="79">
        <f t="shared" si="2"/>
        <v>1.211792823481497E-2</v>
      </c>
      <c r="V4" s="79">
        <f t="shared" si="2"/>
        <v>6.5211577946699163E-3</v>
      </c>
      <c r="W4" s="79">
        <f t="shared" si="2"/>
        <v>6.5211577946699163E-3</v>
      </c>
      <c r="X4" s="79">
        <f t="shared" si="2"/>
        <v>8.409789112393087E-3</v>
      </c>
      <c r="Y4" s="79">
        <f t="shared" si="2"/>
        <v>8.409789112393087E-3</v>
      </c>
      <c r="Z4" s="81">
        <f>IF($L4&lt;&gt;1,N4,IF(VLOOKUP($A4,'User Interface (Start Here!)'!$B$18:$N$28,Z$2+1,FALSE)&lt;&gt;100%,N4-VLOOKUP($A4,'User Interface (Start Here!)'!$B$18:$N$28,Z$2+1,FALSE)/'User Interface (Start Here!)'!$L$35*$M4*N4,N4-VLOOKUP($A4,'User Interface (Start Here!)'!$B$18:$N$28,Z$2+1,FALSE)*$M4*N4))</f>
        <v>8.2235532996678528E-3</v>
      </c>
      <c r="AA4" s="81">
        <f>IF($L4&lt;&gt;1,O4,IF(VLOOKUP($A4,'User Interface (Start Here!)'!$B$18:$N$28,AA$2+1,FALSE)&lt;&gt;100%,O4-VLOOKUP($A4,'User Interface (Start Here!)'!$B$18:$N$28,AA$2+1,FALSE)/'User Interface (Start Here!)'!$L$35*$M4*O4,O4-VLOOKUP($A4,'User Interface (Start Here!)'!$B$18:$N$28,AA$2+1,FALSE)*$M4*O4))</f>
        <v>8.2235532996678528E-3</v>
      </c>
      <c r="AB4" s="81">
        <f>IF($L4&lt;&gt;1,P4,IF(VLOOKUP($A4,'User Interface (Start Here!)'!$B$18:$N$28,AB$2+1,FALSE)&lt;&gt;100%,P4-VLOOKUP($A4,'User Interface (Start Here!)'!$B$18:$N$28,AB$2+1,FALSE)/'User Interface (Start Here!)'!$L$35*$M4*P4,P4-VLOOKUP($A4,'User Interface (Start Here!)'!$B$18:$N$28,AB$2+1,FALSE)*$M4*P4))</f>
        <v>8.6929855089987792E-3</v>
      </c>
      <c r="AC4" s="81">
        <f>IF($L4&lt;&gt;1,Q4,IF(VLOOKUP($A4,'User Interface (Start Here!)'!$B$18:$N$28,AC$2+1,FALSE)&lt;&gt;100%,Q4-VLOOKUP($A4,'User Interface (Start Here!)'!$B$18:$N$28,AC$2+1,FALSE)/'User Interface (Start Here!)'!$L$35*$M4*Q4,Q4-VLOOKUP($A4,'User Interface (Start Here!)'!$B$18:$N$28,AC$2+1,FALSE)*$M4*Q4))</f>
        <v>8.6929855089987792E-3</v>
      </c>
      <c r="AD4" s="81">
        <f>IF($L4&lt;&gt;1,R4,IF(VLOOKUP($A4,'User Interface (Start Here!)'!$B$18:$N$28,AD$2+1,FALSE)&lt;&gt;100%,R4-VLOOKUP($A4,'User Interface (Start Here!)'!$B$18:$N$28,AD$2+1,FALSE)/'User Interface (Start Here!)'!$L$35*$M4*R4,R4-VLOOKUP($A4,'User Interface (Start Here!)'!$B$18:$N$28,AD$2+1,FALSE)*$M4*R4))</f>
        <v>1.0090960526449446E-2</v>
      </c>
      <c r="AE4" s="81">
        <f>IF($L4&lt;&gt;1,S4,IF(VLOOKUP($A4,'User Interface (Start Here!)'!$B$18:$N$28,AE$2+1,FALSE)&lt;&gt;100%,S4-VLOOKUP($A4,'User Interface (Start Here!)'!$B$18:$N$28,AE$2+1,FALSE)/'User Interface (Start Here!)'!$L$35*$M4*S4,S4-VLOOKUP($A4,'User Interface (Start Here!)'!$B$18:$N$28,AE$2+1,FALSE)*$M4*S4))</f>
        <v>1.0090960526449446E-2</v>
      </c>
      <c r="AF4" s="81">
        <f>IF($L4&lt;&gt;1,T4,IF(VLOOKUP($A4,'User Interface (Start Here!)'!$B$18:$N$28,AF$2+1,FALSE)&lt;&gt;100%,T4-VLOOKUP($A4,'User Interface (Start Here!)'!$B$18:$N$28,AF$2+1,FALSE)/'User Interface (Start Here!)'!$L$35*$M4*T4,T4-VLOOKUP($A4,'User Interface (Start Here!)'!$B$18:$N$28,AF$2+1,FALSE)*$M4*T4))</f>
        <v>1.211792823481497E-2</v>
      </c>
      <c r="AG4" s="81">
        <f>IF($L4&lt;&gt;1,U4,IF(VLOOKUP($A4,'User Interface (Start Here!)'!$B$18:$N$28,AG$2+1,FALSE)&lt;&gt;100%,U4-VLOOKUP($A4,'User Interface (Start Here!)'!$B$18:$N$28,AG$2+1,FALSE)/'User Interface (Start Here!)'!$L$35*$M4*U4,U4-VLOOKUP($A4,'User Interface (Start Here!)'!$B$18:$N$28,AG$2+1,FALSE)*$M4*U4))</f>
        <v>1.211792823481497E-2</v>
      </c>
      <c r="AH4" s="81">
        <f>IF($L4&lt;&gt;1,V4,IF(VLOOKUP($A4,'User Interface (Start Here!)'!$B$18:$N$28,AH$2+1,FALSE)&lt;&gt;100%,V4-VLOOKUP($A4,'User Interface (Start Here!)'!$B$18:$N$28,AH$2+1,FALSE)/'User Interface (Start Here!)'!$L$35*$M4*V4,V4-VLOOKUP($A4,'User Interface (Start Here!)'!$B$18:$N$28,AH$2+1,FALSE)*$M4*V4))</f>
        <v>6.5211577946699163E-3</v>
      </c>
      <c r="AI4" s="83">
        <f>IF($L4&lt;&gt;1,W4,IF(VLOOKUP($A4,'User Interface (Start Here!)'!$B$18:$N$28,AI$2+1,FALSE)&lt;&gt;100%,W4-VLOOKUP($A4,'User Interface (Start Here!)'!$B$18:$N$28,AI$2+1,FALSE)/'User Interface (Start Here!)'!$L$35*$M4*W4,W4-VLOOKUP($A4,'User Interface (Start Here!)'!$B$18:$N$28,AI$2+1,FALSE)*$M4*W4))</f>
        <v>6.5211577946699163E-3</v>
      </c>
      <c r="AJ4" s="83">
        <f>IF($L4&lt;&gt;1,X4,IF(VLOOKUP($A4,'User Interface (Start Here!)'!$B$18:$N$28,AJ$2+1,FALSE)&lt;&gt;100%,X4-VLOOKUP($A4,'User Interface (Start Here!)'!$B$18:$N$28,AJ$2+1,FALSE)/'User Interface (Start Here!)'!$L$35*$M4*X4,X4-VLOOKUP($A4,'User Interface (Start Here!)'!$B$18:$N$28,AJ$2+1,FALSE)*$M4*X4))</f>
        <v>8.409789112393087E-3</v>
      </c>
      <c r="AK4" s="83">
        <f>IF($L4&lt;&gt;1,Y4,IF(VLOOKUP($A4,'User Interface (Start Here!)'!$B$18:$N$28,AK$2+1,FALSE)&lt;&gt;100%,Y4-VLOOKUP($A4,'User Interface (Start Here!)'!$B$18:$N$28,AK$2+1,FALSE)/'User Interface (Start Here!)'!$L$35*$M4*Y4,Y4-VLOOKUP($A4,'User Interface (Start Here!)'!$B$18:$N$28,AK$2+1,FALSE)*$M4*Y4))</f>
        <v>8.409789112393087E-3</v>
      </c>
      <c r="AL4" s="82">
        <f t="shared" ref="AL4:AL24" si="4">SUM(Z4:AK4)</f>
        <v>0.10811274895398809</v>
      </c>
      <c r="AR4" t="s">
        <v>116</v>
      </c>
      <c r="AT4">
        <v>6736</v>
      </c>
      <c r="AU4">
        <v>34160</v>
      </c>
      <c r="AV4">
        <v>46196</v>
      </c>
      <c r="AW4">
        <v>5988</v>
      </c>
      <c r="AX4">
        <v>1125</v>
      </c>
      <c r="AY4">
        <v>94205</v>
      </c>
    </row>
    <row r="5" spans="1:57" ht="15.6">
      <c r="A5" s="69">
        <v>2779</v>
      </c>
      <c r="B5" s="57" t="s">
        <v>99</v>
      </c>
      <c r="C5" s="97">
        <v>1718.2390139337206</v>
      </c>
      <c r="D5" s="98">
        <v>1684.626715840041</v>
      </c>
      <c r="E5" s="99">
        <f t="shared" si="0"/>
        <v>2392.089700269737</v>
      </c>
      <c r="F5" s="100">
        <v>3183.1169159932651</v>
      </c>
      <c r="G5" s="100">
        <v>3182.8509926107035</v>
      </c>
      <c r="H5" s="100">
        <v>3182.2084348863086</v>
      </c>
      <c r="I5" s="101">
        <v>3343.9054645679157</v>
      </c>
      <c r="J5" s="65">
        <f t="shared" si="3"/>
        <v>3.1831169159932653</v>
      </c>
      <c r="K5" s="84">
        <f>(J5)*'User Interface (Start Here!)'!$L$8</f>
        <v>1.2732467663973062</v>
      </c>
      <c r="L5" s="2">
        <f>IF(VLOOKUP(A5,'User Interface (Start Here!)'!$DO$2:$DP$73,2,FALSE)&lt;&gt;0,1,0)</f>
        <v>0</v>
      </c>
      <c r="M5" s="41">
        <f>IF(AND(L5=1,ISBLANK('User Interface (Start Here!)'!$L$14),ISBLANK('User Interface (Start Here!)'!$M$14),ISBLANK('User Interface (Start Here!)'!$N$14)),100%*'User Interface (Start Here!)'!$L$30,IF(L5=1,VLOOKUP(A5,'Bathymetric Closures'!$A$2:$C$57,3,FALSE)*'User Interface (Start Here!)'!$L$30,0%))</f>
        <v>0</v>
      </c>
      <c r="N5" s="79">
        <f t="shared" si="1"/>
        <v>9.6849009468385608E-2</v>
      </c>
      <c r="O5" s="79">
        <f t="shared" si="2"/>
        <v>9.6849009468385608E-2</v>
      </c>
      <c r="P5" s="79">
        <f t="shared" si="2"/>
        <v>0.10237752528503294</v>
      </c>
      <c r="Q5" s="79">
        <f t="shared" si="2"/>
        <v>0.10237752528503294</v>
      </c>
      <c r="R5" s="79">
        <f t="shared" si="2"/>
        <v>0.11884151484865804</v>
      </c>
      <c r="S5" s="79">
        <f t="shared" si="2"/>
        <v>0.11884151484865804</v>
      </c>
      <c r="T5" s="79">
        <f t="shared" si="2"/>
        <v>0.14271316833298983</v>
      </c>
      <c r="U5" s="79">
        <f t="shared" si="2"/>
        <v>0.14271316833298983</v>
      </c>
      <c r="V5" s="79">
        <f t="shared" si="2"/>
        <v>7.6799851595335589E-2</v>
      </c>
      <c r="W5" s="79">
        <f t="shared" si="2"/>
        <v>7.6799851595335589E-2</v>
      </c>
      <c r="X5" s="79">
        <f t="shared" si="2"/>
        <v>9.9042313668251031E-2</v>
      </c>
      <c r="Y5" s="79">
        <f t="shared" si="2"/>
        <v>9.9042313668251031E-2</v>
      </c>
      <c r="Z5" s="81">
        <f>IF($L5&lt;&gt;1,N5,IF(VLOOKUP($A5,'User Interface (Start Here!)'!$B$18:$N$28,Z$2+1,FALSE)&lt;&gt;100%,N5-VLOOKUP($A5,'User Interface (Start Here!)'!$B$18:$N$28,Z$2+1,FALSE)/'User Interface (Start Here!)'!$L$35*$M5*N5,N5-VLOOKUP($A5,'User Interface (Start Here!)'!$B$18:$N$28,Z$2+1,FALSE)*$M5*N5))</f>
        <v>9.6849009468385608E-2</v>
      </c>
      <c r="AA5" s="81">
        <f>IF($L5&lt;&gt;1,O5,IF(VLOOKUP($A5,'User Interface (Start Here!)'!$B$18:$N$28,AA$2+1,FALSE)&lt;&gt;100%,O5-VLOOKUP($A5,'User Interface (Start Here!)'!$B$18:$N$28,AA$2+1,FALSE)/'User Interface (Start Here!)'!$L$35*$M5*O5,O5-VLOOKUP($A5,'User Interface (Start Here!)'!$B$18:$N$28,AA$2+1,FALSE)*$M5*O5))</f>
        <v>9.6849009468385608E-2</v>
      </c>
      <c r="AB5" s="81">
        <f>IF($L5&lt;&gt;1,P5,IF(VLOOKUP($A5,'User Interface (Start Here!)'!$B$18:$N$28,AB$2+1,FALSE)&lt;&gt;100%,P5-VLOOKUP($A5,'User Interface (Start Here!)'!$B$18:$N$28,AB$2+1,FALSE)/'User Interface (Start Here!)'!$L$35*$M5*P5,P5-VLOOKUP($A5,'User Interface (Start Here!)'!$B$18:$N$28,AB$2+1,FALSE)*$M5*P5))</f>
        <v>0.10237752528503294</v>
      </c>
      <c r="AC5" s="81">
        <f>IF($L5&lt;&gt;1,Q5,IF(VLOOKUP($A5,'User Interface (Start Here!)'!$B$18:$N$28,AC$2+1,FALSE)&lt;&gt;100%,Q5-VLOOKUP($A5,'User Interface (Start Here!)'!$B$18:$N$28,AC$2+1,FALSE)/'User Interface (Start Here!)'!$L$35*$M5*Q5,Q5-VLOOKUP($A5,'User Interface (Start Here!)'!$B$18:$N$28,AC$2+1,FALSE)*$M5*Q5))</f>
        <v>0.10237752528503294</v>
      </c>
      <c r="AD5" s="81">
        <f>IF($L5&lt;&gt;1,R5,IF(VLOOKUP($A5,'User Interface (Start Here!)'!$B$18:$N$28,AD$2+1,FALSE)&lt;&gt;100%,R5-VLOOKUP($A5,'User Interface (Start Here!)'!$B$18:$N$28,AD$2+1,FALSE)/'User Interface (Start Here!)'!$L$35*$M5*R5,R5-VLOOKUP($A5,'User Interface (Start Here!)'!$B$18:$N$28,AD$2+1,FALSE)*$M5*R5))</f>
        <v>0.11884151484865804</v>
      </c>
      <c r="AE5" s="81">
        <f>IF($L5&lt;&gt;1,S5,IF(VLOOKUP($A5,'User Interface (Start Here!)'!$B$18:$N$28,AE$2+1,FALSE)&lt;&gt;100%,S5-VLOOKUP($A5,'User Interface (Start Here!)'!$B$18:$N$28,AE$2+1,FALSE)/'User Interface (Start Here!)'!$L$35*$M5*S5,S5-VLOOKUP($A5,'User Interface (Start Here!)'!$B$18:$N$28,AE$2+1,FALSE)*$M5*S5))</f>
        <v>0.11884151484865804</v>
      </c>
      <c r="AF5" s="81">
        <f>IF($L5&lt;&gt;1,T5,IF(VLOOKUP($A5,'User Interface (Start Here!)'!$B$18:$N$28,AF$2+1,FALSE)&lt;&gt;100%,T5-VLOOKUP($A5,'User Interface (Start Here!)'!$B$18:$N$28,AF$2+1,FALSE)/'User Interface (Start Here!)'!$L$35*$M5*T5,T5-VLOOKUP($A5,'User Interface (Start Here!)'!$B$18:$N$28,AF$2+1,FALSE)*$M5*T5))</f>
        <v>0.14271316833298983</v>
      </c>
      <c r="AG5" s="81">
        <f>IF($L5&lt;&gt;1,U5,IF(VLOOKUP($A5,'User Interface (Start Here!)'!$B$18:$N$28,AG$2+1,FALSE)&lt;&gt;100%,U5-VLOOKUP($A5,'User Interface (Start Here!)'!$B$18:$N$28,AG$2+1,FALSE)/'User Interface (Start Here!)'!$L$35*$M5*U5,U5-VLOOKUP($A5,'User Interface (Start Here!)'!$B$18:$N$28,AG$2+1,FALSE)*$M5*U5))</f>
        <v>0.14271316833298983</v>
      </c>
      <c r="AH5" s="81">
        <f>IF($L5&lt;&gt;1,V5,IF(VLOOKUP($A5,'User Interface (Start Here!)'!$B$18:$N$28,AH$2+1,FALSE)&lt;&gt;100%,V5-VLOOKUP($A5,'User Interface (Start Here!)'!$B$18:$N$28,AH$2+1,FALSE)/'User Interface (Start Here!)'!$L$35*$M5*V5,V5-VLOOKUP($A5,'User Interface (Start Here!)'!$B$18:$N$28,AH$2+1,FALSE)*$M5*V5))</f>
        <v>7.6799851595335589E-2</v>
      </c>
      <c r="AI5" s="83">
        <f>IF($L5&lt;&gt;1,W5,IF(VLOOKUP($A5,'User Interface (Start Here!)'!$B$18:$N$28,AI$2+1,FALSE)&lt;&gt;100%,W5-VLOOKUP($A5,'User Interface (Start Here!)'!$B$18:$N$28,AI$2+1,FALSE)/'User Interface (Start Here!)'!$L$35*$M5*W5,W5-VLOOKUP($A5,'User Interface (Start Here!)'!$B$18:$N$28,AI$2+1,FALSE)*$M5*W5))</f>
        <v>7.6799851595335589E-2</v>
      </c>
      <c r="AJ5" s="83">
        <f>IF($L5&lt;&gt;1,X5,IF(VLOOKUP($A5,'User Interface (Start Here!)'!$B$18:$N$28,AJ$2+1,FALSE)&lt;&gt;100%,X5-VLOOKUP($A5,'User Interface (Start Here!)'!$B$18:$N$28,AJ$2+1,FALSE)/'User Interface (Start Here!)'!$L$35*$M5*X5,X5-VLOOKUP($A5,'User Interface (Start Here!)'!$B$18:$N$28,AJ$2+1,FALSE)*$M5*X5))</f>
        <v>9.9042313668251031E-2</v>
      </c>
      <c r="AK5" s="83">
        <f>IF($L5&lt;&gt;1,Y5,IF(VLOOKUP($A5,'User Interface (Start Here!)'!$B$18:$N$28,AK$2+1,FALSE)&lt;&gt;100%,Y5-VLOOKUP($A5,'User Interface (Start Here!)'!$B$18:$N$28,AK$2+1,FALSE)/'User Interface (Start Here!)'!$L$35*$M5*Y5,Y5-VLOOKUP($A5,'User Interface (Start Here!)'!$B$18:$N$28,AK$2+1,FALSE)*$M5*Y5))</f>
        <v>9.9042313668251031E-2</v>
      </c>
      <c r="AL5" s="82">
        <f t="shared" si="4"/>
        <v>1.2732467663973062</v>
      </c>
      <c r="AR5" t="s">
        <v>117</v>
      </c>
      <c r="AT5">
        <v>957</v>
      </c>
      <c r="AU5">
        <v>6281</v>
      </c>
      <c r="AV5">
        <v>1474</v>
      </c>
      <c r="AW5">
        <v>877</v>
      </c>
      <c r="AX5">
        <v>166</v>
      </c>
      <c r="AY5">
        <v>9755</v>
      </c>
    </row>
    <row r="6" spans="1:57" ht="15.6">
      <c r="A6" s="69">
        <v>2780</v>
      </c>
      <c r="B6" s="57" t="s">
        <v>99</v>
      </c>
      <c r="C6" s="97">
        <v>13684.79288091102</v>
      </c>
      <c r="D6" s="98">
        <v>13417.090114338182</v>
      </c>
      <c r="E6" s="99">
        <f t="shared" si="0"/>
        <v>19051.628926646292</v>
      </c>
      <c r="F6" s="100">
        <v>25351.709138163227</v>
      </c>
      <c r="G6" s="100">
        <v>25349.591210224775</v>
      </c>
      <c r="H6" s="100">
        <v>25344.473604757164</v>
      </c>
      <c r="I6" s="101">
        <v>26632.298140637868</v>
      </c>
      <c r="J6" s="65">
        <f t="shared" si="3"/>
        <v>25.351709138163226</v>
      </c>
      <c r="K6" s="84">
        <f>(J6)*'User Interface (Start Here!)'!$L$8</f>
        <v>10.140683655265292</v>
      </c>
      <c r="L6" s="2">
        <f>IF(VLOOKUP(A6,'User Interface (Start Here!)'!$DO$2:$DP$73,2,FALSE)&lt;&gt;0,1,0)</f>
        <v>0</v>
      </c>
      <c r="M6" s="41">
        <f>IF(AND(L6=1,ISBLANK('User Interface (Start Here!)'!$L$14),ISBLANK('User Interface (Start Here!)'!$M$14),ISBLANK('User Interface (Start Here!)'!$N$14)),100%*'User Interface (Start Here!)'!$L$30,IF(L6=1,VLOOKUP(A6,'Bathymetric Closures'!$A$2:$C$57,3,FALSE)*'User Interface (Start Here!)'!$L$30,0%))</f>
        <v>0</v>
      </c>
      <c r="N6" s="79">
        <f t="shared" si="1"/>
        <v>0.77134707368911593</v>
      </c>
      <c r="O6" s="79">
        <f t="shared" si="2"/>
        <v>0.77134707368911593</v>
      </c>
      <c r="P6" s="79">
        <f t="shared" si="2"/>
        <v>0.81537854618865591</v>
      </c>
      <c r="Q6" s="79">
        <f t="shared" si="2"/>
        <v>0.81537854618865591</v>
      </c>
      <c r="R6" s="79">
        <f t="shared" si="2"/>
        <v>0.94650482451467066</v>
      </c>
      <c r="S6" s="79">
        <f t="shared" si="2"/>
        <v>0.94650482451467066</v>
      </c>
      <c r="T6" s="79">
        <f t="shared" si="2"/>
        <v>1.1366289172682529</v>
      </c>
      <c r="U6" s="79">
        <f t="shared" si="2"/>
        <v>1.1366289172682529</v>
      </c>
      <c r="V6" s="79">
        <f t="shared" si="2"/>
        <v>0.61166697638924195</v>
      </c>
      <c r="W6" s="79">
        <f t="shared" si="2"/>
        <v>0.61166697638924195</v>
      </c>
      <c r="X6" s="79">
        <f t="shared" si="2"/>
        <v>0.78881548958270842</v>
      </c>
      <c r="Y6" s="79">
        <f t="shared" si="2"/>
        <v>0.78881548958270842</v>
      </c>
      <c r="Z6" s="81">
        <f>IF($L6&lt;&gt;1,N6,IF(VLOOKUP($A6,'User Interface (Start Here!)'!$B$18:$N$28,Z$2+1,FALSE)&lt;&gt;100%,N6-VLOOKUP($A6,'User Interface (Start Here!)'!$B$18:$N$28,Z$2+1,FALSE)/'User Interface (Start Here!)'!$L$35*$M6*N6,N6-VLOOKUP($A6,'User Interface (Start Here!)'!$B$18:$N$28,Z$2+1,FALSE)*$M6*N6))</f>
        <v>0.77134707368911593</v>
      </c>
      <c r="AA6" s="81">
        <f>IF($L6&lt;&gt;1,O6,IF(VLOOKUP($A6,'User Interface (Start Here!)'!$B$18:$N$28,AA$2+1,FALSE)&lt;&gt;100%,O6-VLOOKUP($A6,'User Interface (Start Here!)'!$B$18:$N$28,AA$2+1,FALSE)/'User Interface (Start Here!)'!$L$35*$M6*O6,O6-VLOOKUP($A6,'User Interface (Start Here!)'!$B$18:$N$28,AA$2+1,FALSE)*$M6*O6))</f>
        <v>0.77134707368911593</v>
      </c>
      <c r="AB6" s="81">
        <f>IF($L6&lt;&gt;1,P6,IF(VLOOKUP($A6,'User Interface (Start Here!)'!$B$18:$N$28,AB$2+1,FALSE)&lt;&gt;100%,P6-VLOOKUP($A6,'User Interface (Start Here!)'!$B$18:$N$28,AB$2+1,FALSE)/'User Interface (Start Here!)'!$L$35*$M6*P6,P6-VLOOKUP($A6,'User Interface (Start Here!)'!$B$18:$N$28,AB$2+1,FALSE)*$M6*P6))</f>
        <v>0.81537854618865591</v>
      </c>
      <c r="AC6" s="81">
        <f>IF($L6&lt;&gt;1,Q6,IF(VLOOKUP($A6,'User Interface (Start Here!)'!$B$18:$N$28,AC$2+1,FALSE)&lt;&gt;100%,Q6-VLOOKUP($A6,'User Interface (Start Here!)'!$B$18:$N$28,AC$2+1,FALSE)/'User Interface (Start Here!)'!$L$35*$M6*Q6,Q6-VLOOKUP($A6,'User Interface (Start Here!)'!$B$18:$N$28,AC$2+1,FALSE)*$M6*Q6))</f>
        <v>0.81537854618865591</v>
      </c>
      <c r="AD6" s="81">
        <f>IF($L6&lt;&gt;1,R6,IF(VLOOKUP($A6,'User Interface (Start Here!)'!$B$18:$N$28,AD$2+1,FALSE)&lt;&gt;100%,R6-VLOOKUP($A6,'User Interface (Start Here!)'!$B$18:$N$28,AD$2+1,FALSE)/'User Interface (Start Here!)'!$L$35*$M6*R6,R6-VLOOKUP($A6,'User Interface (Start Here!)'!$B$18:$N$28,AD$2+1,FALSE)*$M6*R6))</f>
        <v>0.94650482451467066</v>
      </c>
      <c r="AE6" s="81">
        <f>IF($L6&lt;&gt;1,S6,IF(VLOOKUP($A6,'User Interface (Start Here!)'!$B$18:$N$28,AE$2+1,FALSE)&lt;&gt;100%,S6-VLOOKUP($A6,'User Interface (Start Here!)'!$B$18:$N$28,AE$2+1,FALSE)/'User Interface (Start Here!)'!$L$35*$M6*S6,S6-VLOOKUP($A6,'User Interface (Start Here!)'!$B$18:$N$28,AE$2+1,FALSE)*$M6*S6))</f>
        <v>0.94650482451467066</v>
      </c>
      <c r="AF6" s="81">
        <f>IF($L6&lt;&gt;1,T6,IF(VLOOKUP($A6,'User Interface (Start Here!)'!$B$18:$N$28,AF$2+1,FALSE)&lt;&gt;100%,T6-VLOOKUP($A6,'User Interface (Start Here!)'!$B$18:$N$28,AF$2+1,FALSE)/'User Interface (Start Here!)'!$L$35*$M6*T6,T6-VLOOKUP($A6,'User Interface (Start Here!)'!$B$18:$N$28,AF$2+1,FALSE)*$M6*T6))</f>
        <v>1.1366289172682529</v>
      </c>
      <c r="AG6" s="81">
        <f>IF($L6&lt;&gt;1,U6,IF(VLOOKUP($A6,'User Interface (Start Here!)'!$B$18:$N$28,AG$2+1,FALSE)&lt;&gt;100%,U6-VLOOKUP($A6,'User Interface (Start Here!)'!$B$18:$N$28,AG$2+1,FALSE)/'User Interface (Start Here!)'!$L$35*$M6*U6,U6-VLOOKUP($A6,'User Interface (Start Here!)'!$B$18:$N$28,AG$2+1,FALSE)*$M6*U6))</f>
        <v>1.1366289172682529</v>
      </c>
      <c r="AH6" s="81">
        <f>IF($L6&lt;&gt;1,V6,IF(VLOOKUP($A6,'User Interface (Start Here!)'!$B$18:$N$28,AH$2+1,FALSE)&lt;&gt;100%,V6-VLOOKUP($A6,'User Interface (Start Here!)'!$B$18:$N$28,AH$2+1,FALSE)/'User Interface (Start Here!)'!$L$35*$M6*V6,V6-VLOOKUP($A6,'User Interface (Start Here!)'!$B$18:$N$28,AH$2+1,FALSE)*$M6*V6))</f>
        <v>0.61166697638924195</v>
      </c>
      <c r="AI6" s="83">
        <f>IF($L6&lt;&gt;1,W6,IF(VLOOKUP($A6,'User Interface (Start Here!)'!$B$18:$N$28,AI$2+1,FALSE)&lt;&gt;100%,W6-VLOOKUP($A6,'User Interface (Start Here!)'!$B$18:$N$28,AI$2+1,FALSE)/'User Interface (Start Here!)'!$L$35*$M6*W6,W6-VLOOKUP($A6,'User Interface (Start Here!)'!$B$18:$N$28,AI$2+1,FALSE)*$M6*W6))</f>
        <v>0.61166697638924195</v>
      </c>
      <c r="AJ6" s="83">
        <f>IF($L6&lt;&gt;1,X6,IF(VLOOKUP($A6,'User Interface (Start Here!)'!$B$18:$N$28,AJ$2+1,FALSE)&lt;&gt;100%,X6-VLOOKUP($A6,'User Interface (Start Here!)'!$B$18:$N$28,AJ$2+1,FALSE)/'User Interface (Start Here!)'!$L$35*$M6*X6,X6-VLOOKUP($A6,'User Interface (Start Here!)'!$B$18:$N$28,AJ$2+1,FALSE)*$M6*X6))</f>
        <v>0.78881548958270842</v>
      </c>
      <c r="AK6" s="83">
        <f>IF($L6&lt;&gt;1,Y6,IF(VLOOKUP($A6,'User Interface (Start Here!)'!$B$18:$N$28,AK$2+1,FALSE)&lt;&gt;100%,Y6-VLOOKUP($A6,'User Interface (Start Here!)'!$B$18:$N$28,AK$2+1,FALSE)/'User Interface (Start Here!)'!$L$35*$M6*Y6,Y6-VLOOKUP($A6,'User Interface (Start Here!)'!$B$18:$N$28,AK$2+1,FALSE)*$M6*Y6))</f>
        <v>0.78881548958270842</v>
      </c>
      <c r="AL6" s="82">
        <f t="shared" si="4"/>
        <v>10.14068365526529</v>
      </c>
      <c r="AR6" t="s">
        <v>118</v>
      </c>
      <c r="AT6">
        <v>1666</v>
      </c>
      <c r="AU6">
        <v>4562</v>
      </c>
      <c r="AV6">
        <v>9698</v>
      </c>
      <c r="AW6">
        <v>1091</v>
      </c>
      <c r="AX6">
        <v>3034</v>
      </c>
      <c r="AY6">
        <v>20051</v>
      </c>
    </row>
    <row r="7" spans="1:57" ht="15.6">
      <c r="A7" s="70">
        <v>2879</v>
      </c>
      <c r="B7" s="58" t="s">
        <v>100</v>
      </c>
      <c r="C7" s="102">
        <v>805.17528314514732</v>
      </c>
      <c r="D7" s="103">
        <v>1195.099603656075</v>
      </c>
      <c r="E7" s="104">
        <f t="shared" si="0"/>
        <v>1283.2151246075773</v>
      </c>
      <c r="F7" s="100">
        <v>1494.1284125605848</v>
      </c>
      <c r="G7" s="100">
        <v>1597.1919705825314</v>
      </c>
      <c r="H7" s="100">
        <v>1509.1894867140973</v>
      </c>
      <c r="I7" s="101">
        <v>1624.5056734353843</v>
      </c>
      <c r="J7" s="65">
        <f t="shared" si="3"/>
        <v>1.4941284125605849</v>
      </c>
      <c r="K7" s="84">
        <f>(J7)*'User Interface (Start Here!)'!$L$8</f>
        <v>0.59765136502423399</v>
      </c>
      <c r="L7" s="2">
        <f>IF(VLOOKUP(A7,'User Interface (Start Here!)'!$DO$2:$DP$73,2,FALSE)&lt;&gt;0,1,0)</f>
        <v>0</v>
      </c>
      <c r="M7" s="41">
        <f>IF(AND(L7=1,ISBLANK('User Interface (Start Here!)'!$L$14),ISBLANK('User Interface (Start Here!)'!$M$14),ISBLANK('User Interface (Start Here!)'!$N$14)),100%*'User Interface (Start Here!)'!$L$30,IF(L7=1,VLOOKUP(A7,'Bathymetric Closures'!$A$2:$C$57,3,FALSE)*'User Interface (Start Here!)'!$L$30,0%))</f>
        <v>0</v>
      </c>
      <c r="N7" s="79">
        <f t="shared" si="1"/>
        <v>4.5460113654012639E-2</v>
      </c>
      <c r="O7" s="79">
        <f t="shared" si="2"/>
        <v>4.5460113654012639E-2</v>
      </c>
      <c r="P7" s="79">
        <f t="shared" si="2"/>
        <v>4.8055152661043841E-2</v>
      </c>
      <c r="Q7" s="79">
        <f t="shared" si="2"/>
        <v>4.8055152661043841E-2</v>
      </c>
      <c r="R7" s="79">
        <f t="shared" si="2"/>
        <v>5.5783211428698999E-2</v>
      </c>
      <c r="S7" s="79">
        <f t="shared" si="2"/>
        <v>5.5783211428698999E-2</v>
      </c>
      <c r="T7" s="79">
        <f t="shared" si="2"/>
        <v>6.6988365580132783E-2</v>
      </c>
      <c r="U7" s="79">
        <f t="shared" si="2"/>
        <v>6.6988365580132783E-2</v>
      </c>
      <c r="V7" s="79">
        <f t="shared" si="2"/>
        <v>3.6049206918062841E-2</v>
      </c>
      <c r="W7" s="79">
        <f t="shared" si="2"/>
        <v>3.6049206918062841E-2</v>
      </c>
      <c r="X7" s="79">
        <f t="shared" si="2"/>
        <v>4.6489632270165893E-2</v>
      </c>
      <c r="Y7" s="79">
        <f t="shared" si="2"/>
        <v>4.6489632270165893E-2</v>
      </c>
      <c r="Z7" s="81">
        <f>IF($L7&lt;&gt;1,N7,IF(VLOOKUP($A7,'User Interface (Start Here!)'!$B$18:$N$28,Z$2+1,FALSE)&lt;&gt;100%,N7-VLOOKUP($A7,'User Interface (Start Here!)'!$B$18:$N$28,Z$2+1,FALSE)/'User Interface (Start Here!)'!$L$35*$M7*N7,N7-VLOOKUP($A7,'User Interface (Start Here!)'!$B$18:$N$28,Z$2+1,FALSE)*$M7*N7))</f>
        <v>4.5460113654012639E-2</v>
      </c>
      <c r="AA7" s="81">
        <f>IF($L7&lt;&gt;1,O7,IF(VLOOKUP($A7,'User Interface (Start Here!)'!$B$18:$N$28,AA$2+1,FALSE)&lt;&gt;100%,O7-VLOOKUP($A7,'User Interface (Start Here!)'!$B$18:$N$28,AA$2+1,FALSE)/'User Interface (Start Here!)'!$L$35*$M7*O7,O7-VLOOKUP($A7,'User Interface (Start Here!)'!$B$18:$N$28,AA$2+1,FALSE)*$M7*O7))</f>
        <v>4.5460113654012639E-2</v>
      </c>
      <c r="AB7" s="81">
        <f>IF($L7&lt;&gt;1,P7,IF(VLOOKUP($A7,'User Interface (Start Here!)'!$B$18:$N$28,AB$2+1,FALSE)&lt;&gt;100%,P7-VLOOKUP($A7,'User Interface (Start Here!)'!$B$18:$N$28,AB$2+1,FALSE)/'User Interface (Start Here!)'!$L$35*$M7*P7,P7-VLOOKUP($A7,'User Interface (Start Here!)'!$B$18:$N$28,AB$2+1,FALSE)*$M7*P7))</f>
        <v>4.8055152661043841E-2</v>
      </c>
      <c r="AC7" s="81">
        <f>IF($L7&lt;&gt;1,Q7,IF(VLOOKUP($A7,'User Interface (Start Here!)'!$B$18:$N$28,AC$2+1,FALSE)&lt;&gt;100%,Q7-VLOOKUP($A7,'User Interface (Start Here!)'!$B$18:$N$28,AC$2+1,FALSE)/'User Interface (Start Here!)'!$L$35*$M7*Q7,Q7-VLOOKUP($A7,'User Interface (Start Here!)'!$B$18:$N$28,AC$2+1,FALSE)*$M7*Q7))</f>
        <v>4.8055152661043841E-2</v>
      </c>
      <c r="AD7" s="81">
        <f>IF($L7&lt;&gt;1,R7,IF(VLOOKUP($A7,'User Interface (Start Here!)'!$B$18:$N$28,AD$2+1,FALSE)&lt;&gt;100%,R7-VLOOKUP($A7,'User Interface (Start Here!)'!$B$18:$N$28,AD$2+1,FALSE)/'User Interface (Start Here!)'!$L$35*$M7*R7,R7-VLOOKUP($A7,'User Interface (Start Here!)'!$B$18:$N$28,AD$2+1,FALSE)*$M7*R7))</f>
        <v>5.5783211428698999E-2</v>
      </c>
      <c r="AE7" s="81">
        <f>IF($L7&lt;&gt;1,S7,IF(VLOOKUP($A7,'User Interface (Start Here!)'!$B$18:$N$28,AE$2+1,FALSE)&lt;&gt;100%,S7-VLOOKUP($A7,'User Interface (Start Here!)'!$B$18:$N$28,AE$2+1,FALSE)/'User Interface (Start Here!)'!$L$35*$M7*S7,S7-VLOOKUP($A7,'User Interface (Start Here!)'!$B$18:$N$28,AE$2+1,FALSE)*$M7*S7))</f>
        <v>5.5783211428698999E-2</v>
      </c>
      <c r="AF7" s="81">
        <f>IF($L7&lt;&gt;1,T7,IF(VLOOKUP($A7,'User Interface (Start Here!)'!$B$18:$N$28,AF$2+1,FALSE)&lt;&gt;100%,T7-VLOOKUP($A7,'User Interface (Start Here!)'!$B$18:$N$28,AF$2+1,FALSE)/'User Interface (Start Here!)'!$L$35*$M7*T7,T7-VLOOKUP($A7,'User Interface (Start Here!)'!$B$18:$N$28,AF$2+1,FALSE)*$M7*T7))</f>
        <v>6.6988365580132783E-2</v>
      </c>
      <c r="AG7" s="81">
        <f>IF($L7&lt;&gt;1,U7,IF(VLOOKUP($A7,'User Interface (Start Here!)'!$B$18:$N$28,AG$2+1,FALSE)&lt;&gt;100%,U7-VLOOKUP($A7,'User Interface (Start Here!)'!$B$18:$N$28,AG$2+1,FALSE)/'User Interface (Start Here!)'!$L$35*$M7*U7,U7-VLOOKUP($A7,'User Interface (Start Here!)'!$B$18:$N$28,AG$2+1,FALSE)*$M7*U7))</f>
        <v>6.6988365580132783E-2</v>
      </c>
      <c r="AH7" s="81">
        <f>IF($L7&lt;&gt;1,V7,IF(VLOOKUP($A7,'User Interface (Start Here!)'!$B$18:$N$28,AH$2+1,FALSE)&lt;&gt;100%,V7-VLOOKUP($A7,'User Interface (Start Here!)'!$B$18:$N$28,AH$2+1,FALSE)/'User Interface (Start Here!)'!$L$35*$M7*V7,V7-VLOOKUP($A7,'User Interface (Start Here!)'!$B$18:$N$28,AH$2+1,FALSE)*$M7*V7))</f>
        <v>3.6049206918062841E-2</v>
      </c>
      <c r="AI7" s="83">
        <f>IF($L7&lt;&gt;1,W7,IF(VLOOKUP($A7,'User Interface (Start Here!)'!$B$18:$N$28,AI$2+1,FALSE)&lt;&gt;100%,W7-VLOOKUP($A7,'User Interface (Start Here!)'!$B$18:$N$28,AI$2+1,FALSE)/'User Interface (Start Here!)'!$L$35*$M7*W7,W7-VLOOKUP($A7,'User Interface (Start Here!)'!$B$18:$N$28,AI$2+1,FALSE)*$M7*W7))</f>
        <v>3.6049206918062841E-2</v>
      </c>
      <c r="AJ7" s="83">
        <f>IF($L7&lt;&gt;1,X7,IF(VLOOKUP($A7,'User Interface (Start Here!)'!$B$18:$N$28,AJ$2+1,FALSE)&lt;&gt;100%,X7-VLOOKUP($A7,'User Interface (Start Here!)'!$B$18:$N$28,AJ$2+1,FALSE)/'User Interface (Start Here!)'!$L$35*$M7*X7,X7-VLOOKUP($A7,'User Interface (Start Here!)'!$B$18:$N$28,AJ$2+1,FALSE)*$M7*X7))</f>
        <v>4.6489632270165893E-2</v>
      </c>
      <c r="AK7" s="83">
        <f>IF($L7&lt;&gt;1,Y7,IF(VLOOKUP($A7,'User Interface (Start Here!)'!$B$18:$N$28,AK$2+1,FALSE)&lt;&gt;100%,Y7-VLOOKUP($A7,'User Interface (Start Here!)'!$B$18:$N$28,AK$2+1,FALSE)/'User Interface (Start Here!)'!$L$35*$M7*Y7,Y7-VLOOKUP($A7,'User Interface (Start Here!)'!$B$18:$N$28,AK$2+1,FALSE)*$M7*Y7))</f>
        <v>4.6489632270165893E-2</v>
      </c>
      <c r="AL7" s="82">
        <f t="shared" si="4"/>
        <v>0.59765136502423399</v>
      </c>
      <c r="AR7" t="s">
        <v>24</v>
      </c>
      <c r="AS7">
        <v>184045</v>
      </c>
      <c r="AT7">
        <v>203910</v>
      </c>
      <c r="AU7">
        <v>270841</v>
      </c>
      <c r="AV7">
        <v>328570</v>
      </c>
      <c r="AW7">
        <v>153901</v>
      </c>
      <c r="AX7">
        <v>192538</v>
      </c>
      <c r="AY7">
        <v>1333805</v>
      </c>
    </row>
    <row r="8" spans="1:57" ht="15.6">
      <c r="A8" s="70">
        <v>2880</v>
      </c>
      <c r="B8" s="58" t="s">
        <v>100</v>
      </c>
      <c r="C8" s="102">
        <v>58607.383861955925</v>
      </c>
      <c r="D8" s="103">
        <v>86989.333491645069</v>
      </c>
      <c r="E8" s="104">
        <f t="shared" si="0"/>
        <v>93403.117258613958</v>
      </c>
      <c r="F8" s="100">
        <v>108755.14840935265</v>
      </c>
      <c r="G8" s="100">
        <v>116256.97519615719</v>
      </c>
      <c r="H8" s="100">
        <v>109851.41921245077</v>
      </c>
      <c r="I8" s="101">
        <v>118245.09467932813</v>
      </c>
      <c r="J8" s="65">
        <f t="shared" si="3"/>
        <v>108.75514840935266</v>
      </c>
      <c r="K8" s="84">
        <f>(J8)*'User Interface (Start Here!)'!$L$8</f>
        <v>43.502059363741068</v>
      </c>
      <c r="L8" s="2">
        <f>IF(VLOOKUP(A8,'User Interface (Start Here!)'!$DO$2:$DP$73,2,FALSE)&lt;&gt;0,1,0)</f>
        <v>1</v>
      </c>
      <c r="M8" s="41">
        <f>IF(AND(L8=1,ISBLANK('User Interface (Start Here!)'!$L$14),ISBLANK('User Interface (Start Here!)'!$M$14),ISBLANK('User Interface (Start Here!)'!$N$14)),100%*'User Interface (Start Here!)'!$L$30,IF(L8=1,VLOOKUP(A8,'Bathymetric Closures'!$A$2:$C$57,3,FALSE)*'User Interface (Start Here!)'!$L$30,0%))</f>
        <v>0.89521925486317178</v>
      </c>
      <c r="N8" s="79">
        <f t="shared" si="1"/>
        <v>3.3089668636146832</v>
      </c>
      <c r="O8" s="79">
        <f t="shared" si="2"/>
        <v>3.3089668636146832</v>
      </c>
      <c r="P8" s="79">
        <f t="shared" si="2"/>
        <v>3.4978554825347077</v>
      </c>
      <c r="Q8" s="79">
        <f t="shared" si="2"/>
        <v>3.4978554825347077</v>
      </c>
      <c r="R8" s="79">
        <f t="shared" si="2"/>
        <v>4.0603681629221811</v>
      </c>
      <c r="S8" s="79">
        <f t="shared" si="2"/>
        <v>4.0603681629221811</v>
      </c>
      <c r="T8" s="79">
        <f t="shared" si="2"/>
        <v>4.8759728943792515</v>
      </c>
      <c r="U8" s="79">
        <f t="shared" si="2"/>
        <v>4.8759728943792515</v>
      </c>
      <c r="V8" s="79">
        <f t="shared" si="2"/>
        <v>2.6239624489132822</v>
      </c>
      <c r="W8" s="79">
        <f t="shared" si="2"/>
        <v>2.6239624489132822</v>
      </c>
      <c r="X8" s="79">
        <f t="shared" si="2"/>
        <v>3.3839038295064272</v>
      </c>
      <c r="Y8" s="79">
        <f t="shared" si="2"/>
        <v>3.3839038295064272</v>
      </c>
      <c r="Z8" s="81">
        <f>IF($L8&lt;&gt;1,N8,IF(VLOOKUP($A8,'User Interface (Start Here!)'!$B$18:$N$28,Z$2+1,FALSE)&lt;&gt;100%,N8-VLOOKUP($A8,'User Interface (Start Here!)'!$B$18:$N$28,Z$2+1,FALSE)/'User Interface (Start Here!)'!$L$35*$M8*N8,N8-VLOOKUP($A8,'User Interface (Start Here!)'!$B$18:$N$28,Z$2+1,FALSE)*$M8*N8))</f>
        <v>0.34671601360262017</v>
      </c>
      <c r="AA8" s="81">
        <f>IF($L8&lt;&gt;1,O8,IF(VLOOKUP($A8,'User Interface (Start Here!)'!$B$18:$N$28,AA$2+1,FALSE)&lt;&gt;100%,O8-VLOOKUP($A8,'User Interface (Start Here!)'!$B$18:$N$28,AA$2+1,FALSE)/'User Interface (Start Here!)'!$L$35*$M8*O8,O8-VLOOKUP($A8,'User Interface (Start Here!)'!$B$18:$N$28,AA$2+1,FALSE)*$M8*O8))</f>
        <v>0.34671601360262017</v>
      </c>
      <c r="AB8" s="81">
        <f>IF($L8&lt;&gt;1,P8,IF(VLOOKUP($A8,'User Interface (Start Here!)'!$B$18:$N$28,AB$2+1,FALSE)&lt;&gt;100%,P8-VLOOKUP($A8,'User Interface (Start Here!)'!$B$18:$N$28,AB$2+1,FALSE)/'User Interface (Start Here!)'!$L$35*$M8*P8,P8-VLOOKUP($A8,'User Interface (Start Here!)'!$B$18:$N$28,AB$2+1,FALSE)*$M8*P8))</f>
        <v>0.36650790384092646</v>
      </c>
      <c r="AC8" s="81">
        <f>IF($L8&lt;&gt;1,Q8,IF(VLOOKUP($A8,'User Interface (Start Here!)'!$B$18:$N$28,AC$2+1,FALSE)&lt;&gt;100%,Q8-VLOOKUP($A8,'User Interface (Start Here!)'!$B$18:$N$28,AC$2+1,FALSE)/'User Interface (Start Here!)'!$L$35*$M8*Q8,Q8-VLOOKUP($A8,'User Interface (Start Here!)'!$B$18:$N$28,AC$2+1,FALSE)*$M8*Q8))</f>
        <v>0.36650790384092646</v>
      </c>
      <c r="AD8" s="81">
        <f>IF($L8&lt;&gt;1,R8,IF(VLOOKUP($A8,'User Interface (Start Here!)'!$B$18:$N$28,AD$2+1,FALSE)&lt;&gt;100%,R8-VLOOKUP($A8,'User Interface (Start Here!)'!$B$18:$N$28,AD$2+1,FALSE)/'User Interface (Start Here!)'!$L$35*$M8*R8,R8-VLOOKUP($A8,'User Interface (Start Here!)'!$B$18:$N$28,AD$2+1,FALSE)*$M8*R8))</f>
        <v>0.42544840164084041</v>
      </c>
      <c r="AE8" s="81">
        <f>IF($L8&lt;&gt;1,S8,IF(VLOOKUP($A8,'User Interface (Start Here!)'!$B$18:$N$28,AE$2+1,FALSE)&lt;&gt;100%,S8-VLOOKUP($A8,'User Interface (Start Here!)'!$B$18:$N$28,AE$2+1,FALSE)/'User Interface (Start Here!)'!$L$35*$M8*S8,S8-VLOOKUP($A8,'User Interface (Start Here!)'!$B$18:$N$28,AE$2+1,FALSE)*$M8*S8))</f>
        <v>0.42544840164084041</v>
      </c>
      <c r="AF8" s="81">
        <f>IF($L8&lt;&gt;1,T8,IF(VLOOKUP($A8,'User Interface (Start Here!)'!$B$18:$N$28,AF$2+1,FALSE)&lt;&gt;100%,T8-VLOOKUP($A8,'User Interface (Start Here!)'!$B$18:$N$28,AF$2+1,FALSE)/'User Interface (Start Here!)'!$L$35*$M8*T8,T8-VLOOKUP($A8,'User Interface (Start Here!)'!$B$18:$N$28,AF$2+1,FALSE)*$M8*T8))</f>
        <v>0.51090807314003506</v>
      </c>
      <c r="AG8" s="81">
        <f>IF($L8&lt;&gt;1,U8,IF(VLOOKUP($A8,'User Interface (Start Here!)'!$B$18:$N$28,AG$2+1,FALSE)&lt;&gt;100%,U8-VLOOKUP($A8,'User Interface (Start Here!)'!$B$18:$N$28,AG$2+1,FALSE)/'User Interface (Start Here!)'!$L$35*$M8*U8,U8-VLOOKUP($A8,'User Interface (Start Here!)'!$B$18:$N$28,AG$2+1,FALSE)*$M8*U8))</f>
        <v>0.51090807314003506</v>
      </c>
      <c r="AH8" s="81">
        <f>IF($L8&lt;&gt;1,V8,IF(VLOOKUP($A8,'User Interface (Start Here!)'!$B$18:$N$28,AH$2+1,FALSE)&lt;&gt;100%,V8-VLOOKUP($A8,'User Interface (Start Here!)'!$B$18:$N$28,AH$2+1,FALSE)/'User Interface (Start Here!)'!$L$35*$M8*V8,V8-VLOOKUP($A8,'User Interface (Start Here!)'!$B$18:$N$28,AH$2+1,FALSE)*$M8*V8))</f>
        <v>0.27494074060819029</v>
      </c>
      <c r="AI8" s="83">
        <f>IF($L8&lt;&gt;1,W8,IF(VLOOKUP($A8,'User Interface (Start Here!)'!$B$18:$N$28,AI$2+1,FALSE)&lt;&gt;100%,W8-VLOOKUP($A8,'User Interface (Start Here!)'!$B$18:$N$28,AI$2+1,FALSE)/'User Interface (Start Here!)'!$L$35*$M8*W8,W8-VLOOKUP($A8,'User Interface (Start Here!)'!$B$18:$N$28,AI$2+1,FALSE)*$M8*W8))</f>
        <v>0.27494074060819029</v>
      </c>
      <c r="AJ8" s="83">
        <f>IF($L8&lt;&gt;1,X8,IF(VLOOKUP($A8,'User Interface (Start Here!)'!$B$18:$N$28,AJ$2+1,FALSE)&lt;&gt;100%,X8-VLOOKUP($A8,'User Interface (Start Here!)'!$B$18:$N$28,AJ$2+1,FALSE)/'User Interface (Start Here!)'!$L$35*$M8*X8,X8-VLOOKUP($A8,'User Interface (Start Here!)'!$B$18:$N$28,AJ$2+1,FALSE)*$M8*X8))</f>
        <v>0.3545679647270501</v>
      </c>
      <c r="AK8" s="83">
        <f>IF($L8&lt;&gt;1,Y8,IF(VLOOKUP($A8,'User Interface (Start Here!)'!$B$18:$N$28,AK$2+1,FALSE)&lt;&gt;100%,Y8-VLOOKUP($A8,'User Interface (Start Here!)'!$B$18:$N$28,AK$2+1,FALSE)/'User Interface (Start Here!)'!$L$35*$M8*Y8,Y8-VLOOKUP($A8,'User Interface (Start Here!)'!$B$18:$N$28,AK$2+1,FALSE)*$M8*Y8))</f>
        <v>0.3545679647270501</v>
      </c>
      <c r="AL8" s="82">
        <f t="shared" si="4"/>
        <v>4.558178195119325</v>
      </c>
    </row>
    <row r="9" spans="1:57" ht="15.6">
      <c r="A9" s="70">
        <v>2980</v>
      </c>
      <c r="B9" s="58" t="s">
        <v>100</v>
      </c>
      <c r="C9" s="102">
        <v>90123.726228939573</v>
      </c>
      <c r="D9" s="103">
        <v>133768.17663291111</v>
      </c>
      <c r="E9" s="104">
        <f t="shared" si="0"/>
        <v>143630.99688210402</v>
      </c>
      <c r="F9" s="100">
        <v>167238.64085655988</v>
      </c>
      <c r="G9" s="100">
        <v>178774.6033752652</v>
      </c>
      <c r="H9" s="100">
        <v>168924.43543090753</v>
      </c>
      <c r="I9" s="101">
        <v>181831.84163100706</v>
      </c>
      <c r="J9" s="65">
        <f t="shared" si="3"/>
        <v>167.2386408565599</v>
      </c>
      <c r="K9" s="84">
        <f>(J9)*'User Interface (Start Here!)'!$L$8</f>
        <v>66.895456342623959</v>
      </c>
      <c r="L9" s="2">
        <f>IF(VLOOKUP(A9,'User Interface (Start Here!)'!$DO$2:$DP$73,2,FALSE)&lt;&gt;0,1,0)</f>
        <v>1</v>
      </c>
      <c r="M9" s="41">
        <f>IF(AND(L9=1,ISBLANK('User Interface (Start Here!)'!$L$14),ISBLANK('User Interface (Start Here!)'!$M$14),ISBLANK('User Interface (Start Here!)'!$N$14)),100%*'User Interface (Start Here!)'!$L$30,IF(L9=1,VLOOKUP(A9,'Bathymetric Closures'!$A$2:$C$57,3,FALSE)*'User Interface (Start Here!)'!$L$30,0%))</f>
        <v>0.93680614859094791</v>
      </c>
      <c r="N9" s="79">
        <f t="shared" si="1"/>
        <v>5.088376311412615</v>
      </c>
      <c r="O9" s="79">
        <f t="shared" si="2"/>
        <v>5.088376311412615</v>
      </c>
      <c r="P9" s="79">
        <f t="shared" si="2"/>
        <v>5.3788404996692964</v>
      </c>
      <c r="Q9" s="79">
        <f t="shared" si="2"/>
        <v>5.3788404996692964</v>
      </c>
      <c r="R9" s="79">
        <f t="shared" si="2"/>
        <v>6.2438465017620803</v>
      </c>
      <c r="S9" s="79">
        <f t="shared" si="2"/>
        <v>6.2438465017620803</v>
      </c>
      <c r="T9" s="79">
        <f t="shared" si="2"/>
        <v>7.4980457627630415</v>
      </c>
      <c r="U9" s="79">
        <f t="shared" si="2"/>
        <v>7.4980457627630415</v>
      </c>
      <c r="V9" s="79">
        <f t="shared" si="2"/>
        <v>4.0350081815268775</v>
      </c>
      <c r="W9" s="79">
        <f t="shared" si="2"/>
        <v>4.0350081815268775</v>
      </c>
      <c r="X9" s="79">
        <f t="shared" si="2"/>
        <v>5.2036109141780678</v>
      </c>
      <c r="Y9" s="79">
        <f t="shared" si="2"/>
        <v>5.2036109141780678</v>
      </c>
      <c r="Z9" s="81">
        <f>IF($L9&lt;&gt;1,N9,IF(VLOOKUP($A9,'User Interface (Start Here!)'!$B$18:$N$28,Z$2+1,FALSE)&lt;&gt;100%,N9-VLOOKUP($A9,'User Interface (Start Here!)'!$B$18:$N$28,Z$2+1,FALSE)/'User Interface (Start Here!)'!$L$35*$M9*N9,N9-VLOOKUP($A9,'User Interface (Start Here!)'!$B$18:$N$28,Z$2+1,FALSE)*$M9*N9))</f>
        <v>0.32155409653674916</v>
      </c>
      <c r="AA9" s="81">
        <f>IF($L9&lt;&gt;1,O9,IF(VLOOKUP($A9,'User Interface (Start Here!)'!$B$18:$N$28,AA$2+1,FALSE)&lt;&gt;100%,O9-VLOOKUP($A9,'User Interface (Start Here!)'!$B$18:$N$28,AA$2+1,FALSE)/'User Interface (Start Here!)'!$L$35*$M9*O9,O9-VLOOKUP($A9,'User Interface (Start Here!)'!$B$18:$N$28,AA$2+1,FALSE)*$M9*O9))</f>
        <v>0.32155409653674916</v>
      </c>
      <c r="AB9" s="81">
        <f>IF($L9&lt;&gt;1,P9,IF(VLOOKUP($A9,'User Interface (Start Here!)'!$B$18:$N$28,AB$2+1,FALSE)&lt;&gt;100%,P9-VLOOKUP($A9,'User Interface (Start Here!)'!$B$18:$N$28,AB$2+1,FALSE)/'User Interface (Start Here!)'!$L$35*$M9*P9,P9-VLOOKUP($A9,'User Interface (Start Here!)'!$B$18:$N$28,AB$2+1,FALSE)*$M9*P9))</f>
        <v>0.33990964728909301</v>
      </c>
      <c r="AC9" s="81">
        <f>IF($L9&lt;&gt;1,Q9,IF(VLOOKUP($A9,'User Interface (Start Here!)'!$B$18:$N$28,AC$2+1,FALSE)&lt;&gt;100%,Q9-VLOOKUP($A9,'User Interface (Start Here!)'!$B$18:$N$28,AC$2+1,FALSE)/'User Interface (Start Here!)'!$L$35*$M9*Q9,Q9-VLOOKUP($A9,'User Interface (Start Here!)'!$B$18:$N$28,AC$2+1,FALSE)*$M9*Q9))</f>
        <v>0.33990964728909301</v>
      </c>
      <c r="AD9" s="81">
        <f>IF($L9&lt;&gt;1,R9,IF(VLOOKUP($A9,'User Interface (Start Here!)'!$B$18:$N$28,AD$2+1,FALSE)&lt;&gt;100%,R9-VLOOKUP($A9,'User Interface (Start Here!)'!$B$18:$N$28,AD$2+1,FALSE)/'User Interface (Start Here!)'!$L$35*$M9*R9,R9-VLOOKUP($A9,'User Interface (Start Here!)'!$B$18:$N$28,AD$2+1,FALSE)*$M9*R9))</f>
        <v>0.39457270805328282</v>
      </c>
      <c r="AE9" s="81">
        <f>IF($L9&lt;&gt;1,S9,IF(VLOOKUP($A9,'User Interface (Start Here!)'!$B$18:$N$28,AE$2+1,FALSE)&lt;&gt;100%,S9-VLOOKUP($A9,'User Interface (Start Here!)'!$B$18:$N$28,AE$2+1,FALSE)/'User Interface (Start Here!)'!$L$35*$M9*S9,S9-VLOOKUP($A9,'User Interface (Start Here!)'!$B$18:$N$28,AE$2+1,FALSE)*$M9*S9))</f>
        <v>0.39457270805328282</v>
      </c>
      <c r="AF9" s="81">
        <f>IF($L9&lt;&gt;1,T9,IF(VLOOKUP($A9,'User Interface (Start Here!)'!$B$18:$N$28,AF$2+1,FALSE)&lt;&gt;100%,T9-VLOOKUP($A9,'User Interface (Start Here!)'!$B$18:$N$28,AF$2+1,FALSE)/'User Interface (Start Here!)'!$L$35*$M9*T9,T9-VLOOKUP($A9,'User Interface (Start Here!)'!$B$18:$N$28,AF$2+1,FALSE)*$M9*T9))</f>
        <v>0.47383038979032044</v>
      </c>
      <c r="AG9" s="81">
        <f>IF($L9&lt;&gt;1,U9,IF(VLOOKUP($A9,'User Interface (Start Here!)'!$B$18:$N$28,AG$2+1,FALSE)&lt;&gt;100%,U9-VLOOKUP($A9,'User Interface (Start Here!)'!$B$18:$N$28,AG$2+1,FALSE)/'User Interface (Start Here!)'!$L$35*$M9*U9,U9-VLOOKUP($A9,'User Interface (Start Here!)'!$B$18:$N$28,AG$2+1,FALSE)*$M9*U9))</f>
        <v>0.47383038979032044</v>
      </c>
      <c r="AH9" s="81">
        <f>IF($L9&lt;&gt;1,V9,IF(VLOOKUP($A9,'User Interface (Start Here!)'!$B$18:$N$28,AH$2+1,FALSE)&lt;&gt;100%,V9-VLOOKUP($A9,'User Interface (Start Here!)'!$B$18:$N$28,AH$2+1,FALSE)/'User Interface (Start Here!)'!$L$35*$M9*V9,V9-VLOOKUP($A9,'User Interface (Start Here!)'!$B$18:$N$28,AH$2+1,FALSE)*$M9*V9))</f>
        <v>0.25498770745771893</v>
      </c>
      <c r="AI9" s="83">
        <f>IF($L9&lt;&gt;1,W9,IF(VLOOKUP($A9,'User Interface (Start Here!)'!$B$18:$N$28,AI$2+1,FALSE)&lt;&gt;100%,W9-VLOOKUP($A9,'User Interface (Start Here!)'!$B$18:$N$28,AI$2+1,FALSE)/'User Interface (Start Here!)'!$L$35*$M9*W9,W9-VLOOKUP($A9,'User Interface (Start Here!)'!$B$18:$N$28,AI$2+1,FALSE)*$M9*W9))</f>
        <v>0.25498770745771893</v>
      </c>
      <c r="AJ9" s="83">
        <f>IF($L9&lt;&gt;1,X9,IF(VLOOKUP($A9,'User Interface (Start Here!)'!$B$18:$N$28,AJ$2+1,FALSE)&lt;&gt;100%,X9-VLOOKUP($A9,'User Interface (Start Here!)'!$B$18:$N$28,AJ$2+1,FALSE)/'User Interface (Start Here!)'!$L$35*$M9*X9,X9-VLOOKUP($A9,'User Interface (Start Here!)'!$B$18:$N$28,AJ$2+1,FALSE)*$M9*X9))</f>
        <v>0.32883621490109061</v>
      </c>
      <c r="AK9" s="83">
        <f>IF($L9&lt;&gt;1,Y9,IF(VLOOKUP($A9,'User Interface (Start Here!)'!$B$18:$N$28,AK$2+1,FALSE)&lt;&gt;100%,Y9-VLOOKUP($A9,'User Interface (Start Here!)'!$B$18:$N$28,AK$2+1,FALSE)/'User Interface (Start Here!)'!$L$35*$M9*Y9,Y9-VLOOKUP($A9,'User Interface (Start Here!)'!$B$18:$N$28,AK$2+1,FALSE)*$M9*Y9))</f>
        <v>0.32883621490109061</v>
      </c>
      <c r="AL9" s="82">
        <f t="shared" si="4"/>
        <v>4.2273815280565099</v>
      </c>
      <c r="AR9" t="s">
        <v>120</v>
      </c>
    </row>
    <row r="10" spans="1:57" ht="15.6">
      <c r="A10" s="70">
        <v>2981</v>
      </c>
      <c r="B10" s="58" t="s">
        <v>100</v>
      </c>
      <c r="C10" s="102">
        <v>1054.877704274696</v>
      </c>
      <c r="D10" s="103">
        <v>1565.7260632242467</v>
      </c>
      <c r="E10" s="104">
        <f t="shared" si="0"/>
        <v>1681.1681295643948</v>
      </c>
      <c r="F10" s="100">
        <v>1957.4902294279459</v>
      </c>
      <c r="G10" s="100">
        <v>2092.5160452427299</v>
      </c>
      <c r="H10" s="100">
        <v>1977.2220712511432</v>
      </c>
      <c r="I10" s="101">
        <v>2128.3003232301412</v>
      </c>
      <c r="J10" s="65">
        <f t="shared" si="3"/>
        <v>1.9574902294279459</v>
      </c>
      <c r="K10" s="84">
        <f>(J10)*'User Interface (Start Here!)'!$L$8</f>
        <v>0.78299609177117846</v>
      </c>
      <c r="L10" s="2">
        <f>IF(VLOOKUP(A10,'User Interface (Start Here!)'!$DO$2:$DP$73,2,FALSE)&lt;&gt;0,1,0)</f>
        <v>0</v>
      </c>
      <c r="M10" s="41">
        <f>IF(AND(L10=1,ISBLANK('User Interface (Start Here!)'!$L$14),ISBLANK('User Interface (Start Here!)'!$M$14),ISBLANK('User Interface (Start Here!)'!$N$14)),100%*'User Interface (Start Here!)'!$L$30,IF(L10=1,VLOOKUP(A10,'Bathymetric Closures'!$A$2:$C$57,3,FALSE)*'User Interface (Start Here!)'!$L$30,0%))</f>
        <v>0</v>
      </c>
      <c r="N10" s="79">
        <f t="shared" si="1"/>
        <v>5.9558286662864307E-2</v>
      </c>
      <c r="O10" s="79">
        <f t="shared" si="2"/>
        <v>5.9558286662864307E-2</v>
      </c>
      <c r="P10" s="79">
        <f t="shared" si="2"/>
        <v>6.2958103879740906E-2</v>
      </c>
      <c r="Q10" s="79">
        <f t="shared" si="2"/>
        <v>6.2958103879740906E-2</v>
      </c>
      <c r="R10" s="79">
        <f t="shared" si="2"/>
        <v>7.3082802267749464E-2</v>
      </c>
      <c r="S10" s="79">
        <f t="shared" si="2"/>
        <v>7.3082802267749464E-2</v>
      </c>
      <c r="T10" s="79">
        <f t="shared" si="2"/>
        <v>8.7762919174887266E-2</v>
      </c>
      <c r="U10" s="79">
        <f t="shared" si="2"/>
        <v>8.7762919174887266E-2</v>
      </c>
      <c r="V10" s="79">
        <f t="shared" si="2"/>
        <v>4.7228852438326127E-2</v>
      </c>
      <c r="W10" s="79">
        <f t="shared" si="2"/>
        <v>4.7228852438326127E-2</v>
      </c>
      <c r="X10" s="79">
        <f t="shared" si="2"/>
        <v>6.0907081462021145E-2</v>
      </c>
      <c r="Y10" s="79">
        <f t="shared" si="2"/>
        <v>6.0907081462021145E-2</v>
      </c>
      <c r="Z10" s="81">
        <f>IF($L10&lt;&gt;1,N10,IF(VLOOKUP($A10,'User Interface (Start Here!)'!$B$18:$N$28,Z$2+1,FALSE)&lt;&gt;100%,N10-VLOOKUP($A10,'User Interface (Start Here!)'!$B$18:$N$28,Z$2+1,FALSE)/'User Interface (Start Here!)'!$L$35*$M10*N10,N10-VLOOKUP($A10,'User Interface (Start Here!)'!$B$18:$N$28,Z$2+1,FALSE)*$M10*N10))</f>
        <v>5.9558286662864307E-2</v>
      </c>
      <c r="AA10" s="81">
        <f>IF($L10&lt;&gt;1,O10,IF(VLOOKUP($A10,'User Interface (Start Here!)'!$B$18:$N$28,AA$2+1,FALSE)&lt;&gt;100%,O10-VLOOKUP($A10,'User Interface (Start Here!)'!$B$18:$N$28,AA$2+1,FALSE)/'User Interface (Start Here!)'!$L$35*$M10*O10,O10-VLOOKUP($A10,'User Interface (Start Here!)'!$B$18:$N$28,AA$2+1,FALSE)*$M10*O10))</f>
        <v>5.9558286662864307E-2</v>
      </c>
      <c r="AB10" s="81">
        <f>IF($L10&lt;&gt;1,P10,IF(VLOOKUP($A10,'User Interface (Start Here!)'!$B$18:$N$28,AB$2+1,FALSE)&lt;&gt;100%,P10-VLOOKUP($A10,'User Interface (Start Here!)'!$B$18:$N$28,AB$2+1,FALSE)/'User Interface (Start Here!)'!$L$35*$M10*P10,P10-VLOOKUP($A10,'User Interface (Start Here!)'!$B$18:$N$28,AB$2+1,FALSE)*$M10*P10))</f>
        <v>6.2958103879740906E-2</v>
      </c>
      <c r="AC10" s="81">
        <f>IF($L10&lt;&gt;1,Q10,IF(VLOOKUP($A10,'User Interface (Start Here!)'!$B$18:$N$28,AC$2+1,FALSE)&lt;&gt;100%,Q10-VLOOKUP($A10,'User Interface (Start Here!)'!$B$18:$N$28,AC$2+1,FALSE)/'User Interface (Start Here!)'!$L$35*$M10*Q10,Q10-VLOOKUP($A10,'User Interface (Start Here!)'!$B$18:$N$28,AC$2+1,FALSE)*$M10*Q10))</f>
        <v>6.2958103879740906E-2</v>
      </c>
      <c r="AD10" s="81">
        <f>IF($L10&lt;&gt;1,R10,IF(VLOOKUP($A10,'User Interface (Start Here!)'!$B$18:$N$28,AD$2+1,FALSE)&lt;&gt;100%,R10-VLOOKUP($A10,'User Interface (Start Here!)'!$B$18:$N$28,AD$2+1,FALSE)/'User Interface (Start Here!)'!$L$35*$M10*R10,R10-VLOOKUP($A10,'User Interface (Start Here!)'!$B$18:$N$28,AD$2+1,FALSE)*$M10*R10))</f>
        <v>7.3082802267749464E-2</v>
      </c>
      <c r="AE10" s="81">
        <f>IF($L10&lt;&gt;1,S10,IF(VLOOKUP($A10,'User Interface (Start Here!)'!$B$18:$N$28,AE$2+1,FALSE)&lt;&gt;100%,S10-VLOOKUP($A10,'User Interface (Start Here!)'!$B$18:$N$28,AE$2+1,FALSE)/'User Interface (Start Here!)'!$L$35*$M10*S10,S10-VLOOKUP($A10,'User Interface (Start Here!)'!$B$18:$N$28,AE$2+1,FALSE)*$M10*S10))</f>
        <v>7.3082802267749464E-2</v>
      </c>
      <c r="AF10" s="81">
        <f>IF($L10&lt;&gt;1,T10,IF(VLOOKUP($A10,'User Interface (Start Here!)'!$B$18:$N$28,AF$2+1,FALSE)&lt;&gt;100%,T10-VLOOKUP($A10,'User Interface (Start Here!)'!$B$18:$N$28,AF$2+1,FALSE)/'User Interface (Start Here!)'!$L$35*$M10*T10,T10-VLOOKUP($A10,'User Interface (Start Here!)'!$B$18:$N$28,AF$2+1,FALSE)*$M10*T10))</f>
        <v>8.7762919174887266E-2</v>
      </c>
      <c r="AG10" s="81">
        <f>IF($L10&lt;&gt;1,U10,IF(VLOOKUP($A10,'User Interface (Start Here!)'!$B$18:$N$28,AG$2+1,FALSE)&lt;&gt;100%,U10-VLOOKUP($A10,'User Interface (Start Here!)'!$B$18:$N$28,AG$2+1,FALSE)/'User Interface (Start Here!)'!$L$35*$M10*U10,U10-VLOOKUP($A10,'User Interface (Start Here!)'!$B$18:$N$28,AG$2+1,FALSE)*$M10*U10))</f>
        <v>8.7762919174887266E-2</v>
      </c>
      <c r="AH10" s="81">
        <f>IF($L10&lt;&gt;1,V10,IF(VLOOKUP($A10,'User Interface (Start Here!)'!$B$18:$N$28,AH$2+1,FALSE)&lt;&gt;100%,V10-VLOOKUP($A10,'User Interface (Start Here!)'!$B$18:$N$28,AH$2+1,FALSE)/'User Interface (Start Here!)'!$L$35*$M10*V10,V10-VLOOKUP($A10,'User Interface (Start Here!)'!$B$18:$N$28,AH$2+1,FALSE)*$M10*V10))</f>
        <v>4.7228852438326127E-2</v>
      </c>
      <c r="AI10" s="83">
        <f>IF($L10&lt;&gt;1,W10,IF(VLOOKUP($A10,'User Interface (Start Here!)'!$B$18:$N$28,AI$2+1,FALSE)&lt;&gt;100%,W10-VLOOKUP($A10,'User Interface (Start Here!)'!$B$18:$N$28,AI$2+1,FALSE)/'User Interface (Start Here!)'!$L$35*$M10*W10,W10-VLOOKUP($A10,'User Interface (Start Here!)'!$B$18:$N$28,AI$2+1,FALSE)*$M10*W10))</f>
        <v>4.7228852438326127E-2</v>
      </c>
      <c r="AJ10" s="83">
        <f>IF($L10&lt;&gt;1,X10,IF(VLOOKUP($A10,'User Interface (Start Here!)'!$B$18:$N$28,AJ$2+1,FALSE)&lt;&gt;100%,X10-VLOOKUP($A10,'User Interface (Start Here!)'!$B$18:$N$28,AJ$2+1,FALSE)/'User Interface (Start Here!)'!$L$35*$M10*X10,X10-VLOOKUP($A10,'User Interface (Start Here!)'!$B$18:$N$28,AJ$2+1,FALSE)*$M10*X10))</f>
        <v>6.0907081462021145E-2</v>
      </c>
      <c r="AK10" s="83">
        <f>IF($L10&lt;&gt;1,Y10,IF(VLOOKUP($A10,'User Interface (Start Here!)'!$B$18:$N$28,AK$2+1,FALSE)&lt;&gt;100%,Y10-VLOOKUP($A10,'User Interface (Start Here!)'!$B$18:$N$28,AK$2+1,FALSE)/'User Interface (Start Here!)'!$L$35*$M10*Y10,Y10-VLOOKUP($A10,'User Interface (Start Here!)'!$B$18:$N$28,AK$2+1,FALSE)*$M10*Y10))</f>
        <v>6.0907081462021145E-2</v>
      </c>
      <c r="AL10" s="82">
        <f t="shared" si="4"/>
        <v>0.78299609177117835</v>
      </c>
      <c r="AR10" t="s">
        <v>121</v>
      </c>
      <c r="AS10">
        <v>1</v>
      </c>
      <c r="AT10">
        <v>2</v>
      </c>
      <c r="AU10">
        <v>3</v>
      </c>
      <c r="AV10">
        <v>4</v>
      </c>
      <c r="AW10">
        <v>5</v>
      </c>
      <c r="AX10">
        <v>6</v>
      </c>
      <c r="AY10">
        <v>7</v>
      </c>
      <c r="AZ10">
        <v>8</v>
      </c>
      <c r="BA10">
        <v>9</v>
      </c>
      <c r="BB10">
        <v>10</v>
      </c>
      <c r="BC10">
        <v>11</v>
      </c>
      <c r="BD10">
        <v>12</v>
      </c>
      <c r="BE10" t="s">
        <v>68</v>
      </c>
    </row>
    <row r="11" spans="1:57" ht="15.6">
      <c r="A11" s="70">
        <v>3080</v>
      </c>
      <c r="B11" s="58" t="s">
        <v>100</v>
      </c>
      <c r="C11" s="102">
        <v>29934.506315288618</v>
      </c>
      <c r="D11" s="103">
        <v>44430.967246410946</v>
      </c>
      <c r="E11" s="104">
        <f t="shared" si="0"/>
        <v>47706.893213852993</v>
      </c>
      <c r="F11" s="100">
        <v>55548.148754566668</v>
      </c>
      <c r="G11" s="100">
        <v>59379.807268018485</v>
      </c>
      <c r="H11" s="100">
        <v>56108.083751083541</v>
      </c>
      <c r="I11" s="101">
        <v>60395.265923615654</v>
      </c>
      <c r="J11" s="65">
        <f t="shared" si="3"/>
        <v>55.548148754566668</v>
      </c>
      <c r="K11" s="84">
        <f>(J11)*'User Interface (Start Here!)'!$L$8</f>
        <v>22.21925950182667</v>
      </c>
      <c r="L11" s="2">
        <f>IF(VLOOKUP(A11,'User Interface (Start Here!)'!$DO$2:$DP$73,2,FALSE)&lt;&gt;0,1,0)</f>
        <v>1</v>
      </c>
      <c r="M11" s="41">
        <f>IF(AND(L11=1,ISBLANK('User Interface (Start Here!)'!$L$14),ISBLANK('User Interface (Start Here!)'!$M$14),ISBLANK('User Interface (Start Here!)'!$N$14)),100%*'User Interface (Start Here!)'!$L$30,IF(L11=1,VLOOKUP(A11,'Bathymetric Closures'!$A$2:$C$57,3,FALSE)*'User Interface (Start Here!)'!$L$30,0%))</f>
        <v>0.97648773512264886</v>
      </c>
      <c r="N11" s="79">
        <f t="shared" si="1"/>
        <v>1.6900991470505264</v>
      </c>
      <c r="O11" s="79">
        <f t="shared" si="2"/>
        <v>1.6900991470505264</v>
      </c>
      <c r="P11" s="79">
        <f t="shared" si="2"/>
        <v>1.7865765392041455</v>
      </c>
      <c r="Q11" s="79">
        <f t="shared" si="2"/>
        <v>1.7865765392041455</v>
      </c>
      <c r="R11" s="79">
        <f t="shared" si="2"/>
        <v>2.0738874252036013</v>
      </c>
      <c r="S11" s="79">
        <f t="shared" si="2"/>
        <v>2.0738874252036013</v>
      </c>
      <c r="T11" s="79">
        <f t="shared" si="2"/>
        <v>2.4904684662902925</v>
      </c>
      <c r="U11" s="79">
        <f t="shared" si="2"/>
        <v>2.4904684662902925</v>
      </c>
      <c r="V11" s="79">
        <f t="shared" si="2"/>
        <v>1.3402239670531071</v>
      </c>
      <c r="W11" s="79">
        <f t="shared" si="2"/>
        <v>1.3402239670531071</v>
      </c>
      <c r="X11" s="79">
        <f t="shared" si="2"/>
        <v>1.7283742061116616</v>
      </c>
      <c r="Y11" s="79">
        <f t="shared" si="2"/>
        <v>1.7283742061116616</v>
      </c>
      <c r="Z11" s="81">
        <f>IF($L11&lt;&gt;1,N11,IF(VLOOKUP($A11,'User Interface (Start Here!)'!$B$18:$N$28,Z$2+1,FALSE)&lt;&gt;100%,N11-VLOOKUP($A11,'User Interface (Start Here!)'!$B$18:$N$28,Z$2+1,FALSE)/'User Interface (Start Here!)'!$L$35*$M11*N11,N11-VLOOKUP($A11,'User Interface (Start Here!)'!$B$18:$N$28,Z$2+1,FALSE)*$M11*N11))</f>
        <v>3.9738058814437149E-2</v>
      </c>
      <c r="AA11" s="81">
        <f>IF($L11&lt;&gt;1,O11,IF(VLOOKUP($A11,'User Interface (Start Here!)'!$B$18:$N$28,AA$2+1,FALSE)&lt;&gt;100%,O11-VLOOKUP($A11,'User Interface (Start Here!)'!$B$18:$N$28,AA$2+1,FALSE)/'User Interface (Start Here!)'!$L$35*$M11*O11,O11-VLOOKUP($A11,'User Interface (Start Here!)'!$B$18:$N$28,AA$2+1,FALSE)*$M11*O11))</f>
        <v>3.9738058814437149E-2</v>
      </c>
      <c r="AB11" s="81">
        <f>IF($L11&lt;&gt;1,P11,IF(VLOOKUP($A11,'User Interface (Start Here!)'!$B$18:$N$28,AB$2+1,FALSE)&lt;&gt;100%,P11-VLOOKUP($A11,'User Interface (Start Here!)'!$B$18:$N$28,AB$2+1,FALSE)/'User Interface (Start Here!)'!$L$35*$M11*P11,P11-VLOOKUP($A11,'User Interface (Start Here!)'!$B$18:$N$28,AB$2+1,FALSE)*$M11*P11))</f>
        <v>4.2006460813429181E-2</v>
      </c>
      <c r="AC11" s="81">
        <f>IF($L11&lt;&gt;1,Q11,IF(VLOOKUP($A11,'User Interface (Start Here!)'!$B$18:$N$28,AC$2+1,FALSE)&lt;&gt;100%,Q11-VLOOKUP($A11,'User Interface (Start Here!)'!$B$18:$N$28,AC$2+1,FALSE)/'User Interface (Start Here!)'!$L$35*$M11*Q11,Q11-VLOOKUP($A11,'User Interface (Start Here!)'!$B$18:$N$28,AC$2+1,FALSE)*$M11*Q11))</f>
        <v>4.2006460813429181E-2</v>
      </c>
      <c r="AD11" s="81">
        <f>IF($L11&lt;&gt;1,R11,IF(VLOOKUP($A11,'User Interface (Start Here!)'!$B$18:$N$28,AD$2+1,FALSE)&lt;&gt;100%,R11-VLOOKUP($A11,'User Interface (Start Here!)'!$B$18:$N$28,AD$2+1,FALSE)/'User Interface (Start Here!)'!$L$35*$M11*R11,R11-VLOOKUP($A11,'User Interface (Start Here!)'!$B$18:$N$28,AD$2+1,FALSE)*$M11*R11))</f>
        <v>4.8761790467194643E-2</v>
      </c>
      <c r="AE11" s="81">
        <f>IF($L11&lt;&gt;1,S11,IF(VLOOKUP($A11,'User Interface (Start Here!)'!$B$18:$N$28,AE$2+1,FALSE)&lt;&gt;100%,S11-VLOOKUP($A11,'User Interface (Start Here!)'!$B$18:$N$28,AE$2+1,FALSE)/'User Interface (Start Here!)'!$L$35*$M11*S11,S11-VLOOKUP($A11,'User Interface (Start Here!)'!$B$18:$N$28,AE$2+1,FALSE)*$M11*S11))</f>
        <v>4.8761790467194643E-2</v>
      </c>
      <c r="AF11" s="81">
        <f>IF($L11&lt;&gt;1,T11,IF(VLOOKUP($A11,'User Interface (Start Here!)'!$B$18:$N$28,AF$2+1,FALSE)&lt;&gt;100%,T11-VLOOKUP($A11,'User Interface (Start Here!)'!$B$18:$N$28,AF$2+1,FALSE)/'User Interface (Start Here!)'!$L$35*$M11*T11,T11-VLOOKUP($A11,'User Interface (Start Here!)'!$B$18:$N$28,AF$2+1,FALSE)*$M11*T11))</f>
        <v>5.8556554248107684E-2</v>
      </c>
      <c r="AG11" s="81">
        <f>IF($L11&lt;&gt;1,U11,IF(VLOOKUP($A11,'User Interface (Start Here!)'!$B$18:$N$28,AG$2+1,FALSE)&lt;&gt;100%,U11-VLOOKUP($A11,'User Interface (Start Here!)'!$B$18:$N$28,AG$2+1,FALSE)/'User Interface (Start Here!)'!$L$35*$M11*U11,U11-VLOOKUP($A11,'User Interface (Start Here!)'!$B$18:$N$28,AG$2+1,FALSE)*$M11*U11))</f>
        <v>5.8556554248107684E-2</v>
      </c>
      <c r="AH11" s="81">
        <f>IF($L11&lt;&gt;1,V11,IF(VLOOKUP($A11,'User Interface (Start Here!)'!$B$18:$N$28,AH$2+1,FALSE)&lt;&gt;100%,V11-VLOOKUP($A11,'User Interface (Start Here!)'!$B$18:$N$28,AH$2+1,FALSE)/'User Interface (Start Here!)'!$L$35*$M11*V11,V11-VLOOKUP($A11,'User Interface (Start Here!)'!$B$18:$N$28,AH$2+1,FALSE)*$M11*V11))</f>
        <v>3.1511700908327001E-2</v>
      </c>
      <c r="AI11" s="83">
        <f>IF($L11&lt;&gt;1,W11,IF(VLOOKUP($A11,'User Interface (Start Here!)'!$B$18:$N$28,AI$2+1,FALSE)&lt;&gt;100%,W11-VLOOKUP($A11,'User Interface (Start Here!)'!$B$18:$N$28,AI$2+1,FALSE)/'User Interface (Start Here!)'!$L$35*$M11*W11,W11-VLOOKUP($A11,'User Interface (Start Here!)'!$B$18:$N$28,AI$2+1,FALSE)*$M11*W11))</f>
        <v>3.1511700908327001E-2</v>
      </c>
      <c r="AJ11" s="83">
        <f>IF($L11&lt;&gt;1,X11,IF(VLOOKUP($A11,'User Interface (Start Here!)'!$B$18:$N$28,AJ$2+1,FALSE)&lt;&gt;100%,X11-VLOOKUP($A11,'User Interface (Start Here!)'!$B$18:$N$28,AJ$2+1,FALSE)/'User Interface (Start Here!)'!$L$35*$M11*X11,X11-VLOOKUP($A11,'User Interface (Start Here!)'!$B$18:$N$28,AJ$2+1,FALSE)*$M11*X11))</f>
        <v>4.0637992141278945E-2</v>
      </c>
      <c r="AK11" s="83">
        <f>IF($L11&lt;&gt;1,Y11,IF(VLOOKUP($A11,'User Interface (Start Here!)'!$B$18:$N$28,AK$2+1,FALSE)&lt;&gt;100%,Y11-VLOOKUP($A11,'User Interface (Start Here!)'!$B$18:$N$28,AK$2+1,FALSE)/'User Interface (Start Here!)'!$L$35*$M11*Y11,Y11-VLOOKUP($A11,'User Interface (Start Here!)'!$B$18:$N$28,AK$2+1,FALSE)*$M11*Y11))</f>
        <v>4.0637992141278945E-2</v>
      </c>
      <c r="AL11" s="82">
        <f t="shared" si="4"/>
        <v>0.52242511478554921</v>
      </c>
      <c r="AR11" t="s">
        <v>115</v>
      </c>
      <c r="AS11">
        <f>0.5*AS3</f>
        <v>92022.5</v>
      </c>
      <c r="AT11">
        <f>AS11</f>
        <v>92022.5</v>
      </c>
      <c r="AU11">
        <f>0.5*AT3</f>
        <v>97275.5</v>
      </c>
      <c r="AV11">
        <f>AU11</f>
        <v>97275.5</v>
      </c>
      <c r="AW11">
        <f>0.5*AU3</f>
        <v>112919</v>
      </c>
      <c r="AX11">
        <f>AW11</f>
        <v>112919</v>
      </c>
      <c r="AY11">
        <f>0.5*AV3</f>
        <v>135601</v>
      </c>
      <c r="AZ11">
        <f>AY11</f>
        <v>135601</v>
      </c>
      <c r="BA11">
        <f>0.5*AW3</f>
        <v>72972.5</v>
      </c>
      <c r="BB11">
        <f>BA11</f>
        <v>72972.5</v>
      </c>
      <c r="BC11">
        <f>0.5*AX3</f>
        <v>94106.5</v>
      </c>
      <c r="BD11">
        <f>BC11</f>
        <v>94106.5</v>
      </c>
      <c r="BE11">
        <f>SUM(AS11:BD11)</f>
        <v>1209794</v>
      </c>
    </row>
    <row r="12" spans="1:57" ht="15.6">
      <c r="A12" s="70">
        <v>3081</v>
      </c>
      <c r="B12" s="58" t="s">
        <v>100</v>
      </c>
      <c r="C12" s="102">
        <v>22112.997273062731</v>
      </c>
      <c r="D12" s="103">
        <v>32821.715755426572</v>
      </c>
      <c r="E12" s="104">
        <f t="shared" si="0"/>
        <v>35241.683575233357</v>
      </c>
      <c r="F12" s="100">
        <v>41034.117917156385</v>
      </c>
      <c r="G12" s="100">
        <v>43864.612376187877</v>
      </c>
      <c r="H12" s="100">
        <v>41447.748959561322</v>
      </c>
      <c r="I12" s="101">
        <v>44614.74448946277</v>
      </c>
      <c r="J12" s="65">
        <f t="shared" si="3"/>
        <v>41.034117917156387</v>
      </c>
      <c r="K12" s="84">
        <f>(J12)*'User Interface (Start Here!)'!$L$8</f>
        <v>16.413647166862557</v>
      </c>
      <c r="L12" s="2">
        <f>IF(VLOOKUP(A12,'User Interface (Start Here!)'!$DO$2:$DP$73,2,FALSE)&lt;&gt;0,1,0)</f>
        <v>0</v>
      </c>
      <c r="M12" s="41">
        <f>IF(AND(L12=1,ISBLANK('User Interface (Start Here!)'!$L$14),ISBLANK('User Interface (Start Here!)'!$M$14),ISBLANK('User Interface (Start Here!)'!$N$14)),100%*'User Interface (Start Here!)'!$L$30,IF(L12=1,VLOOKUP(A12,'Bathymetric Closures'!$A$2:$C$57,3,FALSE)*'User Interface (Start Here!)'!$L$30,0%))</f>
        <v>0</v>
      </c>
      <c r="N12" s="79">
        <f t="shared" si="1"/>
        <v>1.2484975511637597</v>
      </c>
      <c r="O12" s="79">
        <f t="shared" si="2"/>
        <v>1.2484975511637597</v>
      </c>
      <c r="P12" s="79">
        <f t="shared" si="2"/>
        <v>1.3197666172754523</v>
      </c>
      <c r="Q12" s="79">
        <f t="shared" si="2"/>
        <v>1.3197666172754523</v>
      </c>
      <c r="R12" s="79">
        <f t="shared" si="2"/>
        <v>1.5320067915983655</v>
      </c>
      <c r="S12" s="79">
        <f t="shared" si="2"/>
        <v>1.5320067915983655</v>
      </c>
      <c r="T12" s="79">
        <f t="shared" si="2"/>
        <v>1.8397404595110651</v>
      </c>
      <c r="U12" s="79">
        <f t="shared" si="2"/>
        <v>1.8397404595110651</v>
      </c>
      <c r="V12" s="79">
        <f t="shared" si="2"/>
        <v>0.99004034396259022</v>
      </c>
      <c r="W12" s="79">
        <f t="shared" si="2"/>
        <v>0.99004034396259022</v>
      </c>
      <c r="X12" s="79">
        <f t="shared" si="2"/>
        <v>1.2767718199200453</v>
      </c>
      <c r="Y12" s="79">
        <f t="shared" si="2"/>
        <v>1.2767718199200453</v>
      </c>
      <c r="Z12" s="81">
        <f>IF($L12&lt;&gt;1,N12,IF(VLOOKUP($A12,'User Interface (Start Here!)'!$B$18:$N$28,Z$2+1,FALSE)&lt;&gt;100%,N12-VLOOKUP($A12,'User Interface (Start Here!)'!$B$18:$N$28,Z$2+1,FALSE)/'User Interface (Start Here!)'!$L$35*$M12*N12,N12-VLOOKUP($A12,'User Interface (Start Here!)'!$B$18:$N$28,Z$2+1,FALSE)*$M12*N12))</f>
        <v>1.2484975511637597</v>
      </c>
      <c r="AA12" s="81">
        <f>IF($L12&lt;&gt;1,O12,IF(VLOOKUP($A12,'User Interface (Start Here!)'!$B$18:$N$28,AA$2+1,FALSE)&lt;&gt;100%,O12-VLOOKUP($A12,'User Interface (Start Here!)'!$B$18:$N$28,AA$2+1,FALSE)/'User Interface (Start Here!)'!$L$35*$M12*O12,O12-VLOOKUP($A12,'User Interface (Start Here!)'!$B$18:$N$28,AA$2+1,FALSE)*$M12*O12))</f>
        <v>1.2484975511637597</v>
      </c>
      <c r="AB12" s="81">
        <f>IF($L12&lt;&gt;1,P12,IF(VLOOKUP($A12,'User Interface (Start Here!)'!$B$18:$N$28,AB$2+1,FALSE)&lt;&gt;100%,P12-VLOOKUP($A12,'User Interface (Start Here!)'!$B$18:$N$28,AB$2+1,FALSE)/'User Interface (Start Here!)'!$L$35*$M12*P12,P12-VLOOKUP($A12,'User Interface (Start Here!)'!$B$18:$N$28,AB$2+1,FALSE)*$M12*P12))</f>
        <v>1.3197666172754523</v>
      </c>
      <c r="AC12" s="81">
        <f>IF($L12&lt;&gt;1,Q12,IF(VLOOKUP($A12,'User Interface (Start Here!)'!$B$18:$N$28,AC$2+1,FALSE)&lt;&gt;100%,Q12-VLOOKUP($A12,'User Interface (Start Here!)'!$B$18:$N$28,AC$2+1,FALSE)/'User Interface (Start Here!)'!$L$35*$M12*Q12,Q12-VLOOKUP($A12,'User Interface (Start Here!)'!$B$18:$N$28,AC$2+1,FALSE)*$M12*Q12))</f>
        <v>1.3197666172754523</v>
      </c>
      <c r="AD12" s="81">
        <f>IF($L12&lt;&gt;1,R12,IF(VLOOKUP($A12,'User Interface (Start Here!)'!$B$18:$N$28,AD$2+1,FALSE)&lt;&gt;100%,R12-VLOOKUP($A12,'User Interface (Start Here!)'!$B$18:$N$28,AD$2+1,FALSE)/'User Interface (Start Here!)'!$L$35*$M12*R12,R12-VLOOKUP($A12,'User Interface (Start Here!)'!$B$18:$N$28,AD$2+1,FALSE)*$M12*R12))</f>
        <v>1.5320067915983655</v>
      </c>
      <c r="AE12" s="81">
        <f>IF($L12&lt;&gt;1,S12,IF(VLOOKUP($A12,'User Interface (Start Here!)'!$B$18:$N$28,AE$2+1,FALSE)&lt;&gt;100%,S12-VLOOKUP($A12,'User Interface (Start Here!)'!$B$18:$N$28,AE$2+1,FALSE)/'User Interface (Start Here!)'!$L$35*$M12*S12,S12-VLOOKUP($A12,'User Interface (Start Here!)'!$B$18:$N$28,AE$2+1,FALSE)*$M12*S12))</f>
        <v>1.5320067915983655</v>
      </c>
      <c r="AF12" s="81">
        <f>IF($L12&lt;&gt;1,T12,IF(VLOOKUP($A12,'User Interface (Start Here!)'!$B$18:$N$28,AF$2+1,FALSE)&lt;&gt;100%,T12-VLOOKUP($A12,'User Interface (Start Here!)'!$B$18:$N$28,AF$2+1,FALSE)/'User Interface (Start Here!)'!$L$35*$M12*T12,T12-VLOOKUP($A12,'User Interface (Start Here!)'!$B$18:$N$28,AF$2+1,FALSE)*$M12*T12))</f>
        <v>1.8397404595110651</v>
      </c>
      <c r="AG12" s="81">
        <f>IF($L12&lt;&gt;1,U12,IF(VLOOKUP($A12,'User Interface (Start Here!)'!$B$18:$N$28,AG$2+1,FALSE)&lt;&gt;100%,U12-VLOOKUP($A12,'User Interface (Start Here!)'!$B$18:$N$28,AG$2+1,FALSE)/'User Interface (Start Here!)'!$L$35*$M12*U12,U12-VLOOKUP($A12,'User Interface (Start Here!)'!$B$18:$N$28,AG$2+1,FALSE)*$M12*U12))</f>
        <v>1.8397404595110651</v>
      </c>
      <c r="AH12" s="81">
        <f>IF($L12&lt;&gt;1,V12,IF(VLOOKUP($A12,'User Interface (Start Here!)'!$B$18:$N$28,AH$2+1,FALSE)&lt;&gt;100%,V12-VLOOKUP($A12,'User Interface (Start Here!)'!$B$18:$N$28,AH$2+1,FALSE)/'User Interface (Start Here!)'!$L$35*$M12*V12,V12-VLOOKUP($A12,'User Interface (Start Here!)'!$B$18:$N$28,AH$2+1,FALSE)*$M12*V12))</f>
        <v>0.99004034396259022</v>
      </c>
      <c r="AI12" s="83">
        <f>IF($L12&lt;&gt;1,W12,IF(VLOOKUP($A12,'User Interface (Start Here!)'!$B$18:$N$28,AI$2+1,FALSE)&lt;&gt;100%,W12-VLOOKUP($A12,'User Interface (Start Here!)'!$B$18:$N$28,AI$2+1,FALSE)/'User Interface (Start Here!)'!$L$35*$M12*W12,W12-VLOOKUP($A12,'User Interface (Start Here!)'!$B$18:$N$28,AI$2+1,FALSE)*$M12*W12))</f>
        <v>0.99004034396259022</v>
      </c>
      <c r="AJ12" s="83">
        <f>IF($L12&lt;&gt;1,X12,IF(VLOOKUP($A12,'User Interface (Start Here!)'!$B$18:$N$28,AJ$2+1,FALSE)&lt;&gt;100%,X12-VLOOKUP($A12,'User Interface (Start Here!)'!$B$18:$N$28,AJ$2+1,FALSE)/'User Interface (Start Here!)'!$L$35*$M12*X12,X12-VLOOKUP($A12,'User Interface (Start Here!)'!$B$18:$N$28,AJ$2+1,FALSE)*$M12*X12))</f>
        <v>1.2767718199200453</v>
      </c>
      <c r="AK12" s="83">
        <f>IF($L12&lt;&gt;1,Y12,IF(VLOOKUP($A12,'User Interface (Start Here!)'!$B$18:$N$28,AK$2+1,FALSE)&lt;&gt;100%,Y12-VLOOKUP($A12,'User Interface (Start Here!)'!$B$18:$N$28,AK$2+1,FALSE)/'User Interface (Start Here!)'!$L$35*$M12*Y12,Y12-VLOOKUP($A12,'User Interface (Start Here!)'!$B$18:$N$28,AK$2+1,FALSE)*$M12*Y12))</f>
        <v>1.2767718199200453</v>
      </c>
      <c r="AL12" s="82">
        <f t="shared" si="4"/>
        <v>16.413647166862557</v>
      </c>
      <c r="AR12" t="s">
        <v>116</v>
      </c>
      <c r="AS12">
        <f>0.5*AS4</f>
        <v>0</v>
      </c>
      <c r="AT12">
        <f>AS12</f>
        <v>0</v>
      </c>
      <c r="AU12">
        <f>0.5*AT4</f>
        <v>3368</v>
      </c>
      <c r="AV12">
        <f>AU12</f>
        <v>3368</v>
      </c>
      <c r="AW12">
        <f>0.5*AU4</f>
        <v>17080</v>
      </c>
      <c r="AX12">
        <f>AW12</f>
        <v>17080</v>
      </c>
      <c r="AY12">
        <f>0.5*AV4</f>
        <v>23098</v>
      </c>
      <c r="AZ12">
        <f>AY12</f>
        <v>23098</v>
      </c>
      <c r="BA12">
        <f>0.5*AW4</f>
        <v>2994</v>
      </c>
      <c r="BB12">
        <f>BA12</f>
        <v>2994</v>
      </c>
      <c r="BC12">
        <f>0.5*AX4</f>
        <v>562.5</v>
      </c>
      <c r="BD12">
        <f>BC12</f>
        <v>562.5</v>
      </c>
      <c r="BE12">
        <f>SUM(AS12:BD12)</f>
        <v>94205</v>
      </c>
    </row>
    <row r="13" spans="1:57" ht="15.6">
      <c r="A13" s="71">
        <v>3179</v>
      </c>
      <c r="B13" s="59" t="s">
        <v>101</v>
      </c>
      <c r="C13" s="105">
        <v>4864.875</v>
      </c>
      <c r="D13" s="106">
        <v>6206.3056379821955</v>
      </c>
      <c r="E13" s="107">
        <f t="shared" si="0"/>
        <v>7347.3972551928782</v>
      </c>
      <c r="F13" s="100">
        <v>9370.5222551928764</v>
      </c>
      <c r="G13" s="100">
        <v>9370.5222551928764</v>
      </c>
      <c r="H13" s="100">
        <v>9446.885608308603</v>
      </c>
      <c r="I13" s="101">
        <v>9909.3378338278908</v>
      </c>
      <c r="J13" s="65">
        <f t="shared" si="3"/>
        <v>9.370522255192876</v>
      </c>
      <c r="K13" s="84">
        <f>(J13)*'User Interface (Start Here!)'!$L$8</f>
        <v>3.7482089020771507</v>
      </c>
      <c r="L13" s="2">
        <f>IF(VLOOKUP(A13,'User Interface (Start Here!)'!$DO$2:$DP$73,2,FALSE)&lt;&gt;0,1,0)</f>
        <v>1</v>
      </c>
      <c r="M13" s="41">
        <f>IF(AND(L13=1,ISBLANK('User Interface (Start Here!)'!$L$14),ISBLANK('User Interface (Start Here!)'!$M$14),ISBLANK('User Interface (Start Here!)'!$N$14)),100%*'User Interface (Start Here!)'!$L$30,IF(L13=1,VLOOKUP(A13,'Bathymetric Closures'!$A$2:$C$57,3,FALSE)*'User Interface (Start Here!)'!$L$30,0%))</f>
        <v>0.92134501698042015</v>
      </c>
      <c r="N13" s="79">
        <f t="shared" si="1"/>
        <v>0</v>
      </c>
      <c r="O13" s="79">
        <f t="shared" si="2"/>
        <v>0</v>
      </c>
      <c r="P13" s="79">
        <f t="shared" si="2"/>
        <v>0.13400528190855945</v>
      </c>
      <c r="Q13" s="79">
        <f t="shared" si="2"/>
        <v>0.13400528190855945</v>
      </c>
      <c r="R13" s="79">
        <f t="shared" si="2"/>
        <v>0.67957547951252839</v>
      </c>
      <c r="S13" s="79">
        <f t="shared" si="2"/>
        <v>0.67957547951252839</v>
      </c>
      <c r="T13" s="79">
        <f t="shared" si="2"/>
        <v>0.91901840900353515</v>
      </c>
      <c r="U13" s="79">
        <f t="shared" si="2"/>
        <v>0.91901840900353515</v>
      </c>
      <c r="V13" s="79">
        <f t="shared" si="2"/>
        <v>0.1191246478723952</v>
      </c>
      <c r="W13" s="79">
        <f t="shared" si="2"/>
        <v>0.1191246478723952</v>
      </c>
      <c r="X13" s="79">
        <f t="shared" si="2"/>
        <v>2.2380632741557212E-2</v>
      </c>
      <c r="Y13" s="79">
        <f t="shared" si="2"/>
        <v>2.2380632741557212E-2</v>
      </c>
      <c r="Z13" s="81">
        <f>IF($L13&lt;&gt;1,N13,IF(VLOOKUP($A13,'User Interface (Start Here!)'!$B$18:$N$28,Z$2+1,FALSE)&lt;&gt;100%,N13-VLOOKUP($A13,'User Interface (Start Here!)'!$B$18:$N$28,Z$2+1,FALSE)/'User Interface (Start Here!)'!$L$35*$M13*N13,N13-VLOOKUP($A13,'User Interface (Start Here!)'!$B$18:$N$28,Z$2+1,FALSE)*$M13*N13))</f>
        <v>0</v>
      </c>
      <c r="AA13" s="81">
        <f>IF($L13&lt;&gt;1,O13,IF(VLOOKUP($A13,'User Interface (Start Here!)'!$B$18:$N$28,AA$2+1,FALSE)&lt;&gt;100%,O13-VLOOKUP($A13,'User Interface (Start Here!)'!$B$18:$N$28,AA$2+1,FALSE)/'User Interface (Start Here!)'!$L$35*$M13*O13,O13-VLOOKUP($A13,'User Interface (Start Here!)'!$B$18:$N$28,AA$2+1,FALSE)*$M13*O13))</f>
        <v>0</v>
      </c>
      <c r="AB13" s="81">
        <f>IF($L13&lt;&gt;1,P13,IF(VLOOKUP($A13,'User Interface (Start Here!)'!$B$18:$N$28,AB$2+1,FALSE)&lt;&gt;100%,P13-VLOOKUP($A13,'User Interface (Start Here!)'!$B$18:$N$28,AB$2+1,FALSE)/'User Interface (Start Here!)'!$L$35*$M13*P13,P13-VLOOKUP($A13,'User Interface (Start Here!)'!$B$18:$N$28,AB$2+1,FALSE)*$M13*P13))</f>
        <v>1.0540183173051748E-2</v>
      </c>
      <c r="AC13" s="81">
        <f>IF($L13&lt;&gt;1,Q13,IF(VLOOKUP($A13,'User Interface (Start Here!)'!$B$18:$N$28,AC$2+1,FALSE)&lt;&gt;100%,Q13-VLOOKUP($A13,'User Interface (Start Here!)'!$B$18:$N$28,AC$2+1,FALSE)/'User Interface (Start Here!)'!$L$35*$M13*Q13,Q13-VLOOKUP($A13,'User Interface (Start Here!)'!$B$18:$N$28,AC$2+1,FALSE)*$M13*Q13))</f>
        <v>1.0540183173051748E-2</v>
      </c>
      <c r="AD13" s="81">
        <f>IF($L13&lt;&gt;1,R13,IF(VLOOKUP($A13,'User Interface (Start Here!)'!$B$18:$N$28,AD$2+1,FALSE)&lt;&gt;100%,R13-VLOOKUP($A13,'User Interface (Start Here!)'!$B$18:$N$28,AD$2+1,FALSE)/'User Interface (Start Here!)'!$L$35*$M13*R13,R13-VLOOKUP($A13,'User Interface (Start Here!)'!$B$18:$N$28,AD$2+1,FALSE)*$M13*R13))</f>
        <v>5.345199780158072E-2</v>
      </c>
      <c r="AE13" s="81">
        <f>IF($L13&lt;&gt;1,S13,IF(VLOOKUP($A13,'User Interface (Start Here!)'!$B$18:$N$28,AE$2+1,FALSE)&lt;&gt;100%,S13-VLOOKUP($A13,'User Interface (Start Here!)'!$B$18:$N$28,AE$2+1,FALSE)/'User Interface (Start Here!)'!$L$35*$M13*S13,S13-VLOOKUP($A13,'User Interface (Start Here!)'!$B$18:$N$28,AE$2+1,FALSE)*$M13*S13))</f>
        <v>5.345199780158072E-2</v>
      </c>
      <c r="AF13" s="81">
        <f>IF($L13&lt;&gt;1,T13,IF(VLOOKUP($A13,'User Interface (Start Here!)'!$B$18:$N$28,AF$2+1,FALSE)&lt;&gt;100%,T13-VLOOKUP($A13,'User Interface (Start Here!)'!$B$18:$N$28,AF$2+1,FALSE)/'User Interface (Start Here!)'!$L$35*$M13*T13,T13-VLOOKUP($A13,'User Interface (Start Here!)'!$B$18:$N$28,AF$2+1,FALSE)*$M13*T13))</f>
        <v>7.2285377354854297E-2</v>
      </c>
      <c r="AG13" s="81">
        <f>IF($L13&lt;&gt;1,U13,IF(VLOOKUP($A13,'User Interface (Start Here!)'!$B$18:$N$28,AG$2+1,FALSE)&lt;&gt;100%,U13-VLOOKUP($A13,'User Interface (Start Here!)'!$B$18:$N$28,AG$2+1,FALSE)/'User Interface (Start Here!)'!$L$35*$M13*U13,U13-VLOOKUP($A13,'User Interface (Start Here!)'!$B$18:$N$28,AG$2+1,FALSE)*$M13*U13))</f>
        <v>7.2285377354854297E-2</v>
      </c>
      <c r="AH13" s="81">
        <f>IF($L13&lt;&gt;1,V13,IF(VLOOKUP($A13,'User Interface (Start Here!)'!$B$18:$N$28,AH$2+1,FALSE)&lt;&gt;100%,V13-VLOOKUP($A13,'User Interface (Start Here!)'!$B$18:$N$28,AH$2+1,FALSE)/'User Interface (Start Here!)'!$L$35*$M13*V13,V13-VLOOKUP($A13,'User Interface (Start Here!)'!$B$18:$N$28,AH$2+1,FALSE)*$M13*V13))</f>
        <v>9.36974715561667E-3</v>
      </c>
      <c r="AI13" s="83">
        <f>IF($L13&lt;&gt;1,W13,IF(VLOOKUP($A13,'User Interface (Start Here!)'!$B$18:$N$28,AI$2+1,FALSE)&lt;&gt;100%,W13-VLOOKUP($A13,'User Interface (Start Here!)'!$B$18:$N$28,AI$2+1,FALSE)/'User Interface (Start Here!)'!$L$35*$M13*W13,W13-VLOOKUP($A13,'User Interface (Start Here!)'!$B$18:$N$28,AI$2+1,FALSE)*$M13*W13))</f>
        <v>9.36974715561667E-3</v>
      </c>
      <c r="AJ13" s="83">
        <f>IF($L13&lt;&gt;1,X13,IF(VLOOKUP($A13,'User Interface (Start Here!)'!$B$18:$N$28,AJ$2+1,FALSE)&lt;&gt;100%,X13-VLOOKUP($A13,'User Interface (Start Here!)'!$B$18:$N$28,AJ$2+1,FALSE)/'User Interface (Start Here!)'!$L$35*$M13*X13,X13-VLOOKUP($A13,'User Interface (Start Here!)'!$B$18:$N$28,AJ$2+1,FALSE)*$M13*X13))</f>
        <v>1.7603482882546338E-3</v>
      </c>
      <c r="AK13" s="83">
        <f>IF($L13&lt;&gt;1,Y13,IF(VLOOKUP($A13,'User Interface (Start Here!)'!$B$18:$N$28,AK$2+1,FALSE)&lt;&gt;100%,Y13-VLOOKUP($A13,'User Interface (Start Here!)'!$B$18:$N$28,AK$2+1,FALSE)/'User Interface (Start Here!)'!$L$35*$M13*Y13,Y13-VLOOKUP($A13,'User Interface (Start Here!)'!$B$18:$N$28,AK$2+1,FALSE)*$M13*Y13))</f>
        <v>1.7603482882546338E-3</v>
      </c>
      <c r="AL13" s="82">
        <f t="shared" si="4"/>
        <v>0.29481530754671609</v>
      </c>
      <c r="AR13" t="s">
        <v>117</v>
      </c>
      <c r="AS13">
        <f>0.5*AS5</f>
        <v>0</v>
      </c>
      <c r="AT13">
        <f>AS13</f>
        <v>0</v>
      </c>
      <c r="AU13">
        <f>0.5*AT5</f>
        <v>478.5</v>
      </c>
      <c r="AV13">
        <f>AU13</f>
        <v>478.5</v>
      </c>
      <c r="AW13">
        <f>0.5*AU5</f>
        <v>3140.5</v>
      </c>
      <c r="AX13">
        <f>AW13</f>
        <v>3140.5</v>
      </c>
      <c r="AY13">
        <f>0.5*AV5</f>
        <v>737</v>
      </c>
      <c r="AZ13">
        <f>AY13</f>
        <v>737</v>
      </c>
      <c r="BA13">
        <f>0.5*AW5</f>
        <v>438.5</v>
      </c>
      <c r="BB13">
        <f>BA13</f>
        <v>438.5</v>
      </c>
      <c r="BC13">
        <f>0.5*AX5</f>
        <v>83</v>
      </c>
      <c r="BD13">
        <f>BC13</f>
        <v>83</v>
      </c>
      <c r="BE13">
        <f>SUM(AS13:BD13)</f>
        <v>9755</v>
      </c>
    </row>
    <row r="14" spans="1:57" ht="15.6">
      <c r="A14" s="71">
        <v>3180</v>
      </c>
      <c r="B14" s="59" t="s">
        <v>101</v>
      </c>
      <c r="C14" s="105">
        <v>16756.791666666664</v>
      </c>
      <c r="D14" s="106">
        <v>21377.274975272008</v>
      </c>
      <c r="E14" s="107">
        <f t="shared" si="0"/>
        <v>25307.701656775469</v>
      </c>
      <c r="F14" s="100">
        <v>32276.243323442126</v>
      </c>
      <c r="G14" s="100">
        <v>32276.243323442126</v>
      </c>
      <c r="H14" s="100">
        <v>32539.272650840743</v>
      </c>
      <c r="I14" s="101">
        <v>34132.163649851624</v>
      </c>
      <c r="J14" s="65">
        <f t="shared" si="3"/>
        <v>32.276243323442124</v>
      </c>
      <c r="K14" s="84">
        <f>(J14)*'User Interface (Start Here!)'!$L$8</f>
        <v>12.910497329376851</v>
      </c>
      <c r="L14" s="2">
        <f>IF(VLOOKUP(A14,'User Interface (Start Here!)'!$DO$2:$DP$73,2,FALSE)&lt;&gt;0,1,0)</f>
        <v>1</v>
      </c>
      <c r="M14" s="41">
        <f>IF(AND(L14=1,ISBLANK('User Interface (Start Here!)'!$L$14),ISBLANK('User Interface (Start Here!)'!$M$14),ISBLANK('User Interface (Start Here!)'!$N$14)),100%*'User Interface (Start Here!)'!$L$30,IF(L14=1,VLOOKUP(A14,'Bathymetric Closures'!$A$2:$C$57,3,FALSE)*'User Interface (Start Here!)'!$L$30,0%))</f>
        <v>0.96642860025017152</v>
      </c>
      <c r="N14" s="79">
        <f t="shared" si="1"/>
        <v>0</v>
      </c>
      <c r="O14" s="79">
        <f t="shared" si="2"/>
        <v>0</v>
      </c>
      <c r="P14" s="79">
        <f t="shared" si="2"/>
        <v>0.46157374879614915</v>
      </c>
      <c r="Q14" s="79">
        <f t="shared" si="2"/>
        <v>0.46157374879614915</v>
      </c>
      <c r="R14" s="79">
        <f t="shared" si="2"/>
        <v>2.3407599849875975</v>
      </c>
      <c r="S14" s="79">
        <f t="shared" si="2"/>
        <v>2.3407599849875975</v>
      </c>
      <c r="T14" s="79">
        <f t="shared" si="2"/>
        <v>3.1655078532343981</v>
      </c>
      <c r="U14" s="79">
        <f t="shared" si="2"/>
        <v>3.1655078532343981</v>
      </c>
      <c r="V14" s="79">
        <f t="shared" si="2"/>
        <v>0.41031823156047226</v>
      </c>
      <c r="W14" s="79">
        <f t="shared" si="2"/>
        <v>0.41031823156047226</v>
      </c>
      <c r="X14" s="79">
        <f t="shared" si="2"/>
        <v>7.7088846109808165E-2</v>
      </c>
      <c r="Y14" s="79">
        <f t="shared" si="2"/>
        <v>7.7088846109808165E-2</v>
      </c>
      <c r="Z14" s="81">
        <f>IF($L14&lt;&gt;1,N14,IF(VLOOKUP($A14,'User Interface (Start Here!)'!$B$18:$N$28,Z$2+1,FALSE)&lt;&gt;100%,N14-VLOOKUP($A14,'User Interface (Start Here!)'!$B$18:$N$28,Z$2+1,FALSE)/'User Interface (Start Here!)'!$L$35*$M14*N14,N14-VLOOKUP($A14,'User Interface (Start Here!)'!$B$18:$N$28,Z$2+1,FALSE)*$M14*N14))</f>
        <v>0</v>
      </c>
      <c r="AA14" s="81">
        <f>IF($L14&lt;&gt;1,O14,IF(VLOOKUP($A14,'User Interface (Start Here!)'!$B$18:$N$28,AA$2+1,FALSE)&lt;&gt;100%,O14-VLOOKUP($A14,'User Interface (Start Here!)'!$B$18:$N$28,AA$2+1,FALSE)/'User Interface (Start Here!)'!$L$35*$M14*O14,O14-VLOOKUP($A14,'User Interface (Start Here!)'!$B$18:$N$28,AA$2+1,FALSE)*$M14*O14))</f>
        <v>0</v>
      </c>
      <c r="AB14" s="81">
        <f>IF($L14&lt;&gt;1,P14,IF(VLOOKUP($A14,'User Interface (Start Here!)'!$B$18:$N$28,AB$2+1,FALSE)&lt;&gt;100%,P14-VLOOKUP($A14,'User Interface (Start Here!)'!$B$18:$N$28,AB$2+1,FALSE)/'User Interface (Start Here!)'!$L$35*$M14*P14,P14-VLOOKUP($A14,'User Interface (Start Here!)'!$B$18:$N$28,AB$2+1,FALSE)*$M14*P14))</f>
        <v>1.5495676834862415E-2</v>
      </c>
      <c r="AC14" s="81">
        <f>IF($L14&lt;&gt;1,Q14,IF(VLOOKUP($A14,'User Interface (Start Here!)'!$B$18:$N$28,AC$2+1,FALSE)&lt;&gt;100%,Q14-VLOOKUP($A14,'User Interface (Start Here!)'!$B$18:$N$28,AC$2+1,FALSE)/'User Interface (Start Here!)'!$L$35*$M14*Q14,Q14-VLOOKUP($A14,'User Interface (Start Here!)'!$B$18:$N$28,AC$2+1,FALSE)*$M14*Q14))</f>
        <v>1.5495676834862415E-2</v>
      </c>
      <c r="AD14" s="81">
        <f>IF($L14&lt;&gt;1,R14,IF(VLOOKUP($A14,'User Interface (Start Here!)'!$B$18:$N$28,AD$2+1,FALSE)&lt;&gt;100%,R14-VLOOKUP($A14,'User Interface (Start Here!)'!$B$18:$N$28,AD$2+1,FALSE)/'User Interface (Start Here!)'!$L$35*$M14*R14,R14-VLOOKUP($A14,'User Interface (Start Here!)'!$B$18:$N$28,AD$2+1,FALSE)*$M14*R14))</f>
        <v>7.858258917442118E-2</v>
      </c>
      <c r="AE14" s="81">
        <f>IF($L14&lt;&gt;1,S14,IF(VLOOKUP($A14,'User Interface (Start Here!)'!$B$18:$N$28,AE$2+1,FALSE)&lt;&gt;100%,S14-VLOOKUP($A14,'User Interface (Start Here!)'!$B$18:$N$28,AE$2+1,FALSE)/'User Interface (Start Here!)'!$L$35*$M14*S14,S14-VLOOKUP($A14,'User Interface (Start Here!)'!$B$18:$N$28,AE$2+1,FALSE)*$M14*S14))</f>
        <v>7.858258917442118E-2</v>
      </c>
      <c r="AF14" s="81">
        <f>IF($L14&lt;&gt;1,T14,IF(VLOOKUP($A14,'User Interface (Start Here!)'!$B$18:$N$28,AF$2+1,FALSE)&lt;&gt;100%,T14-VLOOKUP($A14,'User Interface (Start Here!)'!$B$18:$N$28,AF$2+1,FALSE)/'User Interface (Start Here!)'!$L$35*$M14*T14,T14-VLOOKUP($A14,'User Interface (Start Here!)'!$B$18:$N$28,AF$2+1,FALSE)*$M14*T14))</f>
        <v>0.10627052955215355</v>
      </c>
      <c r="AG14" s="81">
        <f>IF($L14&lt;&gt;1,U14,IF(VLOOKUP($A14,'User Interface (Start Here!)'!$B$18:$N$28,AG$2+1,FALSE)&lt;&gt;100%,U14-VLOOKUP($A14,'User Interface (Start Here!)'!$B$18:$N$28,AG$2+1,FALSE)/'User Interface (Start Here!)'!$L$35*$M14*U14,U14-VLOOKUP($A14,'User Interface (Start Here!)'!$B$18:$N$28,AG$2+1,FALSE)*$M14*U14))</f>
        <v>0.10627052955215355</v>
      </c>
      <c r="AH14" s="81">
        <f>IF($L14&lt;&gt;1,V14,IF(VLOOKUP($A14,'User Interface (Start Here!)'!$B$18:$N$28,AH$2+1,FALSE)&lt;&gt;100%,V14-VLOOKUP($A14,'User Interface (Start Here!)'!$B$18:$N$28,AH$2+1,FALSE)/'User Interface (Start Here!)'!$L$35*$M14*V14,V14-VLOOKUP($A14,'User Interface (Start Here!)'!$B$18:$N$28,AH$2+1,FALSE)*$M14*V14))</f>
        <v>1.3774957376359309E-2</v>
      </c>
      <c r="AI14" s="83">
        <f>IF($L14&lt;&gt;1,W14,IF(VLOOKUP($A14,'User Interface (Start Here!)'!$B$18:$N$28,AI$2+1,FALSE)&lt;&gt;100%,W14-VLOOKUP($A14,'User Interface (Start Here!)'!$B$18:$N$28,AI$2+1,FALSE)/'User Interface (Start Here!)'!$L$35*$M14*W14,W14-VLOOKUP($A14,'User Interface (Start Here!)'!$B$18:$N$28,AI$2+1,FALSE)*$M14*W14))</f>
        <v>1.3774957376359309E-2</v>
      </c>
      <c r="AJ14" s="83">
        <f>IF($L14&lt;&gt;1,X14,IF(VLOOKUP($A14,'User Interface (Start Here!)'!$B$18:$N$28,AJ$2+1,FALSE)&lt;&gt;100%,X14-VLOOKUP($A14,'User Interface (Start Here!)'!$B$18:$N$28,AJ$2+1,FALSE)/'User Interface (Start Here!)'!$L$35*$M14*X14,X14-VLOOKUP($A14,'User Interface (Start Here!)'!$B$18:$N$28,AJ$2+1,FALSE)*$M14*X14))</f>
        <v>2.5879804690053798E-3</v>
      </c>
      <c r="AK14" s="83">
        <f>IF($L14&lt;&gt;1,Y14,IF(VLOOKUP($A14,'User Interface (Start Here!)'!$B$18:$N$28,AK$2+1,FALSE)&lt;&gt;100%,Y14-VLOOKUP($A14,'User Interface (Start Here!)'!$B$18:$N$28,AK$2+1,FALSE)/'User Interface (Start Here!)'!$L$35*$M14*Y14,Y14-VLOOKUP($A14,'User Interface (Start Here!)'!$B$18:$N$28,AK$2+1,FALSE)*$M14*Y14))</f>
        <v>2.5879804690053798E-3</v>
      </c>
      <c r="AL14" s="82">
        <f t="shared" si="4"/>
        <v>0.43342346681360366</v>
      </c>
      <c r="AR14" t="s">
        <v>118</v>
      </c>
      <c r="AS14">
        <f>0.5*AS6</f>
        <v>0</v>
      </c>
      <c r="AT14">
        <f>AS14</f>
        <v>0</v>
      </c>
      <c r="AU14">
        <f>0.5*AT6</f>
        <v>833</v>
      </c>
      <c r="AV14">
        <f>AU14</f>
        <v>833</v>
      </c>
      <c r="AW14">
        <f>0.5*AU6</f>
        <v>2281</v>
      </c>
      <c r="AX14">
        <f>AW14</f>
        <v>2281</v>
      </c>
      <c r="AY14">
        <f>0.5*AV6</f>
        <v>4849</v>
      </c>
      <c r="AZ14">
        <f>AY14</f>
        <v>4849</v>
      </c>
      <c r="BA14">
        <f>0.5*AW6</f>
        <v>545.5</v>
      </c>
      <c r="BB14">
        <f>BA14</f>
        <v>545.5</v>
      </c>
      <c r="BC14">
        <f>0.5*AX6</f>
        <v>1517</v>
      </c>
      <c r="BD14">
        <f>BC14</f>
        <v>1517</v>
      </c>
      <c r="BE14">
        <f>SUM(AS14:BD14)</f>
        <v>20051</v>
      </c>
    </row>
    <row r="15" spans="1:57" ht="15.6">
      <c r="A15" s="72">
        <v>3277</v>
      </c>
      <c r="B15" s="60" t="s">
        <v>16</v>
      </c>
      <c r="C15" s="108">
        <v>18.42437864749779</v>
      </c>
      <c r="D15" s="109">
        <v>7.8966901810580818</v>
      </c>
      <c r="E15" s="110">
        <f t="shared" si="0"/>
        <v>21.583054719921023</v>
      </c>
      <c r="F15" s="100">
        <v>15.090255557268675</v>
      </c>
      <c r="G15" s="100">
        <v>16.700594991946982</v>
      </c>
      <c r="H15" s="100">
        <v>13.578567196650642</v>
      </c>
      <c r="I15" s="101">
        <v>15.188906631328949</v>
      </c>
      <c r="J15" s="65">
        <f t="shared" si="3"/>
        <v>1.5090255557268674E-2</v>
      </c>
      <c r="K15" s="84">
        <f>(J15)*'User Interface (Start Here!)'!$L$8</f>
        <v>6.03610222290747E-3</v>
      </c>
      <c r="L15" s="2">
        <f>IF(VLOOKUP(A15,'User Interface (Start Here!)'!$DO$2:$DP$73,2,FALSE)&lt;&gt;0,1,0)</f>
        <v>0</v>
      </c>
      <c r="M15" s="41">
        <f>IF(AND(L15=1,ISBLANK('User Interface (Start Here!)'!$L$14),ISBLANK('User Interface (Start Here!)'!$M$14),ISBLANK('User Interface (Start Here!)'!$N$14)),100%*'User Interface (Start Here!)'!$L$30,IF(L15=1,VLOOKUP(A15,'Bathymetric Closures'!$A$2:$C$57,3,FALSE)*'User Interface (Start Here!)'!$L$30,0%))</f>
        <v>0</v>
      </c>
      <c r="N15" s="79">
        <f t="shared" si="1"/>
        <v>0</v>
      </c>
      <c r="O15" s="79">
        <f t="shared" si="2"/>
        <v>0</v>
      </c>
      <c r="P15" s="79">
        <f t="shared" si="2"/>
        <v>2.5076420885152472E-4</v>
      </c>
      <c r="Q15" s="79">
        <f t="shared" si="2"/>
        <v>2.5076420885152472E-4</v>
      </c>
      <c r="R15" s="79">
        <f t="shared" si="2"/>
        <v>6.8666645905201434E-4</v>
      </c>
      <c r="S15" s="79">
        <f t="shared" si="2"/>
        <v>6.8666645905201434E-4</v>
      </c>
      <c r="T15" s="79">
        <f t="shared" si="2"/>
        <v>1.4597306707335455E-3</v>
      </c>
      <c r="U15" s="79">
        <f t="shared" si="2"/>
        <v>1.4597306707335455E-3</v>
      </c>
      <c r="V15" s="79">
        <f t="shared" si="2"/>
        <v>1.6421593748920378E-4</v>
      </c>
      <c r="W15" s="79">
        <f t="shared" si="2"/>
        <v>1.6421593748920378E-4</v>
      </c>
      <c r="X15" s="79">
        <f t="shared" si="2"/>
        <v>4.5667383532744664E-4</v>
      </c>
      <c r="Y15" s="79">
        <f t="shared" si="2"/>
        <v>4.5667383532744664E-4</v>
      </c>
      <c r="Z15" s="81">
        <f>IF($L15&lt;&gt;1,N15,IF(VLOOKUP($A15,'User Interface (Start Here!)'!$B$18:$N$28,Z$2+1,FALSE)&lt;&gt;100%,N15-VLOOKUP($A15,'User Interface (Start Here!)'!$B$18:$N$28,Z$2+1,FALSE)/'User Interface (Start Here!)'!$L$35*$M15*N15,N15-VLOOKUP($A15,'User Interface (Start Here!)'!$B$18:$N$28,Z$2+1,FALSE)*$M15*N15))</f>
        <v>0</v>
      </c>
      <c r="AA15" s="81">
        <f>IF($L15&lt;&gt;1,O15,IF(VLOOKUP($A15,'User Interface (Start Here!)'!$B$18:$N$28,AA$2+1,FALSE)&lt;&gt;100%,O15-VLOOKUP($A15,'User Interface (Start Here!)'!$B$18:$N$28,AA$2+1,FALSE)/'User Interface (Start Here!)'!$L$35*$M15*O15,O15-VLOOKUP($A15,'User Interface (Start Here!)'!$B$18:$N$28,AA$2+1,FALSE)*$M15*O15))</f>
        <v>0</v>
      </c>
      <c r="AB15" s="81">
        <f>IF($L15&lt;&gt;1,P15,IF(VLOOKUP($A15,'User Interface (Start Here!)'!$B$18:$N$28,AB$2+1,FALSE)&lt;&gt;100%,P15-VLOOKUP($A15,'User Interface (Start Here!)'!$B$18:$N$28,AB$2+1,FALSE)/'User Interface (Start Here!)'!$L$35*$M15*P15,P15-VLOOKUP($A15,'User Interface (Start Here!)'!$B$18:$N$28,AB$2+1,FALSE)*$M15*P15))</f>
        <v>2.5076420885152472E-4</v>
      </c>
      <c r="AC15" s="81">
        <f>IF($L15&lt;&gt;1,Q15,IF(VLOOKUP($A15,'User Interface (Start Here!)'!$B$18:$N$28,AC$2+1,FALSE)&lt;&gt;100%,Q15-VLOOKUP($A15,'User Interface (Start Here!)'!$B$18:$N$28,AC$2+1,FALSE)/'User Interface (Start Here!)'!$L$35*$M15*Q15,Q15-VLOOKUP($A15,'User Interface (Start Here!)'!$B$18:$N$28,AC$2+1,FALSE)*$M15*Q15))</f>
        <v>2.5076420885152472E-4</v>
      </c>
      <c r="AD15" s="81">
        <f>IF($L15&lt;&gt;1,R15,IF(VLOOKUP($A15,'User Interface (Start Here!)'!$B$18:$N$28,AD$2+1,FALSE)&lt;&gt;100%,R15-VLOOKUP($A15,'User Interface (Start Here!)'!$B$18:$N$28,AD$2+1,FALSE)/'User Interface (Start Here!)'!$L$35*$M15*R15,R15-VLOOKUP($A15,'User Interface (Start Here!)'!$B$18:$N$28,AD$2+1,FALSE)*$M15*R15))</f>
        <v>6.8666645905201434E-4</v>
      </c>
      <c r="AE15" s="81">
        <f>IF($L15&lt;&gt;1,S15,IF(VLOOKUP($A15,'User Interface (Start Here!)'!$B$18:$N$28,AE$2+1,FALSE)&lt;&gt;100%,S15-VLOOKUP($A15,'User Interface (Start Here!)'!$B$18:$N$28,AE$2+1,FALSE)/'User Interface (Start Here!)'!$L$35*$M15*S15,S15-VLOOKUP($A15,'User Interface (Start Here!)'!$B$18:$N$28,AE$2+1,FALSE)*$M15*S15))</f>
        <v>6.8666645905201434E-4</v>
      </c>
      <c r="AF15" s="81">
        <f>IF($L15&lt;&gt;1,T15,IF(VLOOKUP($A15,'User Interface (Start Here!)'!$B$18:$N$28,AF$2+1,FALSE)&lt;&gt;100%,T15-VLOOKUP($A15,'User Interface (Start Here!)'!$B$18:$N$28,AF$2+1,FALSE)/'User Interface (Start Here!)'!$L$35*$M15*T15,T15-VLOOKUP($A15,'User Interface (Start Here!)'!$B$18:$N$28,AF$2+1,FALSE)*$M15*T15))</f>
        <v>1.4597306707335455E-3</v>
      </c>
      <c r="AG15" s="81">
        <f>IF($L15&lt;&gt;1,U15,IF(VLOOKUP($A15,'User Interface (Start Here!)'!$B$18:$N$28,AG$2+1,FALSE)&lt;&gt;100%,U15-VLOOKUP($A15,'User Interface (Start Here!)'!$B$18:$N$28,AG$2+1,FALSE)/'User Interface (Start Here!)'!$L$35*$M15*U15,U15-VLOOKUP($A15,'User Interface (Start Here!)'!$B$18:$N$28,AG$2+1,FALSE)*$M15*U15))</f>
        <v>1.4597306707335455E-3</v>
      </c>
      <c r="AH15" s="81">
        <f>IF($L15&lt;&gt;1,V15,IF(VLOOKUP($A15,'User Interface (Start Here!)'!$B$18:$N$28,AH$2+1,FALSE)&lt;&gt;100%,V15-VLOOKUP($A15,'User Interface (Start Here!)'!$B$18:$N$28,AH$2+1,FALSE)/'User Interface (Start Here!)'!$L$35*$M15*V15,V15-VLOOKUP($A15,'User Interface (Start Here!)'!$B$18:$N$28,AH$2+1,FALSE)*$M15*V15))</f>
        <v>1.6421593748920378E-4</v>
      </c>
      <c r="AI15" s="83">
        <f>IF($L15&lt;&gt;1,W15,IF(VLOOKUP($A15,'User Interface (Start Here!)'!$B$18:$N$28,AI$2+1,FALSE)&lt;&gt;100%,W15-VLOOKUP($A15,'User Interface (Start Here!)'!$B$18:$N$28,AI$2+1,FALSE)/'User Interface (Start Here!)'!$L$35*$M15*W15,W15-VLOOKUP($A15,'User Interface (Start Here!)'!$B$18:$N$28,AI$2+1,FALSE)*$M15*W15))</f>
        <v>1.6421593748920378E-4</v>
      </c>
      <c r="AJ15" s="83">
        <f>IF($L15&lt;&gt;1,X15,IF(VLOOKUP($A15,'User Interface (Start Here!)'!$B$18:$N$28,AJ$2+1,FALSE)&lt;&gt;100%,X15-VLOOKUP($A15,'User Interface (Start Here!)'!$B$18:$N$28,AJ$2+1,FALSE)/'User Interface (Start Here!)'!$L$35*$M15*X15,X15-VLOOKUP($A15,'User Interface (Start Here!)'!$B$18:$N$28,AJ$2+1,FALSE)*$M15*X15))</f>
        <v>4.5667383532744664E-4</v>
      </c>
      <c r="AK15" s="83">
        <f>IF($L15&lt;&gt;1,Y15,IF(VLOOKUP($A15,'User Interface (Start Here!)'!$B$18:$N$28,AK$2+1,FALSE)&lt;&gt;100%,Y15-VLOOKUP($A15,'User Interface (Start Here!)'!$B$18:$N$28,AK$2+1,FALSE)/'User Interface (Start Here!)'!$L$35*$M15*Y15,Y15-VLOOKUP($A15,'User Interface (Start Here!)'!$B$18:$N$28,AK$2+1,FALSE)*$M15*Y15))</f>
        <v>4.5667383532744664E-4</v>
      </c>
      <c r="AL15" s="82">
        <f t="shared" si="4"/>
        <v>6.03610222290747E-3</v>
      </c>
      <c r="AR15" t="s">
        <v>24</v>
      </c>
      <c r="AS15">
        <f>0.5*AS7</f>
        <v>92022.5</v>
      </c>
      <c r="AT15">
        <f>AS15</f>
        <v>92022.5</v>
      </c>
      <c r="AU15">
        <f>0.5*AT7</f>
        <v>101955</v>
      </c>
      <c r="AV15">
        <f>AU15</f>
        <v>101955</v>
      </c>
      <c r="AW15">
        <f>0.5*AU7</f>
        <v>135420.5</v>
      </c>
      <c r="AX15">
        <f>AW15</f>
        <v>135420.5</v>
      </c>
      <c r="AY15">
        <f>0.5*AV7</f>
        <v>164285</v>
      </c>
      <c r="AZ15">
        <f>AY15</f>
        <v>164285</v>
      </c>
      <c r="BA15">
        <f>0.5*AW7</f>
        <v>76950.5</v>
      </c>
      <c r="BB15">
        <f>BA15</f>
        <v>76950.5</v>
      </c>
      <c r="BC15">
        <f>0.5*AX7</f>
        <v>96269</v>
      </c>
      <c r="BD15">
        <f>BC15</f>
        <v>96269</v>
      </c>
      <c r="BE15">
        <f>SUM(AS15:BD15)</f>
        <v>1333805</v>
      </c>
    </row>
    <row r="16" spans="1:57" ht="15.6">
      <c r="A16" s="72">
        <v>3278</v>
      </c>
      <c r="B16" s="60" t="s">
        <v>16</v>
      </c>
      <c r="C16" s="108">
        <v>1319.9927494487349</v>
      </c>
      <c r="D16" s="109">
        <v>565.74899935935196</v>
      </c>
      <c r="E16" s="110">
        <f t="shared" si="0"/>
        <v>1546.2923491924757</v>
      </c>
      <c r="F16" s="100">
        <v>1081.1234562652851</v>
      </c>
      <c r="G16" s="100">
        <v>1196.4943145501272</v>
      </c>
      <c r="H16" s="100">
        <v>972.82033714149054</v>
      </c>
      <c r="I16" s="101">
        <v>1088.1911954263328</v>
      </c>
      <c r="J16" s="65">
        <f t="shared" si="3"/>
        <v>1.0811234562652852</v>
      </c>
      <c r="K16" s="84">
        <f>(J16)*'User Interface (Start Here!)'!$L$8</f>
        <v>0.43244938250611409</v>
      </c>
      <c r="L16" s="2">
        <f>IF(VLOOKUP(A16,'User Interface (Start Here!)'!$DO$2:$DP$73,2,FALSE)&lt;&gt;0,1,0)</f>
        <v>1</v>
      </c>
      <c r="M16" s="41">
        <f>IF(AND(L16=1,ISBLANK('User Interface (Start Here!)'!$L$14),ISBLANK('User Interface (Start Here!)'!$M$14),ISBLANK('User Interface (Start Here!)'!$N$14)),100%*'User Interface (Start Here!)'!$L$30,IF(L16=1,VLOOKUP(A16,'Bathymetric Closures'!$A$2:$C$57,3,FALSE)*'User Interface (Start Here!)'!$L$30,0%))</f>
        <v>0.79957737321196343</v>
      </c>
      <c r="N16" s="79">
        <f t="shared" si="1"/>
        <v>0</v>
      </c>
      <c r="O16" s="79">
        <f t="shared" si="2"/>
        <v>0</v>
      </c>
      <c r="P16" s="79">
        <f t="shared" si="2"/>
        <v>1.7965704235578927E-2</v>
      </c>
      <c r="Q16" s="79">
        <f t="shared" si="2"/>
        <v>1.7965704235578927E-2</v>
      </c>
      <c r="R16" s="79">
        <f t="shared" si="2"/>
        <v>4.9195403795144692E-2</v>
      </c>
      <c r="S16" s="79">
        <f t="shared" si="2"/>
        <v>4.9195403795144692E-2</v>
      </c>
      <c r="T16" s="79">
        <f t="shared" si="2"/>
        <v>0.10458067207481658</v>
      </c>
      <c r="U16" s="79">
        <f t="shared" si="2"/>
        <v>0.10458067207481658</v>
      </c>
      <c r="V16" s="79">
        <f t="shared" si="2"/>
        <v>1.1765056015015971E-2</v>
      </c>
      <c r="W16" s="79">
        <f t="shared" si="2"/>
        <v>1.1765056015015971E-2</v>
      </c>
      <c r="X16" s="79">
        <f t="shared" si="2"/>
        <v>3.2717855132500875E-2</v>
      </c>
      <c r="Y16" s="79">
        <f t="shared" si="2"/>
        <v>3.2717855132500875E-2</v>
      </c>
      <c r="Z16" s="81">
        <f>IF($L16&lt;&gt;1,N16,IF(VLOOKUP($A16,'User Interface (Start Here!)'!$B$18:$N$28,Z$2+1,FALSE)&lt;&gt;100%,N16-VLOOKUP($A16,'User Interface (Start Here!)'!$B$18:$N$28,Z$2+1,FALSE)/'User Interface (Start Here!)'!$L$35*$M16*N16,N16-VLOOKUP($A16,'User Interface (Start Here!)'!$B$18:$N$28,Z$2+1,FALSE)*$M16*N16))</f>
        <v>0</v>
      </c>
      <c r="AA16" s="81">
        <f>IF($L16&lt;&gt;1,O16,IF(VLOOKUP($A16,'User Interface (Start Here!)'!$B$18:$N$28,AA$2+1,FALSE)&lt;&gt;100%,O16-VLOOKUP($A16,'User Interface (Start Here!)'!$B$18:$N$28,AA$2+1,FALSE)/'User Interface (Start Here!)'!$L$35*$M16*O16,O16-VLOOKUP($A16,'User Interface (Start Here!)'!$B$18:$N$28,AA$2+1,FALSE)*$M16*O16))</f>
        <v>0</v>
      </c>
      <c r="AB16" s="81">
        <f>IF($L16&lt;&gt;1,P16,IF(VLOOKUP($A16,'User Interface (Start Here!)'!$B$18:$N$28,AB$2+1,FALSE)&lt;&gt;100%,P16-VLOOKUP($A16,'User Interface (Start Here!)'!$B$18:$N$28,AB$2+1,FALSE)/'User Interface (Start Here!)'!$L$35*$M16*P16,P16-VLOOKUP($A16,'User Interface (Start Here!)'!$B$18:$N$28,AB$2+1,FALSE)*$M16*P16))</f>
        <v>3.6007336349916826E-3</v>
      </c>
      <c r="AC16" s="81">
        <f>IF($L16&lt;&gt;1,Q16,IF(VLOOKUP($A16,'User Interface (Start Here!)'!$B$18:$N$28,AC$2+1,FALSE)&lt;&gt;100%,Q16-VLOOKUP($A16,'User Interface (Start Here!)'!$B$18:$N$28,AC$2+1,FALSE)/'User Interface (Start Here!)'!$L$35*$M16*Q16,Q16-VLOOKUP($A16,'User Interface (Start Here!)'!$B$18:$N$28,AC$2+1,FALSE)*$M16*Q16))</f>
        <v>3.6007336349916826E-3</v>
      </c>
      <c r="AD16" s="81">
        <f>IF($L16&lt;&gt;1,R16,IF(VLOOKUP($A16,'User Interface (Start Here!)'!$B$18:$N$28,AD$2+1,FALSE)&lt;&gt;100%,R16-VLOOKUP($A16,'User Interface (Start Here!)'!$B$18:$N$28,AD$2+1,FALSE)/'User Interface (Start Here!)'!$L$35*$M16*R16,R16-VLOOKUP($A16,'User Interface (Start Here!)'!$B$18:$N$28,AD$2+1,FALSE)*$M16*R16))</f>
        <v>9.8598720545210392E-3</v>
      </c>
      <c r="AE16" s="81">
        <f>IF($L16&lt;&gt;1,S16,IF(VLOOKUP($A16,'User Interface (Start Here!)'!$B$18:$N$28,AE$2+1,FALSE)&lt;&gt;100%,S16-VLOOKUP($A16,'User Interface (Start Here!)'!$B$18:$N$28,AE$2+1,FALSE)/'User Interface (Start Here!)'!$L$35*$M16*S16,S16-VLOOKUP($A16,'User Interface (Start Here!)'!$B$18:$N$28,AE$2+1,FALSE)*$M16*S16))</f>
        <v>9.8598720545210392E-3</v>
      </c>
      <c r="AF16" s="81">
        <f>IF($L16&lt;&gt;1,T16,IF(VLOOKUP($A16,'User Interface (Start Here!)'!$B$18:$N$28,AF$2+1,FALSE)&lt;&gt;100%,T16-VLOOKUP($A16,'User Interface (Start Here!)'!$B$18:$N$28,AF$2+1,FALSE)/'User Interface (Start Here!)'!$L$35*$M16*T16,T16-VLOOKUP($A16,'User Interface (Start Here!)'!$B$18:$N$28,AF$2+1,FALSE)*$M16*T16))</f>
        <v>2.0960333008492996E-2</v>
      </c>
      <c r="AG16" s="81">
        <f>IF($L16&lt;&gt;1,U16,IF(VLOOKUP($A16,'User Interface (Start Here!)'!$B$18:$N$28,AG$2+1,FALSE)&lt;&gt;100%,U16-VLOOKUP($A16,'User Interface (Start Here!)'!$B$18:$N$28,AG$2+1,FALSE)/'User Interface (Start Here!)'!$L$35*$M16*U16,U16-VLOOKUP($A16,'User Interface (Start Here!)'!$B$18:$N$28,AG$2+1,FALSE)*$M16*U16))</f>
        <v>2.0960333008492996E-2</v>
      </c>
      <c r="AH16" s="81">
        <f>IF($L16&lt;&gt;1,V16,IF(VLOOKUP($A16,'User Interface (Start Here!)'!$B$18:$N$28,AH$2+1,FALSE)&lt;&gt;100%,V16-VLOOKUP($A16,'User Interface (Start Here!)'!$B$18:$N$28,AH$2+1,FALSE)/'User Interface (Start Here!)'!$L$35*$M16*V16,V16-VLOOKUP($A16,'User Interface (Start Here!)'!$B$18:$N$28,AH$2+1,FALSE)*$M16*V16))</f>
        <v>2.3579834308378907E-3</v>
      </c>
      <c r="AI16" s="83">
        <f>IF($L16&lt;&gt;1,W16,IF(VLOOKUP($A16,'User Interface (Start Here!)'!$B$18:$N$28,AI$2+1,FALSE)&lt;&gt;100%,W16-VLOOKUP($A16,'User Interface (Start Here!)'!$B$18:$N$28,AI$2+1,FALSE)/'User Interface (Start Here!)'!$L$35*$M16*W16,W16-VLOOKUP($A16,'User Interface (Start Here!)'!$B$18:$N$28,AI$2+1,FALSE)*$M16*W16))</f>
        <v>2.3579834308378907E-3</v>
      </c>
      <c r="AJ16" s="83">
        <f>IF($L16&lt;&gt;1,X16,IF(VLOOKUP($A16,'User Interface (Start Here!)'!$B$18:$N$28,AJ$2+1,FALSE)&lt;&gt;100%,X16-VLOOKUP($A16,'User Interface (Start Here!)'!$B$18:$N$28,AJ$2+1,FALSE)/'User Interface (Start Here!)'!$L$35*$M16*X16,X16-VLOOKUP($A16,'User Interface (Start Here!)'!$B$18:$N$28,AJ$2+1,FALSE)*$M16*X16))</f>
        <v>6.5573984685262689E-3</v>
      </c>
      <c r="AK16" s="83">
        <f>IF($L16&lt;&gt;1,Y16,IF(VLOOKUP($A16,'User Interface (Start Here!)'!$B$18:$N$28,AK$2+1,FALSE)&lt;&gt;100%,Y16-VLOOKUP($A16,'User Interface (Start Here!)'!$B$18:$N$28,AK$2+1,FALSE)/'User Interface (Start Here!)'!$L$35*$M16*Y16,Y16-VLOOKUP($A16,'User Interface (Start Here!)'!$B$18:$N$28,AK$2+1,FALSE)*$M16*Y16))</f>
        <v>6.5573984685262689E-3</v>
      </c>
      <c r="AL16" s="82">
        <f t="shared" si="4"/>
        <v>8.6672641194739747E-2</v>
      </c>
    </row>
    <row r="17" spans="1:57" ht="15.6">
      <c r="A17" s="72">
        <v>3279</v>
      </c>
      <c r="B17" s="60" t="s">
        <v>16</v>
      </c>
      <c r="C17" s="108">
        <v>2696.4758762344018</v>
      </c>
      <c r="D17" s="109">
        <v>1155.7097790221553</v>
      </c>
      <c r="E17" s="110">
        <f t="shared" si="0"/>
        <v>3158.7597878432639</v>
      </c>
      <c r="F17" s="100">
        <v>2208.5146454539063</v>
      </c>
      <c r="G17" s="100">
        <v>2444.1937704456582</v>
      </c>
      <c r="H17" s="100">
        <v>1987.2734695760726</v>
      </c>
      <c r="I17" s="101">
        <v>2222.9525945678247</v>
      </c>
      <c r="J17" s="65">
        <f t="shared" si="3"/>
        <v>2.2085146454539064</v>
      </c>
      <c r="K17" s="84">
        <f>(J17)*'User Interface (Start Here!)'!$L$8</f>
        <v>0.88340585818156259</v>
      </c>
      <c r="L17" s="2">
        <f>IF(VLOOKUP(A17,'User Interface (Start Here!)'!$DO$2:$DP$73,2,FALSE)&lt;&gt;0,1,0)</f>
        <v>1</v>
      </c>
      <c r="M17" s="41">
        <f>IF(AND(L17=1,ISBLANK('User Interface (Start Here!)'!$L$14),ISBLANK('User Interface (Start Here!)'!$M$14),ISBLANK('User Interface (Start Here!)'!$N$14)),100%*'User Interface (Start Here!)'!$L$30,IF(L17=1,VLOOKUP(A17,'Bathymetric Closures'!$A$2:$C$57,3,FALSE)*'User Interface (Start Here!)'!$L$30,0%))</f>
        <v>0.85327030099934176</v>
      </c>
      <c r="N17" s="79">
        <f t="shared" si="1"/>
        <v>0</v>
      </c>
      <c r="O17" s="79">
        <f t="shared" si="2"/>
        <v>0</v>
      </c>
      <c r="P17" s="79">
        <f t="shared" si="2"/>
        <v>3.6700268309073941E-2</v>
      </c>
      <c r="Q17" s="79">
        <f t="shared" si="2"/>
        <v>3.6700268309073941E-2</v>
      </c>
      <c r="R17" s="79">
        <f t="shared" si="2"/>
        <v>0.1004961728847511</v>
      </c>
      <c r="S17" s="79">
        <f t="shared" si="2"/>
        <v>0.1004961728847511</v>
      </c>
      <c r="T17" s="79">
        <f t="shared" si="2"/>
        <v>0.21363697602725035</v>
      </c>
      <c r="U17" s="79">
        <f t="shared" si="2"/>
        <v>0.21363697602725035</v>
      </c>
      <c r="V17" s="79">
        <f t="shared" si="2"/>
        <v>2.4033609078751302E-2</v>
      </c>
      <c r="W17" s="79">
        <f t="shared" si="2"/>
        <v>2.4033609078751302E-2</v>
      </c>
      <c r="X17" s="79">
        <f t="shared" si="2"/>
        <v>6.6835902790954582E-2</v>
      </c>
      <c r="Y17" s="79">
        <f t="shared" si="2"/>
        <v>6.6835902790954582E-2</v>
      </c>
      <c r="Z17" s="81">
        <f>IF($L17&lt;&gt;1,N17,IF(VLOOKUP($A17,'User Interface (Start Here!)'!$B$18:$N$28,Z$2+1,FALSE)&lt;&gt;100%,N17-VLOOKUP($A17,'User Interface (Start Here!)'!$B$18:$N$28,Z$2+1,FALSE)/'User Interface (Start Here!)'!$L$35*$M17*N17,N17-VLOOKUP($A17,'User Interface (Start Here!)'!$B$18:$N$28,Z$2+1,FALSE)*$M17*N17))</f>
        <v>0</v>
      </c>
      <c r="AA17" s="81">
        <f>IF($L17&lt;&gt;1,O17,IF(VLOOKUP($A17,'User Interface (Start Here!)'!$B$18:$N$28,AA$2+1,FALSE)&lt;&gt;100%,O17-VLOOKUP($A17,'User Interface (Start Here!)'!$B$18:$N$28,AA$2+1,FALSE)/'User Interface (Start Here!)'!$L$35*$M17*O17,O17-VLOOKUP($A17,'User Interface (Start Here!)'!$B$18:$N$28,AA$2+1,FALSE)*$M17*O17))</f>
        <v>0</v>
      </c>
      <c r="AB17" s="81">
        <f>IF($L17&lt;&gt;1,P17,IF(VLOOKUP($A17,'User Interface (Start Here!)'!$B$18:$N$28,AB$2+1,FALSE)&lt;&gt;100%,P17-VLOOKUP($A17,'User Interface (Start Here!)'!$B$18:$N$28,AB$2+1,FALSE)/'User Interface (Start Here!)'!$L$35*$M17*P17,P17-VLOOKUP($A17,'User Interface (Start Here!)'!$B$18:$N$28,AB$2+1,FALSE)*$M17*P17))</f>
        <v>5.3850193222338139E-3</v>
      </c>
      <c r="AC17" s="81">
        <f>IF($L17&lt;&gt;1,Q17,IF(VLOOKUP($A17,'User Interface (Start Here!)'!$B$18:$N$28,AC$2+1,FALSE)&lt;&gt;100%,Q17-VLOOKUP($A17,'User Interface (Start Here!)'!$B$18:$N$28,AC$2+1,FALSE)/'User Interface (Start Here!)'!$L$35*$M17*Q17,Q17-VLOOKUP($A17,'User Interface (Start Here!)'!$B$18:$N$28,AC$2+1,FALSE)*$M17*Q17))</f>
        <v>5.3850193222338139E-3</v>
      </c>
      <c r="AD17" s="81">
        <f>IF($L17&lt;&gt;1,R17,IF(VLOOKUP($A17,'User Interface (Start Here!)'!$B$18:$N$28,AD$2+1,FALSE)&lt;&gt;100%,R17-VLOOKUP($A17,'User Interface (Start Here!)'!$B$18:$N$28,AD$2+1,FALSE)/'User Interface (Start Here!)'!$L$35*$M17*R17,R17-VLOOKUP($A17,'User Interface (Start Here!)'!$B$18:$N$28,AD$2+1,FALSE)*$M17*R17))</f>
        <v>1.4745773198097639E-2</v>
      </c>
      <c r="AE17" s="81">
        <f>IF($L17&lt;&gt;1,S17,IF(VLOOKUP($A17,'User Interface (Start Here!)'!$B$18:$N$28,AE$2+1,FALSE)&lt;&gt;100%,S17-VLOOKUP($A17,'User Interface (Start Here!)'!$B$18:$N$28,AE$2+1,FALSE)/'User Interface (Start Here!)'!$L$35*$M17*S17,S17-VLOOKUP($A17,'User Interface (Start Here!)'!$B$18:$N$28,AE$2+1,FALSE)*$M17*S17))</f>
        <v>1.4745773198097639E-2</v>
      </c>
      <c r="AF17" s="81">
        <f>IF($L17&lt;&gt;1,T17,IF(VLOOKUP($A17,'User Interface (Start Here!)'!$B$18:$N$28,AF$2+1,FALSE)&lt;&gt;100%,T17-VLOOKUP($A17,'User Interface (Start Here!)'!$B$18:$N$28,AF$2+1,FALSE)/'User Interface (Start Here!)'!$L$35*$M17*T17,T17-VLOOKUP($A17,'User Interface (Start Here!)'!$B$18:$N$28,AF$2+1,FALSE)*$M17*T17))</f>
        <v>3.1346889187889276E-2</v>
      </c>
      <c r="AG17" s="81">
        <f>IF($L17&lt;&gt;1,U17,IF(VLOOKUP($A17,'User Interface (Start Here!)'!$B$18:$N$28,AG$2+1,FALSE)&lt;&gt;100%,U17-VLOOKUP($A17,'User Interface (Start Here!)'!$B$18:$N$28,AG$2+1,FALSE)/'User Interface (Start Here!)'!$L$35*$M17*U17,U17-VLOOKUP($A17,'User Interface (Start Here!)'!$B$18:$N$28,AG$2+1,FALSE)*$M17*U17))</f>
        <v>3.1346889187889276E-2</v>
      </c>
      <c r="AH17" s="81">
        <f>IF($L17&lt;&gt;1,V17,IF(VLOOKUP($A17,'User Interface (Start Here!)'!$B$18:$N$28,AH$2+1,FALSE)&lt;&gt;100%,V17-VLOOKUP($A17,'User Interface (Start Here!)'!$B$18:$N$28,AH$2+1,FALSE)/'User Interface (Start Here!)'!$L$35*$M17*V17,V17-VLOOKUP($A17,'User Interface (Start Here!)'!$B$18:$N$28,AH$2+1,FALSE)*$M17*V17))</f>
        <v>3.5264442260246644E-3</v>
      </c>
      <c r="AI17" s="83">
        <f>IF($L17&lt;&gt;1,W17,IF(VLOOKUP($A17,'User Interface (Start Here!)'!$B$18:$N$28,AI$2+1,FALSE)&lt;&gt;100%,W17-VLOOKUP($A17,'User Interface (Start Here!)'!$B$18:$N$28,AI$2+1,FALSE)/'User Interface (Start Here!)'!$L$35*$M17*W17,W17-VLOOKUP($A17,'User Interface (Start Here!)'!$B$18:$N$28,AI$2+1,FALSE)*$M17*W17))</f>
        <v>3.5264442260246644E-3</v>
      </c>
      <c r="AJ17" s="83">
        <f>IF($L17&lt;&gt;1,X17,IF(VLOOKUP($A17,'User Interface (Start Here!)'!$B$18:$N$28,AJ$2+1,FALSE)&lt;&gt;100%,X17-VLOOKUP($A17,'User Interface (Start Here!)'!$B$18:$N$28,AJ$2+1,FALSE)/'User Interface (Start Here!)'!$L$35*$M17*X17,X17-VLOOKUP($A17,'User Interface (Start Here!)'!$B$18:$N$28,AJ$2+1,FALSE)*$M17*X17))</f>
        <v>9.8068118989540209E-3</v>
      </c>
      <c r="AK17" s="83">
        <f>IF($L17&lt;&gt;1,Y17,IF(VLOOKUP($A17,'User Interface (Start Here!)'!$B$18:$N$28,AK$2+1,FALSE)&lt;&gt;100%,Y17-VLOOKUP($A17,'User Interface (Start Here!)'!$B$18:$N$28,AK$2+1,FALSE)/'User Interface (Start Here!)'!$L$35*$M17*Y17,Y17-VLOOKUP($A17,'User Interface (Start Here!)'!$B$18:$N$28,AK$2+1,FALSE)*$M17*Y17))</f>
        <v>9.8068118989540209E-3</v>
      </c>
      <c r="AL17" s="82">
        <f t="shared" si="4"/>
        <v>0.12962187566639882</v>
      </c>
      <c r="AR17" s="76" t="s">
        <v>123</v>
      </c>
      <c r="AS17" s="76"/>
      <c r="AT17" s="76"/>
      <c r="AU17" s="76"/>
      <c r="AV17" s="76"/>
      <c r="AW17" s="76"/>
      <c r="AX17" s="76"/>
      <c r="AY17" s="76"/>
      <c r="AZ17" s="76"/>
      <c r="BA17" s="76"/>
      <c r="BB17" s="76"/>
      <c r="BC17" s="76"/>
      <c r="BD17" s="76"/>
      <c r="BE17" s="76"/>
    </row>
    <row r="18" spans="1:57" ht="15.6">
      <c r="A18" s="72">
        <v>3280</v>
      </c>
      <c r="B18" s="60" t="s">
        <v>16</v>
      </c>
      <c r="C18" s="108">
        <v>271.65947483908894</v>
      </c>
      <c r="D18" s="109">
        <v>116.43327292584542</v>
      </c>
      <c r="E18" s="110">
        <f t="shared" si="0"/>
        <v>318.23278400942712</v>
      </c>
      <c r="F18" s="100">
        <v>222.49927546034186</v>
      </c>
      <c r="G18" s="100">
        <v>246.24303222452431</v>
      </c>
      <c r="H18" s="100">
        <v>200.21008601070849</v>
      </c>
      <c r="I18" s="101">
        <v>223.95384277489094</v>
      </c>
      <c r="J18" s="65">
        <f t="shared" si="3"/>
        <v>0.22249927546034187</v>
      </c>
      <c r="K18" s="84">
        <f>(J18)*'User Interface (Start Here!)'!$L$8</f>
        <v>8.8999710184136757E-2</v>
      </c>
      <c r="L18" s="2">
        <f>IF(VLOOKUP(A18,'User Interface (Start Here!)'!$DO$2:$DP$73,2,FALSE)&lt;&gt;0,1,0)</f>
        <v>0</v>
      </c>
      <c r="M18" s="41">
        <f>IF(AND(L18=1,ISBLANK('User Interface (Start Here!)'!$L$14),ISBLANK('User Interface (Start Here!)'!$M$14),ISBLANK('User Interface (Start Here!)'!$N$14)),100%*'User Interface (Start Here!)'!$L$30,IF(L18=1,VLOOKUP(A18,'Bathymetric Closures'!$A$2:$C$57,3,FALSE)*'User Interface (Start Here!)'!$L$30,0%))</f>
        <v>0</v>
      </c>
      <c r="N18" s="79">
        <f t="shared" si="1"/>
        <v>0</v>
      </c>
      <c r="O18" s="79">
        <f t="shared" si="2"/>
        <v>0</v>
      </c>
      <c r="P18" s="79">
        <f t="shared" si="2"/>
        <v>3.6974095348554148E-3</v>
      </c>
      <c r="Q18" s="79">
        <f t="shared" si="2"/>
        <v>3.6974095348554148E-3</v>
      </c>
      <c r="R18" s="79">
        <f t="shared" si="2"/>
        <v>1.0124599218493638E-2</v>
      </c>
      <c r="S18" s="79">
        <f t="shared" si="2"/>
        <v>1.0124599218493638E-2</v>
      </c>
      <c r="T18" s="79">
        <f t="shared" si="2"/>
        <v>2.1523095839752586E-2</v>
      </c>
      <c r="U18" s="79">
        <f t="shared" si="2"/>
        <v>2.1523095839752586E-2</v>
      </c>
      <c r="V18" s="79">
        <f t="shared" si="2"/>
        <v>2.4212927986358088E-3</v>
      </c>
      <c r="W18" s="79">
        <f t="shared" si="2"/>
        <v>2.4212927986358088E-3</v>
      </c>
      <c r="X18" s="79">
        <f t="shared" si="2"/>
        <v>6.7334577003309295E-3</v>
      </c>
      <c r="Y18" s="79">
        <f t="shared" si="2"/>
        <v>6.7334577003309295E-3</v>
      </c>
      <c r="Z18" s="81">
        <f>IF($L18&lt;&gt;1,N18,IF(VLOOKUP($A18,'User Interface (Start Here!)'!$B$18:$N$28,Z$2+1,FALSE)&lt;&gt;100%,N18-VLOOKUP($A18,'User Interface (Start Here!)'!$B$18:$N$28,Z$2+1,FALSE)/'User Interface (Start Here!)'!$L$35*$M18*N18,N18-VLOOKUP($A18,'User Interface (Start Here!)'!$B$18:$N$28,Z$2+1,FALSE)*$M18*N18))</f>
        <v>0</v>
      </c>
      <c r="AA18" s="81">
        <f>IF($L18&lt;&gt;1,O18,IF(VLOOKUP($A18,'User Interface (Start Here!)'!$B$18:$N$28,AA$2+1,FALSE)&lt;&gt;100%,O18-VLOOKUP($A18,'User Interface (Start Here!)'!$B$18:$N$28,AA$2+1,FALSE)/'User Interface (Start Here!)'!$L$35*$M18*O18,O18-VLOOKUP($A18,'User Interface (Start Here!)'!$B$18:$N$28,AA$2+1,FALSE)*$M18*O18))</f>
        <v>0</v>
      </c>
      <c r="AB18" s="81">
        <f>IF($L18&lt;&gt;1,P18,IF(VLOOKUP($A18,'User Interface (Start Here!)'!$B$18:$N$28,AB$2+1,FALSE)&lt;&gt;100%,P18-VLOOKUP($A18,'User Interface (Start Here!)'!$B$18:$N$28,AB$2+1,FALSE)/'User Interface (Start Here!)'!$L$35*$M18*P18,P18-VLOOKUP($A18,'User Interface (Start Here!)'!$B$18:$N$28,AB$2+1,FALSE)*$M18*P18))</f>
        <v>3.6974095348554148E-3</v>
      </c>
      <c r="AC18" s="81">
        <f>IF($L18&lt;&gt;1,Q18,IF(VLOOKUP($A18,'User Interface (Start Here!)'!$B$18:$N$28,AC$2+1,FALSE)&lt;&gt;100%,Q18-VLOOKUP($A18,'User Interface (Start Here!)'!$B$18:$N$28,AC$2+1,FALSE)/'User Interface (Start Here!)'!$L$35*$M18*Q18,Q18-VLOOKUP($A18,'User Interface (Start Here!)'!$B$18:$N$28,AC$2+1,FALSE)*$M18*Q18))</f>
        <v>3.6974095348554148E-3</v>
      </c>
      <c r="AD18" s="81">
        <f>IF($L18&lt;&gt;1,R18,IF(VLOOKUP($A18,'User Interface (Start Here!)'!$B$18:$N$28,AD$2+1,FALSE)&lt;&gt;100%,R18-VLOOKUP($A18,'User Interface (Start Here!)'!$B$18:$N$28,AD$2+1,FALSE)/'User Interface (Start Here!)'!$L$35*$M18*R18,R18-VLOOKUP($A18,'User Interface (Start Here!)'!$B$18:$N$28,AD$2+1,FALSE)*$M18*R18))</f>
        <v>1.0124599218493638E-2</v>
      </c>
      <c r="AE18" s="81">
        <f>IF($L18&lt;&gt;1,S18,IF(VLOOKUP($A18,'User Interface (Start Here!)'!$B$18:$N$28,AE$2+1,FALSE)&lt;&gt;100%,S18-VLOOKUP($A18,'User Interface (Start Here!)'!$B$18:$N$28,AE$2+1,FALSE)/'User Interface (Start Here!)'!$L$35*$M18*S18,S18-VLOOKUP($A18,'User Interface (Start Here!)'!$B$18:$N$28,AE$2+1,FALSE)*$M18*S18))</f>
        <v>1.0124599218493638E-2</v>
      </c>
      <c r="AF18" s="81">
        <f>IF($L18&lt;&gt;1,T18,IF(VLOOKUP($A18,'User Interface (Start Here!)'!$B$18:$N$28,AF$2+1,FALSE)&lt;&gt;100%,T18-VLOOKUP($A18,'User Interface (Start Here!)'!$B$18:$N$28,AF$2+1,FALSE)/'User Interface (Start Here!)'!$L$35*$M18*T18,T18-VLOOKUP($A18,'User Interface (Start Here!)'!$B$18:$N$28,AF$2+1,FALSE)*$M18*T18))</f>
        <v>2.1523095839752586E-2</v>
      </c>
      <c r="AG18" s="81">
        <f>IF($L18&lt;&gt;1,U18,IF(VLOOKUP($A18,'User Interface (Start Here!)'!$B$18:$N$28,AG$2+1,FALSE)&lt;&gt;100%,U18-VLOOKUP($A18,'User Interface (Start Here!)'!$B$18:$N$28,AG$2+1,FALSE)/'User Interface (Start Here!)'!$L$35*$M18*U18,U18-VLOOKUP($A18,'User Interface (Start Here!)'!$B$18:$N$28,AG$2+1,FALSE)*$M18*U18))</f>
        <v>2.1523095839752586E-2</v>
      </c>
      <c r="AH18" s="81">
        <f>IF($L18&lt;&gt;1,V18,IF(VLOOKUP($A18,'User Interface (Start Here!)'!$B$18:$N$28,AH$2+1,FALSE)&lt;&gt;100%,V18-VLOOKUP($A18,'User Interface (Start Here!)'!$B$18:$N$28,AH$2+1,FALSE)/'User Interface (Start Here!)'!$L$35*$M18*V18,V18-VLOOKUP($A18,'User Interface (Start Here!)'!$B$18:$N$28,AH$2+1,FALSE)*$M18*V18))</f>
        <v>2.4212927986358088E-3</v>
      </c>
      <c r="AI18" s="83">
        <f>IF($L18&lt;&gt;1,W18,IF(VLOOKUP($A18,'User Interface (Start Here!)'!$B$18:$N$28,AI$2+1,FALSE)&lt;&gt;100%,W18-VLOOKUP($A18,'User Interface (Start Here!)'!$B$18:$N$28,AI$2+1,FALSE)/'User Interface (Start Here!)'!$L$35*$M18*W18,W18-VLOOKUP($A18,'User Interface (Start Here!)'!$B$18:$N$28,AI$2+1,FALSE)*$M18*W18))</f>
        <v>2.4212927986358088E-3</v>
      </c>
      <c r="AJ18" s="83">
        <f>IF($L18&lt;&gt;1,X18,IF(VLOOKUP($A18,'User Interface (Start Here!)'!$B$18:$N$28,AJ$2+1,FALSE)&lt;&gt;100%,X18-VLOOKUP($A18,'User Interface (Start Here!)'!$B$18:$N$28,AJ$2+1,FALSE)/'User Interface (Start Here!)'!$L$35*$M18*X18,X18-VLOOKUP($A18,'User Interface (Start Here!)'!$B$18:$N$28,AJ$2+1,FALSE)*$M18*X18))</f>
        <v>6.7334577003309295E-3</v>
      </c>
      <c r="AK18" s="83">
        <f>IF($L18&lt;&gt;1,Y18,IF(VLOOKUP($A18,'User Interface (Start Here!)'!$B$18:$N$28,AK$2+1,FALSE)&lt;&gt;100%,Y18-VLOOKUP($A18,'User Interface (Start Here!)'!$B$18:$N$28,AK$2+1,FALSE)/'User Interface (Start Here!)'!$L$35*$M18*Y18,Y18-VLOOKUP($A18,'User Interface (Start Here!)'!$B$18:$N$28,AK$2+1,FALSE)*$M18*Y18))</f>
        <v>6.7334577003309295E-3</v>
      </c>
      <c r="AL18" s="82">
        <f t="shared" si="4"/>
        <v>8.8999710184136771E-2</v>
      </c>
      <c r="AR18" s="76" t="s">
        <v>121</v>
      </c>
      <c r="AS18" s="76">
        <v>1</v>
      </c>
      <c r="AT18" s="76">
        <v>2</v>
      </c>
      <c r="AU18" s="76">
        <v>3</v>
      </c>
      <c r="AV18" s="76">
        <v>4</v>
      </c>
      <c r="AW18" s="76">
        <v>5</v>
      </c>
      <c r="AX18" s="76">
        <v>6</v>
      </c>
      <c r="AY18" s="76">
        <v>7</v>
      </c>
      <c r="AZ18" s="76">
        <v>8</v>
      </c>
      <c r="BA18" s="76">
        <v>9</v>
      </c>
      <c r="BB18" s="76">
        <v>10</v>
      </c>
      <c r="BC18" s="76">
        <v>11</v>
      </c>
      <c r="BD18" s="76">
        <v>12</v>
      </c>
      <c r="BE18" s="76" t="s">
        <v>68</v>
      </c>
    </row>
    <row r="19" spans="1:57" ht="15.6">
      <c r="A19" s="72">
        <v>3378</v>
      </c>
      <c r="B19" s="60" t="s">
        <v>16</v>
      </c>
      <c r="C19" s="108">
        <v>3062.5608541636088</v>
      </c>
      <c r="D19" s="109">
        <v>1312.6138302227662</v>
      </c>
      <c r="E19" s="110">
        <f t="shared" si="0"/>
        <v>3587.6063862527153</v>
      </c>
      <c r="F19" s="100">
        <v>2508.3519413715653</v>
      </c>
      <c r="G19" s="100">
        <v>2776.0278618961102</v>
      </c>
      <c r="H19" s="100">
        <v>2257.0741270420003</v>
      </c>
      <c r="I19" s="101">
        <v>2524.7500475665452</v>
      </c>
      <c r="J19" s="65">
        <f t="shared" si="3"/>
        <v>2.5083519413715654</v>
      </c>
      <c r="K19" s="84">
        <f>(J19)*'User Interface (Start Here!)'!$L$8</f>
        <v>1.0033407765486262</v>
      </c>
      <c r="L19" s="2">
        <f>IF(VLOOKUP(A19,'User Interface (Start Here!)'!$DO$2:$DP$73,2,FALSE)&lt;&gt;0,1,0)</f>
        <v>0</v>
      </c>
      <c r="M19" s="41">
        <f>IF(AND(L19=1,ISBLANK('User Interface (Start Here!)'!$L$14),ISBLANK('User Interface (Start Here!)'!$M$14),ISBLANK('User Interface (Start Here!)'!$N$14)),100%*'User Interface (Start Here!)'!$L$30,IF(L19=1,VLOOKUP(A19,'Bathymetric Closures'!$A$2:$C$57,3,FALSE)*'User Interface (Start Here!)'!$L$30,0%))</f>
        <v>0</v>
      </c>
      <c r="N19" s="79">
        <f t="shared" si="1"/>
        <v>0</v>
      </c>
      <c r="O19" s="79">
        <f t="shared" ref="O19:Y24" si="5">$K19*VLOOKUP($B19,$AR$18:$BD$23,O$2+1,FALSE)</f>
        <v>0</v>
      </c>
      <c r="P19" s="79">
        <f t="shared" si="5"/>
        <v>4.168285207047058E-2</v>
      </c>
      <c r="Q19" s="79">
        <f t="shared" si="5"/>
        <v>4.168285207047058E-2</v>
      </c>
      <c r="R19" s="79">
        <f t="shared" si="5"/>
        <v>0.11413995867076038</v>
      </c>
      <c r="S19" s="79">
        <f t="shared" si="5"/>
        <v>0.11413995867076038</v>
      </c>
      <c r="T19" s="79">
        <f t="shared" si="5"/>
        <v>0.24264123612210306</v>
      </c>
      <c r="U19" s="79">
        <f t="shared" si="5"/>
        <v>0.24264123612210306</v>
      </c>
      <c r="V19" s="79">
        <f t="shared" si="5"/>
        <v>2.7296513570758345E-2</v>
      </c>
      <c r="W19" s="79">
        <f t="shared" si="5"/>
        <v>2.7296513570758345E-2</v>
      </c>
      <c r="X19" s="79">
        <f t="shared" si="5"/>
        <v>7.5909827840220739E-2</v>
      </c>
      <c r="Y19" s="79">
        <f t="shared" si="5"/>
        <v>7.5909827840220739E-2</v>
      </c>
      <c r="Z19" s="81">
        <f>IF($L19&lt;&gt;1,N19,IF(VLOOKUP($A19,'User Interface (Start Here!)'!$B$18:$N$28,Z$2+1,FALSE)&lt;&gt;100%,N19-VLOOKUP($A19,'User Interface (Start Here!)'!$B$18:$N$28,Z$2+1,FALSE)/'User Interface (Start Here!)'!$L$35*$M19*N19,N19-VLOOKUP($A19,'User Interface (Start Here!)'!$B$18:$N$28,Z$2+1,FALSE)*$M19*N19))</f>
        <v>0</v>
      </c>
      <c r="AA19" s="81">
        <f>IF($L19&lt;&gt;1,O19,IF(VLOOKUP($A19,'User Interface (Start Here!)'!$B$18:$N$28,AA$2+1,FALSE)&lt;&gt;100%,O19-VLOOKUP($A19,'User Interface (Start Here!)'!$B$18:$N$28,AA$2+1,FALSE)/'User Interface (Start Here!)'!$L$35*$M19*O19,O19-VLOOKUP($A19,'User Interface (Start Here!)'!$B$18:$N$28,AA$2+1,FALSE)*$M19*O19))</f>
        <v>0</v>
      </c>
      <c r="AB19" s="81">
        <f>IF($L19&lt;&gt;1,P19,IF(VLOOKUP($A19,'User Interface (Start Here!)'!$B$18:$N$28,AB$2+1,FALSE)&lt;&gt;100%,P19-VLOOKUP($A19,'User Interface (Start Here!)'!$B$18:$N$28,AB$2+1,FALSE)/'User Interface (Start Here!)'!$L$35*$M19*P19,P19-VLOOKUP($A19,'User Interface (Start Here!)'!$B$18:$N$28,AB$2+1,FALSE)*$M19*P19))</f>
        <v>4.168285207047058E-2</v>
      </c>
      <c r="AC19" s="81">
        <f>IF($L19&lt;&gt;1,Q19,IF(VLOOKUP($A19,'User Interface (Start Here!)'!$B$18:$N$28,AC$2+1,FALSE)&lt;&gt;100%,Q19-VLOOKUP($A19,'User Interface (Start Here!)'!$B$18:$N$28,AC$2+1,FALSE)/'User Interface (Start Here!)'!$L$35*$M19*Q19,Q19-VLOOKUP($A19,'User Interface (Start Here!)'!$B$18:$N$28,AC$2+1,FALSE)*$M19*Q19))</f>
        <v>4.168285207047058E-2</v>
      </c>
      <c r="AD19" s="81">
        <f>IF($L19&lt;&gt;1,R19,IF(VLOOKUP($A19,'User Interface (Start Here!)'!$B$18:$N$28,AD$2+1,FALSE)&lt;&gt;100%,R19-VLOOKUP($A19,'User Interface (Start Here!)'!$B$18:$N$28,AD$2+1,FALSE)/'User Interface (Start Here!)'!$L$35*$M19*R19,R19-VLOOKUP($A19,'User Interface (Start Here!)'!$B$18:$N$28,AD$2+1,FALSE)*$M19*R19))</f>
        <v>0.11413995867076038</v>
      </c>
      <c r="AE19" s="81">
        <f>IF($L19&lt;&gt;1,S19,IF(VLOOKUP($A19,'User Interface (Start Here!)'!$B$18:$N$28,AE$2+1,FALSE)&lt;&gt;100%,S19-VLOOKUP($A19,'User Interface (Start Here!)'!$B$18:$N$28,AE$2+1,FALSE)/'User Interface (Start Here!)'!$L$35*$M19*S19,S19-VLOOKUP($A19,'User Interface (Start Here!)'!$B$18:$N$28,AE$2+1,FALSE)*$M19*S19))</f>
        <v>0.11413995867076038</v>
      </c>
      <c r="AF19" s="81">
        <f>IF($L19&lt;&gt;1,T19,IF(VLOOKUP($A19,'User Interface (Start Here!)'!$B$18:$N$28,AF$2+1,FALSE)&lt;&gt;100%,T19-VLOOKUP($A19,'User Interface (Start Here!)'!$B$18:$N$28,AF$2+1,FALSE)/'User Interface (Start Here!)'!$L$35*$M19*T19,T19-VLOOKUP($A19,'User Interface (Start Here!)'!$B$18:$N$28,AF$2+1,FALSE)*$M19*T19))</f>
        <v>0.24264123612210306</v>
      </c>
      <c r="AG19" s="81">
        <f>IF($L19&lt;&gt;1,U19,IF(VLOOKUP($A19,'User Interface (Start Here!)'!$B$18:$N$28,AG$2+1,FALSE)&lt;&gt;100%,U19-VLOOKUP($A19,'User Interface (Start Here!)'!$B$18:$N$28,AG$2+1,FALSE)/'User Interface (Start Here!)'!$L$35*$M19*U19,U19-VLOOKUP($A19,'User Interface (Start Here!)'!$B$18:$N$28,AG$2+1,FALSE)*$M19*U19))</f>
        <v>0.24264123612210306</v>
      </c>
      <c r="AH19" s="81">
        <f>IF($L19&lt;&gt;1,V19,IF(VLOOKUP($A19,'User Interface (Start Here!)'!$B$18:$N$28,AH$2+1,FALSE)&lt;&gt;100%,V19-VLOOKUP($A19,'User Interface (Start Here!)'!$B$18:$N$28,AH$2+1,FALSE)/'User Interface (Start Here!)'!$L$35*$M19*V19,V19-VLOOKUP($A19,'User Interface (Start Here!)'!$B$18:$N$28,AH$2+1,FALSE)*$M19*V19))</f>
        <v>2.7296513570758345E-2</v>
      </c>
      <c r="AI19" s="83">
        <f>IF($L19&lt;&gt;1,W19,IF(VLOOKUP($A19,'User Interface (Start Here!)'!$B$18:$N$28,AI$2+1,FALSE)&lt;&gt;100%,W19-VLOOKUP($A19,'User Interface (Start Here!)'!$B$18:$N$28,AI$2+1,FALSE)/'User Interface (Start Here!)'!$L$35*$M19*W19,W19-VLOOKUP($A19,'User Interface (Start Here!)'!$B$18:$N$28,AI$2+1,FALSE)*$M19*W19))</f>
        <v>2.7296513570758345E-2</v>
      </c>
      <c r="AJ19" s="83">
        <f>IF($L19&lt;&gt;1,X19,IF(VLOOKUP($A19,'User Interface (Start Here!)'!$B$18:$N$28,AJ$2+1,FALSE)&lt;&gt;100%,X19-VLOOKUP($A19,'User Interface (Start Here!)'!$B$18:$N$28,AJ$2+1,FALSE)/'User Interface (Start Here!)'!$L$35*$M19*X19,X19-VLOOKUP($A19,'User Interface (Start Here!)'!$B$18:$N$28,AJ$2+1,FALSE)*$M19*X19))</f>
        <v>7.5909827840220739E-2</v>
      </c>
      <c r="AK19" s="83">
        <f>IF($L19&lt;&gt;1,Y19,IF(VLOOKUP($A19,'User Interface (Start Here!)'!$B$18:$N$28,AK$2+1,FALSE)&lt;&gt;100%,Y19-VLOOKUP($A19,'User Interface (Start Here!)'!$B$18:$N$28,AK$2+1,FALSE)/'User Interface (Start Here!)'!$L$35*$M19*Y19,Y19-VLOOKUP($A19,'User Interface (Start Here!)'!$B$18:$N$28,AK$2+1,FALSE)*$M19*Y19))</f>
        <v>7.5909827840220739E-2</v>
      </c>
      <c r="AL19" s="82">
        <f t="shared" si="4"/>
        <v>1.0033407765486262</v>
      </c>
      <c r="AR19" s="76" t="s">
        <v>99</v>
      </c>
      <c r="AS19" s="77">
        <f t="shared" ref="AS19:BD19" si="6">AS11/$BE11</f>
        <v>7.6064602734019174E-2</v>
      </c>
      <c r="AT19" s="77">
        <f t="shared" si="6"/>
        <v>7.6064602734019174E-2</v>
      </c>
      <c r="AU19" s="77">
        <f t="shared" si="6"/>
        <v>8.0406664275074924E-2</v>
      </c>
      <c r="AV19" s="77">
        <f t="shared" si="6"/>
        <v>8.0406664275074924E-2</v>
      </c>
      <c r="AW19" s="77">
        <f t="shared" si="6"/>
        <v>9.3337378099081325E-2</v>
      </c>
      <c r="AX19" s="77">
        <f t="shared" si="6"/>
        <v>9.3337378099081325E-2</v>
      </c>
      <c r="AY19" s="77">
        <f t="shared" si="6"/>
        <v>0.11208602456285946</v>
      </c>
      <c r="AZ19" s="77">
        <f t="shared" si="6"/>
        <v>0.11208602456285946</v>
      </c>
      <c r="BA19" s="77">
        <f t="shared" si="6"/>
        <v>6.0318120275022029E-2</v>
      </c>
      <c r="BB19" s="77">
        <f t="shared" si="6"/>
        <v>6.0318120275022029E-2</v>
      </c>
      <c r="BC19" s="77">
        <f t="shared" si="6"/>
        <v>7.7787210053943068E-2</v>
      </c>
      <c r="BD19" s="77">
        <f t="shared" si="6"/>
        <v>7.7787210053943068E-2</v>
      </c>
      <c r="BE19" s="77">
        <f>SUM(AS19:BD19)</f>
        <v>0.99999999999999989</v>
      </c>
    </row>
    <row r="20" spans="1:57" ht="15.6">
      <c r="A20" s="73">
        <v>3377</v>
      </c>
      <c r="B20" s="61" t="s">
        <v>102</v>
      </c>
      <c r="C20" s="111">
        <v>690.60159378502556</v>
      </c>
      <c r="D20" s="112">
        <v>29.632437303207698</v>
      </c>
      <c r="E20" s="113">
        <f t="shared" si="0"/>
        <v>702.45456870630869</v>
      </c>
      <c r="F20" s="100">
        <v>720.23403108823322</v>
      </c>
      <c r="G20" s="100">
        <v>720.23403108823322</v>
      </c>
      <c r="H20" s="100">
        <v>3680.8657482961053</v>
      </c>
      <c r="I20" s="101">
        <v>779.49890569464867</v>
      </c>
      <c r="J20" s="65">
        <f t="shared" si="3"/>
        <v>0.72023403108823325</v>
      </c>
      <c r="K20" s="84">
        <f>(J20)*'User Interface (Start Here!)'!$L$8</f>
        <v>0.2880936124352933</v>
      </c>
      <c r="L20" s="2">
        <f>IF(VLOOKUP(A20,'User Interface (Start Here!)'!$DO$2:$DP$73,2,FALSE)&lt;&gt;0,1,0)</f>
        <v>0</v>
      </c>
      <c r="M20" s="41">
        <f>IF(AND(L20=1,ISBLANK('User Interface (Start Here!)'!$L$14),ISBLANK('User Interface (Start Here!)'!$M$14),ISBLANK('User Interface (Start Here!)'!$N$14)),100%*'User Interface (Start Here!)'!$L$30,IF(L20=1,VLOOKUP(A20,'Bathymetric Closures'!$A$2:$C$57,3,FALSE)*'User Interface (Start Here!)'!$L$30,0%))</f>
        <v>0</v>
      </c>
      <c r="N20" s="79">
        <f t="shared" si="1"/>
        <v>0</v>
      </c>
      <c r="O20" s="79">
        <f t="shared" si="5"/>
        <v>0</v>
      </c>
      <c r="P20" s="79">
        <f t="shared" si="5"/>
        <v>1.4131501132781941E-2</v>
      </c>
      <c r="Q20" s="79">
        <f t="shared" si="5"/>
        <v>1.4131501132781941E-2</v>
      </c>
      <c r="R20" s="79">
        <f t="shared" si="5"/>
        <v>9.2748128124350446E-2</v>
      </c>
      <c r="S20" s="79">
        <f t="shared" si="5"/>
        <v>9.2748128124350446E-2</v>
      </c>
      <c r="T20" s="79">
        <f t="shared" si="5"/>
        <v>2.1765760365434258E-2</v>
      </c>
      <c r="U20" s="79">
        <f t="shared" si="5"/>
        <v>2.1765760365434258E-2</v>
      </c>
      <c r="V20" s="79">
        <f t="shared" si="5"/>
        <v>1.2950184423667464E-2</v>
      </c>
      <c r="W20" s="79">
        <f t="shared" si="5"/>
        <v>1.2950184423667464E-2</v>
      </c>
      <c r="X20" s="79">
        <f t="shared" si="5"/>
        <v>2.4512321714125415E-3</v>
      </c>
      <c r="Y20" s="79">
        <f t="shared" si="5"/>
        <v>2.4512321714125415E-3</v>
      </c>
      <c r="Z20" s="81">
        <f>IF($L20&lt;&gt;1,N20,IF(VLOOKUP($A20,'User Interface (Start Here!)'!$B$18:$N$28,Z$2+1,FALSE)&lt;&gt;100%,N20-VLOOKUP($A20,'User Interface (Start Here!)'!$B$18:$N$28,Z$2+1,FALSE)/'User Interface (Start Here!)'!$L$35*$M20*N20,N20-VLOOKUP($A20,'User Interface (Start Here!)'!$B$18:$N$28,Z$2+1,FALSE)*$M20*N20))</f>
        <v>0</v>
      </c>
      <c r="AA20" s="81">
        <f>IF($L20&lt;&gt;1,O20,IF(VLOOKUP($A20,'User Interface (Start Here!)'!$B$18:$N$28,AA$2+1,FALSE)&lt;&gt;100%,O20-VLOOKUP($A20,'User Interface (Start Here!)'!$B$18:$N$28,AA$2+1,FALSE)/'User Interface (Start Here!)'!$L$35*$M20*O20,O20-VLOOKUP($A20,'User Interface (Start Here!)'!$B$18:$N$28,AA$2+1,FALSE)*$M20*O20))</f>
        <v>0</v>
      </c>
      <c r="AB20" s="81">
        <f>IF($L20&lt;&gt;1,P20,IF(VLOOKUP($A20,'User Interface (Start Here!)'!$B$18:$N$28,AB$2+1,FALSE)&lt;&gt;100%,P20-VLOOKUP($A20,'User Interface (Start Here!)'!$B$18:$N$28,AB$2+1,FALSE)/'User Interface (Start Here!)'!$L$35*$M20*P20,P20-VLOOKUP($A20,'User Interface (Start Here!)'!$B$18:$N$28,AB$2+1,FALSE)*$M20*P20))</f>
        <v>1.4131501132781941E-2</v>
      </c>
      <c r="AC20" s="81">
        <f>IF($L20&lt;&gt;1,Q20,IF(VLOOKUP($A20,'User Interface (Start Here!)'!$B$18:$N$28,AC$2+1,FALSE)&lt;&gt;100%,Q20-VLOOKUP($A20,'User Interface (Start Here!)'!$B$18:$N$28,AC$2+1,FALSE)/'User Interface (Start Here!)'!$L$35*$M20*Q20,Q20-VLOOKUP($A20,'User Interface (Start Here!)'!$B$18:$N$28,AC$2+1,FALSE)*$M20*Q20))</f>
        <v>1.4131501132781941E-2</v>
      </c>
      <c r="AD20" s="81">
        <f>IF($L20&lt;&gt;1,R20,IF(VLOOKUP($A20,'User Interface (Start Here!)'!$B$18:$N$28,AD$2+1,FALSE)&lt;&gt;100%,R20-VLOOKUP($A20,'User Interface (Start Here!)'!$B$18:$N$28,AD$2+1,FALSE)/'User Interface (Start Here!)'!$L$35*$M20*R20,R20-VLOOKUP($A20,'User Interface (Start Here!)'!$B$18:$N$28,AD$2+1,FALSE)*$M20*R20))</f>
        <v>9.2748128124350446E-2</v>
      </c>
      <c r="AE20" s="81">
        <f>IF($L20&lt;&gt;1,S20,IF(VLOOKUP($A20,'User Interface (Start Here!)'!$B$18:$N$28,AE$2+1,FALSE)&lt;&gt;100%,S20-VLOOKUP($A20,'User Interface (Start Here!)'!$B$18:$N$28,AE$2+1,FALSE)/'User Interface (Start Here!)'!$L$35*$M20*S20,S20-VLOOKUP($A20,'User Interface (Start Here!)'!$B$18:$N$28,AE$2+1,FALSE)*$M20*S20))</f>
        <v>9.2748128124350446E-2</v>
      </c>
      <c r="AF20" s="81">
        <f>IF($L20&lt;&gt;1,T20,IF(VLOOKUP($A20,'User Interface (Start Here!)'!$B$18:$N$28,AF$2+1,FALSE)&lt;&gt;100%,T20-VLOOKUP($A20,'User Interface (Start Here!)'!$B$18:$N$28,AF$2+1,FALSE)/'User Interface (Start Here!)'!$L$35*$M20*T20,T20-VLOOKUP($A20,'User Interface (Start Here!)'!$B$18:$N$28,AF$2+1,FALSE)*$M20*T20))</f>
        <v>2.1765760365434258E-2</v>
      </c>
      <c r="AG20" s="81">
        <f>IF($L20&lt;&gt;1,U20,IF(VLOOKUP($A20,'User Interface (Start Here!)'!$B$18:$N$28,AG$2+1,FALSE)&lt;&gt;100%,U20-VLOOKUP($A20,'User Interface (Start Here!)'!$B$18:$N$28,AG$2+1,FALSE)/'User Interface (Start Here!)'!$L$35*$M20*U20,U20-VLOOKUP($A20,'User Interface (Start Here!)'!$B$18:$N$28,AG$2+1,FALSE)*$M20*U20))</f>
        <v>2.1765760365434258E-2</v>
      </c>
      <c r="AH20" s="81">
        <f>IF($L20&lt;&gt;1,V20,IF(VLOOKUP($A20,'User Interface (Start Here!)'!$B$18:$N$28,AH$2+1,FALSE)&lt;&gt;100%,V20-VLOOKUP($A20,'User Interface (Start Here!)'!$B$18:$N$28,AH$2+1,FALSE)/'User Interface (Start Here!)'!$L$35*$M20*V20,V20-VLOOKUP($A20,'User Interface (Start Here!)'!$B$18:$N$28,AH$2+1,FALSE)*$M20*V20))</f>
        <v>1.2950184423667464E-2</v>
      </c>
      <c r="AI20" s="83">
        <f>IF($L20&lt;&gt;1,W20,IF(VLOOKUP($A20,'User Interface (Start Here!)'!$B$18:$N$28,AI$2+1,FALSE)&lt;&gt;100%,W20-VLOOKUP($A20,'User Interface (Start Here!)'!$B$18:$N$28,AI$2+1,FALSE)/'User Interface (Start Here!)'!$L$35*$M20*W20,W20-VLOOKUP($A20,'User Interface (Start Here!)'!$B$18:$N$28,AI$2+1,FALSE)*$M20*W20))</f>
        <v>1.2950184423667464E-2</v>
      </c>
      <c r="AJ20" s="83">
        <f>IF($L20&lt;&gt;1,X20,IF(VLOOKUP($A20,'User Interface (Start Here!)'!$B$18:$N$28,AJ$2+1,FALSE)&lt;&gt;100%,X20-VLOOKUP($A20,'User Interface (Start Here!)'!$B$18:$N$28,AJ$2+1,FALSE)/'User Interface (Start Here!)'!$L$35*$M20*X20,X20-VLOOKUP($A20,'User Interface (Start Here!)'!$B$18:$N$28,AJ$2+1,FALSE)*$M20*X20))</f>
        <v>2.4512321714125415E-3</v>
      </c>
      <c r="AK20" s="83">
        <f>IF($L20&lt;&gt;1,Y20,IF(VLOOKUP($A20,'User Interface (Start Here!)'!$B$18:$N$28,AK$2+1,FALSE)&lt;&gt;100%,Y20-VLOOKUP($A20,'User Interface (Start Here!)'!$B$18:$N$28,AK$2+1,FALSE)/'User Interface (Start Here!)'!$L$35*$M20*Y20,Y20-VLOOKUP($A20,'User Interface (Start Here!)'!$B$18:$N$28,AK$2+1,FALSE)*$M20*Y20))</f>
        <v>2.4512321714125415E-3</v>
      </c>
      <c r="AL20" s="82">
        <f t="shared" si="4"/>
        <v>0.28809361243529324</v>
      </c>
      <c r="AR20" s="76" t="s">
        <v>100</v>
      </c>
      <c r="AS20" s="77">
        <f>AS19</f>
        <v>7.6064602734019174E-2</v>
      </c>
      <c r="AT20" s="77">
        <f t="shared" ref="AT20:BE20" si="7">AT19</f>
        <v>7.6064602734019174E-2</v>
      </c>
      <c r="AU20" s="77">
        <f t="shared" si="7"/>
        <v>8.0406664275074924E-2</v>
      </c>
      <c r="AV20" s="77">
        <f t="shared" si="7"/>
        <v>8.0406664275074924E-2</v>
      </c>
      <c r="AW20" s="77">
        <f t="shared" si="7"/>
        <v>9.3337378099081325E-2</v>
      </c>
      <c r="AX20" s="77">
        <f t="shared" si="7"/>
        <v>9.3337378099081325E-2</v>
      </c>
      <c r="AY20" s="77">
        <f t="shared" si="7"/>
        <v>0.11208602456285946</v>
      </c>
      <c r="AZ20" s="77">
        <f t="shared" si="7"/>
        <v>0.11208602456285946</v>
      </c>
      <c r="BA20" s="77">
        <f t="shared" si="7"/>
        <v>6.0318120275022029E-2</v>
      </c>
      <c r="BB20" s="77">
        <f t="shared" si="7"/>
        <v>6.0318120275022029E-2</v>
      </c>
      <c r="BC20" s="77">
        <f t="shared" si="7"/>
        <v>7.7787210053943068E-2</v>
      </c>
      <c r="BD20" s="77">
        <f t="shared" si="7"/>
        <v>7.7787210053943068E-2</v>
      </c>
      <c r="BE20" s="77">
        <f t="shared" si="7"/>
        <v>0.99999999999999989</v>
      </c>
    </row>
    <row r="21" spans="1:57" ht="15.6">
      <c r="A21" s="73">
        <v>3475</v>
      </c>
      <c r="B21" s="61" t="s">
        <v>102</v>
      </c>
      <c r="C21" s="111">
        <v>225.05636297183543</v>
      </c>
      <c r="D21" s="112">
        <v>9.6567523525392041</v>
      </c>
      <c r="E21" s="113">
        <f t="shared" si="0"/>
        <v>228.9190639128511</v>
      </c>
      <c r="F21" s="100">
        <v>234.71311532437463</v>
      </c>
      <c r="G21" s="100">
        <v>234.71311532437463</v>
      </c>
      <c r="H21" s="100">
        <v>1199.5371359611931</v>
      </c>
      <c r="I21" s="101">
        <v>254.02662002945306</v>
      </c>
      <c r="J21" s="65">
        <f t="shared" si="3"/>
        <v>0.23471311532437464</v>
      </c>
      <c r="K21" s="84">
        <f>(J21)*'User Interface (Start Here!)'!$L$8</f>
        <v>9.3885246129749855E-2</v>
      </c>
      <c r="L21" s="2">
        <f>IF(VLOOKUP(A21,'User Interface (Start Here!)'!$DO$2:$DP$73,2,FALSE)&lt;&gt;0,1,0)</f>
        <v>0</v>
      </c>
      <c r="M21" s="41">
        <f>IF(AND(L21=1,ISBLANK('User Interface (Start Here!)'!$L$14),ISBLANK('User Interface (Start Here!)'!$M$14),ISBLANK('User Interface (Start Here!)'!$N$14)),100%*'User Interface (Start Here!)'!$L$30,IF(L21=1,VLOOKUP(A21,'Bathymetric Closures'!$A$2:$C$57,3,FALSE)*'User Interface (Start Here!)'!$L$30,0%))</f>
        <v>0</v>
      </c>
      <c r="N21" s="79">
        <f t="shared" si="1"/>
        <v>0</v>
      </c>
      <c r="O21" s="79">
        <f t="shared" si="5"/>
        <v>0</v>
      </c>
      <c r="P21" s="79">
        <f t="shared" si="5"/>
        <v>4.6052373421922406E-3</v>
      </c>
      <c r="Q21" s="79">
        <f t="shared" si="5"/>
        <v>4.6052373421922406E-3</v>
      </c>
      <c r="R21" s="79">
        <f t="shared" si="5"/>
        <v>3.0225178418296195E-2</v>
      </c>
      <c r="S21" s="79">
        <f t="shared" si="5"/>
        <v>3.0225178418296195E-2</v>
      </c>
      <c r="T21" s="79">
        <f t="shared" si="5"/>
        <v>7.0931241822271293E-3</v>
      </c>
      <c r="U21" s="79">
        <f t="shared" si="5"/>
        <v>7.0931241822271293E-3</v>
      </c>
      <c r="V21" s="79">
        <f t="shared" si="5"/>
        <v>4.2202645236181762E-3</v>
      </c>
      <c r="W21" s="79">
        <f t="shared" si="5"/>
        <v>4.2202645236181762E-3</v>
      </c>
      <c r="X21" s="79">
        <f t="shared" si="5"/>
        <v>7.9881859854118273E-4</v>
      </c>
      <c r="Y21" s="79">
        <f t="shared" si="5"/>
        <v>7.9881859854118273E-4</v>
      </c>
      <c r="Z21" s="81">
        <f>IF($L21&lt;&gt;1,N21,IF(VLOOKUP($A21,'User Interface (Start Here!)'!$B$18:$N$28,Z$2+1,FALSE)&lt;&gt;100%,N21-VLOOKUP($A21,'User Interface (Start Here!)'!$B$18:$N$28,Z$2+1,FALSE)/'User Interface (Start Here!)'!$L$35*$M21*N21,N21-VLOOKUP($A21,'User Interface (Start Here!)'!$B$18:$N$28,Z$2+1,FALSE)*$M21*N21))</f>
        <v>0</v>
      </c>
      <c r="AA21" s="81">
        <f>IF($L21&lt;&gt;1,O21,IF(VLOOKUP($A21,'User Interface (Start Here!)'!$B$18:$N$28,AA$2+1,FALSE)&lt;&gt;100%,O21-VLOOKUP($A21,'User Interface (Start Here!)'!$B$18:$N$28,AA$2+1,FALSE)/'User Interface (Start Here!)'!$L$35*$M21*O21,O21-VLOOKUP($A21,'User Interface (Start Here!)'!$B$18:$N$28,AA$2+1,FALSE)*$M21*O21))</f>
        <v>0</v>
      </c>
      <c r="AB21" s="81">
        <f>IF($L21&lt;&gt;1,P21,IF(VLOOKUP($A21,'User Interface (Start Here!)'!$B$18:$N$28,AB$2+1,FALSE)&lt;&gt;100%,P21-VLOOKUP($A21,'User Interface (Start Here!)'!$B$18:$N$28,AB$2+1,FALSE)/'User Interface (Start Here!)'!$L$35*$M21*P21,P21-VLOOKUP($A21,'User Interface (Start Here!)'!$B$18:$N$28,AB$2+1,FALSE)*$M21*P21))</f>
        <v>4.6052373421922406E-3</v>
      </c>
      <c r="AC21" s="81">
        <f>IF($L21&lt;&gt;1,Q21,IF(VLOOKUP($A21,'User Interface (Start Here!)'!$B$18:$N$28,AC$2+1,FALSE)&lt;&gt;100%,Q21-VLOOKUP($A21,'User Interface (Start Here!)'!$B$18:$N$28,AC$2+1,FALSE)/'User Interface (Start Here!)'!$L$35*$M21*Q21,Q21-VLOOKUP($A21,'User Interface (Start Here!)'!$B$18:$N$28,AC$2+1,FALSE)*$M21*Q21))</f>
        <v>4.6052373421922406E-3</v>
      </c>
      <c r="AD21" s="81">
        <f>IF($L21&lt;&gt;1,R21,IF(VLOOKUP($A21,'User Interface (Start Here!)'!$B$18:$N$28,AD$2+1,FALSE)&lt;&gt;100%,R21-VLOOKUP($A21,'User Interface (Start Here!)'!$B$18:$N$28,AD$2+1,FALSE)/'User Interface (Start Here!)'!$L$35*$M21*R21,R21-VLOOKUP($A21,'User Interface (Start Here!)'!$B$18:$N$28,AD$2+1,FALSE)*$M21*R21))</f>
        <v>3.0225178418296195E-2</v>
      </c>
      <c r="AE21" s="81">
        <f>IF($L21&lt;&gt;1,S21,IF(VLOOKUP($A21,'User Interface (Start Here!)'!$B$18:$N$28,AE$2+1,FALSE)&lt;&gt;100%,S21-VLOOKUP($A21,'User Interface (Start Here!)'!$B$18:$N$28,AE$2+1,FALSE)/'User Interface (Start Here!)'!$L$35*$M21*S21,S21-VLOOKUP($A21,'User Interface (Start Here!)'!$B$18:$N$28,AE$2+1,FALSE)*$M21*S21))</f>
        <v>3.0225178418296195E-2</v>
      </c>
      <c r="AF21" s="81">
        <f>IF($L21&lt;&gt;1,T21,IF(VLOOKUP($A21,'User Interface (Start Here!)'!$B$18:$N$28,AF$2+1,FALSE)&lt;&gt;100%,T21-VLOOKUP($A21,'User Interface (Start Here!)'!$B$18:$N$28,AF$2+1,FALSE)/'User Interface (Start Here!)'!$L$35*$M21*T21,T21-VLOOKUP($A21,'User Interface (Start Here!)'!$B$18:$N$28,AF$2+1,FALSE)*$M21*T21))</f>
        <v>7.0931241822271293E-3</v>
      </c>
      <c r="AG21" s="81">
        <f>IF($L21&lt;&gt;1,U21,IF(VLOOKUP($A21,'User Interface (Start Here!)'!$B$18:$N$28,AG$2+1,FALSE)&lt;&gt;100%,U21-VLOOKUP($A21,'User Interface (Start Here!)'!$B$18:$N$28,AG$2+1,FALSE)/'User Interface (Start Here!)'!$L$35*$M21*U21,U21-VLOOKUP($A21,'User Interface (Start Here!)'!$B$18:$N$28,AG$2+1,FALSE)*$M21*U21))</f>
        <v>7.0931241822271293E-3</v>
      </c>
      <c r="AH21" s="81">
        <f>IF($L21&lt;&gt;1,V21,IF(VLOOKUP($A21,'User Interface (Start Here!)'!$B$18:$N$28,AH$2+1,FALSE)&lt;&gt;100%,V21-VLOOKUP($A21,'User Interface (Start Here!)'!$B$18:$N$28,AH$2+1,FALSE)/'User Interface (Start Here!)'!$L$35*$M21*V21,V21-VLOOKUP($A21,'User Interface (Start Here!)'!$B$18:$N$28,AH$2+1,FALSE)*$M21*V21))</f>
        <v>4.2202645236181762E-3</v>
      </c>
      <c r="AI21" s="83">
        <f>IF($L21&lt;&gt;1,W21,IF(VLOOKUP($A21,'User Interface (Start Here!)'!$B$18:$N$28,AI$2+1,FALSE)&lt;&gt;100%,W21-VLOOKUP($A21,'User Interface (Start Here!)'!$B$18:$N$28,AI$2+1,FALSE)/'User Interface (Start Here!)'!$L$35*$M21*W21,W21-VLOOKUP($A21,'User Interface (Start Here!)'!$B$18:$N$28,AI$2+1,FALSE)*$M21*W21))</f>
        <v>4.2202645236181762E-3</v>
      </c>
      <c r="AJ21" s="83">
        <f>IF($L21&lt;&gt;1,X21,IF(VLOOKUP($A21,'User Interface (Start Here!)'!$B$18:$N$28,AJ$2+1,FALSE)&lt;&gt;100%,X21-VLOOKUP($A21,'User Interface (Start Here!)'!$B$18:$N$28,AJ$2+1,FALSE)/'User Interface (Start Here!)'!$L$35*$M21*X21,X21-VLOOKUP($A21,'User Interface (Start Here!)'!$B$18:$N$28,AJ$2+1,FALSE)*$M21*X21))</f>
        <v>7.9881859854118273E-4</v>
      </c>
      <c r="AK21" s="83">
        <f>IF($L21&lt;&gt;1,Y21,IF(VLOOKUP($A21,'User Interface (Start Here!)'!$B$18:$N$28,AK$2+1,FALSE)&lt;&gt;100%,Y21-VLOOKUP($A21,'User Interface (Start Here!)'!$B$18:$N$28,AK$2+1,FALSE)/'User Interface (Start Here!)'!$L$35*$M21*Y21,Y21-VLOOKUP($A21,'User Interface (Start Here!)'!$B$18:$N$28,AK$2+1,FALSE)*$M21*Y21))</f>
        <v>7.9881859854118273E-4</v>
      </c>
      <c r="AL21" s="82">
        <f t="shared" si="4"/>
        <v>9.3885246129749855E-2</v>
      </c>
      <c r="AR21" s="76" t="s">
        <v>101</v>
      </c>
      <c r="AS21" s="77">
        <f t="shared" ref="AS21:BD23" si="8">AS12/$BE12</f>
        <v>0</v>
      </c>
      <c r="AT21" s="77">
        <f t="shared" si="8"/>
        <v>0</v>
      </c>
      <c r="AU21" s="77">
        <f t="shared" si="8"/>
        <v>3.5751817844063477E-2</v>
      </c>
      <c r="AV21" s="77">
        <f t="shared" si="8"/>
        <v>3.5751817844063477E-2</v>
      </c>
      <c r="AW21" s="77">
        <f t="shared" si="8"/>
        <v>0.1813067246961414</v>
      </c>
      <c r="AX21" s="77">
        <f t="shared" si="8"/>
        <v>0.1813067246961414</v>
      </c>
      <c r="AY21" s="77">
        <f t="shared" si="8"/>
        <v>0.24518868425242821</v>
      </c>
      <c r="AZ21" s="77">
        <f t="shared" si="8"/>
        <v>0.24518868425242821</v>
      </c>
      <c r="BA21" s="77">
        <f t="shared" si="8"/>
        <v>3.178175256090441E-2</v>
      </c>
      <c r="BB21" s="77">
        <f t="shared" si="8"/>
        <v>3.178175256090441E-2</v>
      </c>
      <c r="BC21" s="77">
        <f t="shared" si="8"/>
        <v>5.9710206464625021E-3</v>
      </c>
      <c r="BD21" s="77">
        <f t="shared" si="8"/>
        <v>5.9710206464625021E-3</v>
      </c>
      <c r="BE21" s="77">
        <f>SUM(AS21:BD21)</f>
        <v>1</v>
      </c>
    </row>
    <row r="22" spans="1:57" ht="15.6">
      <c r="A22" s="73">
        <v>3476</v>
      </c>
      <c r="B22" s="61" t="s">
        <v>102</v>
      </c>
      <c r="C22" s="111">
        <v>4490.1800515552904</v>
      </c>
      <c r="D22" s="112">
        <v>192.66532260457566</v>
      </c>
      <c r="E22" s="113">
        <f t="shared" si="0"/>
        <v>4567.2461805971207</v>
      </c>
      <c r="F22" s="100">
        <v>4682.845374159866</v>
      </c>
      <c r="G22" s="100">
        <v>4682.845374159866</v>
      </c>
      <c r="H22" s="100">
        <v>23932.394747118353</v>
      </c>
      <c r="I22" s="101">
        <v>5068.1760193690179</v>
      </c>
      <c r="J22" s="65">
        <f t="shared" si="3"/>
        <v>4.6828453741598661</v>
      </c>
      <c r="K22" s="84">
        <f>(J22)*'User Interface (Start Here!)'!$L$8</f>
        <v>1.8731381496639465</v>
      </c>
      <c r="L22" s="2">
        <f>IF(VLOOKUP(A22,'User Interface (Start Here!)'!$DO$2:$DP$73,2,FALSE)&lt;&gt;0,1,0)</f>
        <v>0</v>
      </c>
      <c r="M22" s="41">
        <f>IF(AND(L22=1,ISBLANK('User Interface (Start Here!)'!$L$14),ISBLANK('User Interface (Start Here!)'!$M$14),ISBLANK('User Interface (Start Here!)'!$N$14)),100%*'User Interface (Start Here!)'!$L$30,IF(L22=1,VLOOKUP(A22,'Bathymetric Closures'!$A$2:$C$57,3,FALSE)*'User Interface (Start Here!)'!$L$30,0%))</f>
        <v>0</v>
      </c>
      <c r="N22" s="79">
        <f t="shared" si="1"/>
        <v>0</v>
      </c>
      <c r="O22" s="79">
        <f t="shared" si="5"/>
        <v>0</v>
      </c>
      <c r="P22" s="79">
        <f t="shared" si="5"/>
        <v>9.1880738556042896E-2</v>
      </c>
      <c r="Q22" s="79">
        <f t="shared" si="5"/>
        <v>9.1880738556042896E-2</v>
      </c>
      <c r="R22" s="79">
        <f t="shared" si="5"/>
        <v>0.60303335305172978</v>
      </c>
      <c r="S22" s="79">
        <f t="shared" si="5"/>
        <v>0.60303335305172978</v>
      </c>
      <c r="T22" s="79">
        <f t="shared" si="5"/>
        <v>0.14151745938516952</v>
      </c>
      <c r="U22" s="79">
        <f t="shared" si="5"/>
        <v>0.14151745938516952</v>
      </c>
      <c r="V22" s="79">
        <f t="shared" si="5"/>
        <v>8.4200008060239931E-2</v>
      </c>
      <c r="W22" s="79">
        <f t="shared" si="5"/>
        <v>8.4200008060239931E-2</v>
      </c>
      <c r="X22" s="79">
        <f t="shared" si="5"/>
        <v>1.5937515778791139E-2</v>
      </c>
      <c r="Y22" s="79">
        <f t="shared" si="5"/>
        <v>1.5937515778791139E-2</v>
      </c>
      <c r="Z22" s="81">
        <f>IF($L22&lt;&gt;1,N22,IF(VLOOKUP($A22,'User Interface (Start Here!)'!$B$18:$N$28,Z$2+1,FALSE)&lt;&gt;100%,N22-VLOOKUP($A22,'User Interface (Start Here!)'!$B$18:$N$28,Z$2+1,FALSE)/'User Interface (Start Here!)'!$L$35*$M22*N22,N22-VLOOKUP($A22,'User Interface (Start Here!)'!$B$18:$N$28,Z$2+1,FALSE)*$M22*N22))</f>
        <v>0</v>
      </c>
      <c r="AA22" s="81">
        <f>IF($L22&lt;&gt;1,O22,IF(VLOOKUP($A22,'User Interface (Start Here!)'!$B$18:$N$28,AA$2+1,FALSE)&lt;&gt;100%,O22-VLOOKUP($A22,'User Interface (Start Here!)'!$B$18:$N$28,AA$2+1,FALSE)/'User Interface (Start Here!)'!$L$35*$M22*O22,O22-VLOOKUP($A22,'User Interface (Start Here!)'!$B$18:$N$28,AA$2+1,FALSE)*$M22*O22))</f>
        <v>0</v>
      </c>
      <c r="AB22" s="81">
        <f>IF($L22&lt;&gt;1,P22,IF(VLOOKUP($A22,'User Interface (Start Here!)'!$B$18:$N$28,AB$2+1,FALSE)&lt;&gt;100%,P22-VLOOKUP($A22,'User Interface (Start Here!)'!$B$18:$N$28,AB$2+1,FALSE)/'User Interface (Start Here!)'!$L$35*$M22*P22,P22-VLOOKUP($A22,'User Interface (Start Here!)'!$B$18:$N$28,AB$2+1,FALSE)*$M22*P22))</f>
        <v>9.1880738556042896E-2</v>
      </c>
      <c r="AC22" s="81">
        <f>IF($L22&lt;&gt;1,Q22,IF(VLOOKUP($A22,'User Interface (Start Here!)'!$B$18:$N$28,AC$2+1,FALSE)&lt;&gt;100%,Q22-VLOOKUP($A22,'User Interface (Start Here!)'!$B$18:$N$28,AC$2+1,FALSE)/'User Interface (Start Here!)'!$L$35*$M22*Q22,Q22-VLOOKUP($A22,'User Interface (Start Here!)'!$B$18:$N$28,AC$2+1,FALSE)*$M22*Q22))</f>
        <v>9.1880738556042896E-2</v>
      </c>
      <c r="AD22" s="81">
        <f>IF($L22&lt;&gt;1,R22,IF(VLOOKUP($A22,'User Interface (Start Here!)'!$B$18:$N$28,AD$2+1,FALSE)&lt;&gt;100%,R22-VLOOKUP($A22,'User Interface (Start Here!)'!$B$18:$N$28,AD$2+1,FALSE)/'User Interface (Start Here!)'!$L$35*$M22*R22,R22-VLOOKUP($A22,'User Interface (Start Here!)'!$B$18:$N$28,AD$2+1,FALSE)*$M22*R22))</f>
        <v>0.60303335305172978</v>
      </c>
      <c r="AE22" s="81">
        <f>IF($L22&lt;&gt;1,S22,IF(VLOOKUP($A22,'User Interface (Start Here!)'!$B$18:$N$28,AE$2+1,FALSE)&lt;&gt;100%,S22-VLOOKUP($A22,'User Interface (Start Here!)'!$B$18:$N$28,AE$2+1,FALSE)/'User Interface (Start Here!)'!$L$35*$M22*S22,S22-VLOOKUP($A22,'User Interface (Start Here!)'!$B$18:$N$28,AE$2+1,FALSE)*$M22*S22))</f>
        <v>0.60303335305172978</v>
      </c>
      <c r="AF22" s="81">
        <f>IF($L22&lt;&gt;1,T22,IF(VLOOKUP($A22,'User Interface (Start Here!)'!$B$18:$N$28,AF$2+1,FALSE)&lt;&gt;100%,T22-VLOOKUP($A22,'User Interface (Start Here!)'!$B$18:$N$28,AF$2+1,FALSE)/'User Interface (Start Here!)'!$L$35*$M22*T22,T22-VLOOKUP($A22,'User Interface (Start Here!)'!$B$18:$N$28,AF$2+1,FALSE)*$M22*T22))</f>
        <v>0.14151745938516952</v>
      </c>
      <c r="AG22" s="81">
        <f>IF($L22&lt;&gt;1,U22,IF(VLOOKUP($A22,'User Interface (Start Here!)'!$B$18:$N$28,AG$2+1,FALSE)&lt;&gt;100%,U22-VLOOKUP($A22,'User Interface (Start Here!)'!$B$18:$N$28,AG$2+1,FALSE)/'User Interface (Start Here!)'!$L$35*$M22*U22,U22-VLOOKUP($A22,'User Interface (Start Here!)'!$B$18:$N$28,AG$2+1,FALSE)*$M22*U22))</f>
        <v>0.14151745938516952</v>
      </c>
      <c r="AH22" s="81">
        <f>IF($L22&lt;&gt;1,V22,IF(VLOOKUP($A22,'User Interface (Start Here!)'!$B$18:$N$28,AH$2+1,FALSE)&lt;&gt;100%,V22-VLOOKUP($A22,'User Interface (Start Here!)'!$B$18:$N$28,AH$2+1,FALSE)/'User Interface (Start Here!)'!$L$35*$M22*V22,V22-VLOOKUP($A22,'User Interface (Start Here!)'!$B$18:$N$28,AH$2+1,FALSE)*$M22*V22))</f>
        <v>8.4200008060239931E-2</v>
      </c>
      <c r="AI22" s="83">
        <f>IF($L22&lt;&gt;1,W22,IF(VLOOKUP($A22,'User Interface (Start Here!)'!$B$18:$N$28,AI$2+1,FALSE)&lt;&gt;100%,W22-VLOOKUP($A22,'User Interface (Start Here!)'!$B$18:$N$28,AI$2+1,FALSE)/'User Interface (Start Here!)'!$L$35*$M22*W22,W22-VLOOKUP($A22,'User Interface (Start Here!)'!$B$18:$N$28,AI$2+1,FALSE)*$M22*W22))</f>
        <v>8.4200008060239931E-2</v>
      </c>
      <c r="AJ22" s="83">
        <f>IF($L22&lt;&gt;1,X22,IF(VLOOKUP($A22,'User Interface (Start Here!)'!$B$18:$N$28,AJ$2+1,FALSE)&lt;&gt;100%,X22-VLOOKUP($A22,'User Interface (Start Here!)'!$B$18:$N$28,AJ$2+1,FALSE)/'User Interface (Start Here!)'!$L$35*$M22*X22,X22-VLOOKUP($A22,'User Interface (Start Here!)'!$B$18:$N$28,AJ$2+1,FALSE)*$M22*X22))</f>
        <v>1.5937515778791139E-2</v>
      </c>
      <c r="AK22" s="83">
        <f>IF($L22&lt;&gt;1,Y22,IF(VLOOKUP($A22,'User Interface (Start Here!)'!$B$18:$N$28,AK$2+1,FALSE)&lt;&gt;100%,Y22-VLOOKUP($A22,'User Interface (Start Here!)'!$B$18:$N$28,AK$2+1,FALSE)/'User Interface (Start Here!)'!$L$35*$M22*Y22,Y22-VLOOKUP($A22,'User Interface (Start Here!)'!$B$18:$N$28,AK$2+1,FALSE)*$M22*Y22))</f>
        <v>1.5937515778791139E-2</v>
      </c>
      <c r="AL22" s="82">
        <f t="shared" si="4"/>
        <v>1.8731381496639465</v>
      </c>
      <c r="AR22" s="76" t="s">
        <v>102</v>
      </c>
      <c r="AS22" s="77">
        <f t="shared" si="8"/>
        <v>0</v>
      </c>
      <c r="AT22" s="77">
        <f t="shared" si="8"/>
        <v>0</v>
      </c>
      <c r="AU22" s="77">
        <f t="shared" si="8"/>
        <v>4.9051768323936443E-2</v>
      </c>
      <c r="AV22" s="77">
        <f t="shared" si="8"/>
        <v>4.9051768323936443E-2</v>
      </c>
      <c r="AW22" s="77">
        <f t="shared" si="8"/>
        <v>0.32193746796514605</v>
      </c>
      <c r="AX22" s="77">
        <f t="shared" si="8"/>
        <v>0.32193746796514605</v>
      </c>
      <c r="AY22" s="77">
        <f t="shared" si="8"/>
        <v>7.5550999487442344E-2</v>
      </c>
      <c r="AZ22" s="77">
        <f t="shared" si="8"/>
        <v>7.5550999487442344E-2</v>
      </c>
      <c r="BA22" s="77">
        <f t="shared" si="8"/>
        <v>4.4951307022039977E-2</v>
      </c>
      <c r="BB22" s="77">
        <f t="shared" si="8"/>
        <v>4.4951307022039977E-2</v>
      </c>
      <c r="BC22" s="77">
        <f t="shared" si="8"/>
        <v>8.5084572014351607E-3</v>
      </c>
      <c r="BD22" s="77">
        <f t="shared" si="8"/>
        <v>8.5084572014351607E-3</v>
      </c>
      <c r="BE22" s="77">
        <f>SUM(AS22:BD22)</f>
        <v>1</v>
      </c>
    </row>
    <row r="23" spans="1:57" ht="15.6">
      <c r="A23" s="73">
        <v>3477</v>
      </c>
      <c r="B23" s="61" t="s">
        <v>102</v>
      </c>
      <c r="C23" s="111">
        <v>136.77643796090803</v>
      </c>
      <c r="D23" s="112">
        <v>5.8688240208352784</v>
      </c>
      <c r="E23" s="113">
        <f t="shared" si="0"/>
        <v>139.12396756924213</v>
      </c>
      <c r="F23" s="100">
        <v>142.64526198174332</v>
      </c>
      <c r="G23" s="100">
        <v>142.64526198174332</v>
      </c>
      <c r="H23" s="100">
        <v>729.01034430710013</v>
      </c>
      <c r="I23" s="101">
        <v>154.38291002341387</v>
      </c>
      <c r="J23" s="65">
        <f t="shared" si="3"/>
        <v>0.14264526198174332</v>
      </c>
      <c r="K23" s="84">
        <f>(J23)*'User Interface (Start Here!)'!$L$8</f>
        <v>5.705810479269733E-2</v>
      </c>
      <c r="L23" s="2">
        <f>IF(VLOOKUP(A23,'User Interface (Start Here!)'!$DO$2:$DP$73,2,FALSE)&lt;&gt;0,1,0)</f>
        <v>0</v>
      </c>
      <c r="M23" s="41">
        <f>IF(AND(L23=1,ISBLANK('User Interface (Start Here!)'!$L$14),ISBLANK('User Interface (Start Here!)'!$M$14),ISBLANK('User Interface (Start Here!)'!$N$14)),100%*'User Interface (Start Here!)'!$L$30,IF(L23=1,VLOOKUP(A23,'Bathymetric Closures'!$A$2:$C$57,3,FALSE)*'User Interface (Start Here!)'!$L$30,0%))</f>
        <v>0</v>
      </c>
      <c r="N23" s="79">
        <f t="shared" si="1"/>
        <v>0</v>
      </c>
      <c r="O23" s="79">
        <f t="shared" si="5"/>
        <v>0</v>
      </c>
      <c r="P23" s="79">
        <f t="shared" si="5"/>
        <v>2.7988009372942771E-3</v>
      </c>
      <c r="Q23" s="79">
        <f t="shared" si="5"/>
        <v>2.7988009372942771E-3</v>
      </c>
      <c r="R23" s="79">
        <f t="shared" si="5"/>
        <v>1.8369141783850945E-2</v>
      </c>
      <c r="S23" s="79">
        <f t="shared" si="5"/>
        <v>1.8369141783850945E-2</v>
      </c>
      <c r="T23" s="79">
        <f t="shared" si="5"/>
        <v>4.3107968459475078E-3</v>
      </c>
      <c r="U23" s="79">
        <f t="shared" si="5"/>
        <v>4.3107968459475078E-3</v>
      </c>
      <c r="V23" s="79">
        <f t="shared" si="5"/>
        <v>2.5648363866322683E-3</v>
      </c>
      <c r="W23" s="79">
        <f t="shared" si="5"/>
        <v>2.5648363866322683E-3</v>
      </c>
      <c r="X23" s="79">
        <f t="shared" si="5"/>
        <v>4.8547644262366763E-4</v>
      </c>
      <c r="Y23" s="79">
        <f t="shared" si="5"/>
        <v>4.8547644262366763E-4</v>
      </c>
      <c r="Z23" s="81">
        <f>IF($L23&lt;&gt;1,N23,IF(VLOOKUP($A23,'User Interface (Start Here!)'!$B$18:$N$28,Z$2+1,FALSE)&lt;&gt;100%,N23-VLOOKUP($A23,'User Interface (Start Here!)'!$B$18:$N$28,Z$2+1,FALSE)/'User Interface (Start Here!)'!$L$35*$M23*N23,N23-VLOOKUP($A23,'User Interface (Start Here!)'!$B$18:$N$28,Z$2+1,FALSE)*$M23*N23))</f>
        <v>0</v>
      </c>
      <c r="AA23" s="81">
        <f>IF($L23&lt;&gt;1,O23,IF(VLOOKUP($A23,'User Interface (Start Here!)'!$B$18:$N$28,AA$2+1,FALSE)&lt;&gt;100%,O23-VLOOKUP($A23,'User Interface (Start Here!)'!$B$18:$N$28,AA$2+1,FALSE)/'User Interface (Start Here!)'!$L$35*$M23*O23,O23-VLOOKUP($A23,'User Interface (Start Here!)'!$B$18:$N$28,AA$2+1,FALSE)*$M23*O23))</f>
        <v>0</v>
      </c>
      <c r="AB23" s="81">
        <f>IF($L23&lt;&gt;1,P23,IF(VLOOKUP($A23,'User Interface (Start Here!)'!$B$18:$N$28,AB$2+1,FALSE)&lt;&gt;100%,P23-VLOOKUP($A23,'User Interface (Start Here!)'!$B$18:$N$28,AB$2+1,FALSE)/'User Interface (Start Here!)'!$L$35*$M23*P23,P23-VLOOKUP($A23,'User Interface (Start Here!)'!$B$18:$N$28,AB$2+1,FALSE)*$M23*P23))</f>
        <v>2.7988009372942771E-3</v>
      </c>
      <c r="AC23" s="81">
        <f>IF($L23&lt;&gt;1,Q23,IF(VLOOKUP($A23,'User Interface (Start Here!)'!$B$18:$N$28,AC$2+1,FALSE)&lt;&gt;100%,Q23-VLOOKUP($A23,'User Interface (Start Here!)'!$B$18:$N$28,AC$2+1,FALSE)/'User Interface (Start Here!)'!$L$35*$M23*Q23,Q23-VLOOKUP($A23,'User Interface (Start Here!)'!$B$18:$N$28,AC$2+1,FALSE)*$M23*Q23))</f>
        <v>2.7988009372942771E-3</v>
      </c>
      <c r="AD23" s="81">
        <f>IF($L23&lt;&gt;1,R23,IF(VLOOKUP($A23,'User Interface (Start Here!)'!$B$18:$N$28,AD$2+1,FALSE)&lt;&gt;100%,R23-VLOOKUP($A23,'User Interface (Start Here!)'!$B$18:$N$28,AD$2+1,FALSE)/'User Interface (Start Here!)'!$L$35*$M23*R23,R23-VLOOKUP($A23,'User Interface (Start Here!)'!$B$18:$N$28,AD$2+1,FALSE)*$M23*R23))</f>
        <v>1.8369141783850945E-2</v>
      </c>
      <c r="AE23" s="81">
        <f>IF($L23&lt;&gt;1,S23,IF(VLOOKUP($A23,'User Interface (Start Here!)'!$B$18:$N$28,AE$2+1,FALSE)&lt;&gt;100%,S23-VLOOKUP($A23,'User Interface (Start Here!)'!$B$18:$N$28,AE$2+1,FALSE)/'User Interface (Start Here!)'!$L$35*$M23*S23,S23-VLOOKUP($A23,'User Interface (Start Here!)'!$B$18:$N$28,AE$2+1,FALSE)*$M23*S23))</f>
        <v>1.8369141783850945E-2</v>
      </c>
      <c r="AF23" s="81">
        <f>IF($L23&lt;&gt;1,T23,IF(VLOOKUP($A23,'User Interface (Start Here!)'!$B$18:$N$28,AF$2+1,FALSE)&lt;&gt;100%,T23-VLOOKUP($A23,'User Interface (Start Here!)'!$B$18:$N$28,AF$2+1,FALSE)/'User Interface (Start Here!)'!$L$35*$M23*T23,T23-VLOOKUP($A23,'User Interface (Start Here!)'!$B$18:$N$28,AF$2+1,FALSE)*$M23*T23))</f>
        <v>4.3107968459475078E-3</v>
      </c>
      <c r="AG23" s="81">
        <f>IF($L23&lt;&gt;1,U23,IF(VLOOKUP($A23,'User Interface (Start Here!)'!$B$18:$N$28,AG$2+1,FALSE)&lt;&gt;100%,U23-VLOOKUP($A23,'User Interface (Start Here!)'!$B$18:$N$28,AG$2+1,FALSE)/'User Interface (Start Here!)'!$L$35*$M23*U23,U23-VLOOKUP($A23,'User Interface (Start Here!)'!$B$18:$N$28,AG$2+1,FALSE)*$M23*U23))</f>
        <v>4.3107968459475078E-3</v>
      </c>
      <c r="AH23" s="81">
        <f>IF($L23&lt;&gt;1,V23,IF(VLOOKUP($A23,'User Interface (Start Here!)'!$B$18:$N$28,AH$2+1,FALSE)&lt;&gt;100%,V23-VLOOKUP($A23,'User Interface (Start Here!)'!$B$18:$N$28,AH$2+1,FALSE)/'User Interface (Start Here!)'!$L$35*$M23*V23,V23-VLOOKUP($A23,'User Interface (Start Here!)'!$B$18:$N$28,AH$2+1,FALSE)*$M23*V23))</f>
        <v>2.5648363866322683E-3</v>
      </c>
      <c r="AI23" s="83">
        <f>IF($L23&lt;&gt;1,W23,IF(VLOOKUP($A23,'User Interface (Start Here!)'!$B$18:$N$28,AI$2+1,FALSE)&lt;&gt;100%,W23-VLOOKUP($A23,'User Interface (Start Here!)'!$B$18:$N$28,AI$2+1,FALSE)/'User Interface (Start Here!)'!$L$35*$M23*W23,W23-VLOOKUP($A23,'User Interface (Start Here!)'!$B$18:$N$28,AI$2+1,FALSE)*$M23*W23))</f>
        <v>2.5648363866322683E-3</v>
      </c>
      <c r="AJ23" s="83">
        <f>IF($L23&lt;&gt;1,X23,IF(VLOOKUP($A23,'User Interface (Start Here!)'!$B$18:$N$28,AJ$2+1,FALSE)&lt;&gt;100%,X23-VLOOKUP($A23,'User Interface (Start Here!)'!$B$18:$N$28,AJ$2+1,FALSE)/'User Interface (Start Here!)'!$L$35*$M23*X23,X23-VLOOKUP($A23,'User Interface (Start Here!)'!$B$18:$N$28,AJ$2+1,FALSE)*$M23*X23))</f>
        <v>4.8547644262366763E-4</v>
      </c>
      <c r="AK23" s="83">
        <f>IF($L23&lt;&gt;1,Y23,IF(VLOOKUP($A23,'User Interface (Start Here!)'!$B$18:$N$28,AK$2+1,FALSE)&lt;&gt;100%,Y23-VLOOKUP($A23,'User Interface (Start Here!)'!$B$18:$N$28,AK$2+1,FALSE)/'User Interface (Start Here!)'!$L$35*$M23*Y23,Y23-VLOOKUP($A23,'User Interface (Start Here!)'!$B$18:$N$28,AK$2+1,FALSE)*$M23*Y23))</f>
        <v>4.8547644262366763E-4</v>
      </c>
      <c r="AL23" s="82">
        <f t="shared" si="4"/>
        <v>5.7058104792697323E-2</v>
      </c>
      <c r="AR23" s="76" t="s">
        <v>16</v>
      </c>
      <c r="AS23" s="77">
        <f t="shared" si="8"/>
        <v>0</v>
      </c>
      <c r="AT23" s="77">
        <f t="shared" si="8"/>
        <v>0</v>
      </c>
      <c r="AU23" s="77">
        <f t="shared" si="8"/>
        <v>4.1544062640267318E-2</v>
      </c>
      <c r="AV23" s="77">
        <f t="shared" si="8"/>
        <v>4.1544062640267318E-2</v>
      </c>
      <c r="AW23" s="77">
        <f t="shared" si="8"/>
        <v>0.11375991222382924</v>
      </c>
      <c r="AX23" s="77">
        <f t="shared" si="8"/>
        <v>0.11375991222382924</v>
      </c>
      <c r="AY23" s="77">
        <f t="shared" si="8"/>
        <v>0.24183332502119595</v>
      </c>
      <c r="AZ23" s="77">
        <f t="shared" si="8"/>
        <v>0.24183332502119595</v>
      </c>
      <c r="BA23" s="77">
        <f t="shared" si="8"/>
        <v>2.7205625654580817E-2</v>
      </c>
      <c r="BB23" s="77">
        <f t="shared" si="8"/>
        <v>2.7205625654580817E-2</v>
      </c>
      <c r="BC23" s="77">
        <f t="shared" si="8"/>
        <v>7.5657074460126678E-2</v>
      </c>
      <c r="BD23" s="77">
        <f t="shared" si="8"/>
        <v>7.5657074460126678E-2</v>
      </c>
      <c r="BE23" s="77">
        <f>SUM(AS23:BD23)</f>
        <v>1</v>
      </c>
    </row>
    <row r="24" spans="1:57" ht="16.2" thickBot="1">
      <c r="A24" s="74">
        <v>3575</v>
      </c>
      <c r="B24" s="62" t="s">
        <v>102</v>
      </c>
      <c r="C24" s="111">
        <v>439.38555372694123</v>
      </c>
      <c r="D24" s="112">
        <v>18.853221582343675</v>
      </c>
      <c r="E24" s="113">
        <f t="shared" si="0"/>
        <v>446.92684235987872</v>
      </c>
      <c r="F24" s="100">
        <v>458.23877530928485</v>
      </c>
      <c r="G24" s="100">
        <v>458.23877530928485</v>
      </c>
      <c r="H24" s="100">
        <v>2341.8990769272168</v>
      </c>
      <c r="I24" s="101">
        <v>495.94521847397226</v>
      </c>
      <c r="J24" s="65">
        <f t="shared" si="3"/>
        <v>0.45823877530928486</v>
      </c>
      <c r="K24" s="84">
        <f>(J24)*'User Interface (Start Here!)'!$L$8</f>
        <v>0.18329551012371395</v>
      </c>
      <c r="L24" s="2">
        <f>IF(VLOOKUP(A24,'User Interface (Start Here!)'!$DO$2:$DP$73,2,FALSE)&lt;&gt;0,1,0)</f>
        <v>0</v>
      </c>
      <c r="M24" s="41">
        <f>IF(AND(L24=1,ISBLANK('User Interface (Start Here!)'!$L$14),ISBLANK('User Interface (Start Here!)'!$M$14),ISBLANK('User Interface (Start Here!)'!$N$14)),100%*'User Interface (Start Here!)'!$L$30,IF(L24=1,VLOOKUP(A24,'Bathymetric Closures'!$A$2:$C$57,3,FALSE)*'User Interface (Start Here!)'!$L$30,0%))</f>
        <v>0</v>
      </c>
      <c r="N24" s="79">
        <f t="shared" si="1"/>
        <v>0</v>
      </c>
      <c r="O24" s="79">
        <f t="shared" si="5"/>
        <v>0</v>
      </c>
      <c r="P24" s="79">
        <f t="shared" si="5"/>
        <v>8.9909688974061635E-3</v>
      </c>
      <c r="Q24" s="79">
        <f t="shared" si="5"/>
        <v>8.9909688974061635E-3</v>
      </c>
      <c r="R24" s="79">
        <f t="shared" si="5"/>
        <v>5.9009692418608262E-2</v>
      </c>
      <c r="S24" s="79">
        <f t="shared" si="5"/>
        <v>5.9009692418608262E-2</v>
      </c>
      <c r="T24" s="79">
        <f t="shared" si="5"/>
        <v>1.3848158991407195E-2</v>
      </c>
      <c r="U24" s="79">
        <f t="shared" si="5"/>
        <v>1.3848158991407195E-2</v>
      </c>
      <c r="V24" s="79">
        <f t="shared" si="5"/>
        <v>8.2393727513325032E-3</v>
      </c>
      <c r="W24" s="79">
        <f t="shared" si="5"/>
        <v>8.2393727513325032E-3</v>
      </c>
      <c r="X24" s="79">
        <f t="shared" si="5"/>
        <v>1.5595620031028455E-3</v>
      </c>
      <c r="Y24" s="79">
        <f t="shared" si="5"/>
        <v>1.5595620031028455E-3</v>
      </c>
      <c r="Z24" s="81">
        <f>IF($L24&lt;&gt;1,N24,IF(VLOOKUP($A24,'User Interface (Start Here!)'!$B$18:$N$28,Z$2+1,FALSE)&lt;&gt;100%,N24-VLOOKUP($A24,'User Interface (Start Here!)'!$B$18:$N$28,Z$2+1,FALSE)/'User Interface (Start Here!)'!$L$35*$M24*N24,N24-VLOOKUP($A24,'User Interface (Start Here!)'!$B$18:$N$28,Z$2+1,FALSE)*$M24*N24))</f>
        <v>0</v>
      </c>
      <c r="AA24" s="81">
        <f>IF($L24&lt;&gt;1,O24,IF(VLOOKUP($A24,'User Interface (Start Here!)'!$B$18:$N$28,AA$2+1,FALSE)&lt;&gt;100%,O24-VLOOKUP($A24,'User Interface (Start Here!)'!$B$18:$N$28,AA$2+1,FALSE)/'User Interface (Start Here!)'!$L$35*$M24*O24,O24-VLOOKUP($A24,'User Interface (Start Here!)'!$B$18:$N$28,AA$2+1,FALSE)*$M24*O24))</f>
        <v>0</v>
      </c>
      <c r="AB24" s="81">
        <f>IF($L24&lt;&gt;1,P24,IF(VLOOKUP($A24,'User Interface (Start Here!)'!$B$18:$N$28,AB$2+1,FALSE)&lt;&gt;100%,P24-VLOOKUP($A24,'User Interface (Start Here!)'!$B$18:$N$28,AB$2+1,FALSE)/'User Interface (Start Here!)'!$L$35*$M24*P24,P24-VLOOKUP($A24,'User Interface (Start Here!)'!$B$18:$N$28,AB$2+1,FALSE)*$M24*P24))</f>
        <v>8.9909688974061635E-3</v>
      </c>
      <c r="AC24" s="81">
        <f>IF($L24&lt;&gt;1,Q24,IF(VLOOKUP($A24,'User Interface (Start Here!)'!$B$18:$N$28,AC$2+1,FALSE)&lt;&gt;100%,Q24-VLOOKUP($A24,'User Interface (Start Here!)'!$B$18:$N$28,AC$2+1,FALSE)/'User Interface (Start Here!)'!$L$35*$M24*Q24,Q24-VLOOKUP($A24,'User Interface (Start Here!)'!$B$18:$N$28,AC$2+1,FALSE)*$M24*Q24))</f>
        <v>8.9909688974061635E-3</v>
      </c>
      <c r="AD24" s="81">
        <f>IF($L24&lt;&gt;1,R24,IF(VLOOKUP($A24,'User Interface (Start Here!)'!$B$18:$N$28,AD$2+1,FALSE)&lt;&gt;100%,R24-VLOOKUP($A24,'User Interface (Start Here!)'!$B$18:$N$28,AD$2+1,FALSE)/'User Interface (Start Here!)'!$L$35*$M24*R24,R24-VLOOKUP($A24,'User Interface (Start Here!)'!$B$18:$N$28,AD$2+1,FALSE)*$M24*R24))</f>
        <v>5.9009692418608262E-2</v>
      </c>
      <c r="AE24" s="81">
        <f>IF($L24&lt;&gt;1,S24,IF(VLOOKUP($A24,'User Interface (Start Here!)'!$B$18:$N$28,AE$2+1,FALSE)&lt;&gt;100%,S24-VLOOKUP($A24,'User Interface (Start Here!)'!$B$18:$N$28,AE$2+1,FALSE)/'User Interface (Start Here!)'!$L$35*$M24*S24,S24-VLOOKUP($A24,'User Interface (Start Here!)'!$B$18:$N$28,AE$2+1,FALSE)*$M24*S24))</f>
        <v>5.9009692418608262E-2</v>
      </c>
      <c r="AF24" s="81">
        <f>IF($L24&lt;&gt;1,T24,IF(VLOOKUP($A24,'User Interface (Start Here!)'!$B$18:$N$28,AF$2+1,FALSE)&lt;&gt;100%,T24-VLOOKUP($A24,'User Interface (Start Here!)'!$B$18:$N$28,AF$2+1,FALSE)/'User Interface (Start Here!)'!$L$35*$M24*T24,T24-VLOOKUP($A24,'User Interface (Start Here!)'!$B$18:$N$28,AF$2+1,FALSE)*$M24*T24))</f>
        <v>1.3848158991407195E-2</v>
      </c>
      <c r="AG24" s="81">
        <f>IF($L24&lt;&gt;1,U24,IF(VLOOKUP($A24,'User Interface (Start Here!)'!$B$18:$N$28,AG$2+1,FALSE)&lt;&gt;100%,U24-VLOOKUP($A24,'User Interface (Start Here!)'!$B$18:$N$28,AG$2+1,FALSE)/'User Interface (Start Here!)'!$L$35*$M24*U24,U24-VLOOKUP($A24,'User Interface (Start Here!)'!$B$18:$N$28,AG$2+1,FALSE)*$M24*U24))</f>
        <v>1.3848158991407195E-2</v>
      </c>
      <c r="AH24" s="81">
        <f>IF($L24&lt;&gt;1,V24,IF(VLOOKUP($A24,'User Interface (Start Here!)'!$B$18:$N$28,AH$2+1,FALSE)&lt;&gt;100%,V24-VLOOKUP($A24,'User Interface (Start Here!)'!$B$18:$N$28,AH$2+1,FALSE)/'User Interface (Start Here!)'!$L$35*$M24*V24,V24-VLOOKUP($A24,'User Interface (Start Here!)'!$B$18:$N$28,AH$2+1,FALSE)*$M24*V24))</f>
        <v>8.2393727513325032E-3</v>
      </c>
      <c r="AI24" s="83">
        <f>IF($L24&lt;&gt;1,W24,IF(VLOOKUP($A24,'User Interface (Start Here!)'!$B$18:$N$28,AI$2+1,FALSE)&lt;&gt;100%,W24-VLOOKUP($A24,'User Interface (Start Here!)'!$B$18:$N$28,AI$2+1,FALSE)/'User Interface (Start Here!)'!$L$35*$M24*W24,W24-VLOOKUP($A24,'User Interface (Start Here!)'!$B$18:$N$28,AI$2+1,FALSE)*$M24*W24))</f>
        <v>8.2393727513325032E-3</v>
      </c>
      <c r="AJ24" s="83">
        <f>IF($L24&lt;&gt;1,X24,IF(VLOOKUP($A24,'User Interface (Start Here!)'!$B$18:$N$28,AJ$2+1,FALSE)&lt;&gt;100%,X24-VLOOKUP($A24,'User Interface (Start Here!)'!$B$18:$N$28,AJ$2+1,FALSE)/'User Interface (Start Here!)'!$L$35*$M24*X24,X24-VLOOKUP($A24,'User Interface (Start Here!)'!$B$18:$N$28,AJ$2+1,FALSE)*$M24*X24))</f>
        <v>1.5595620031028455E-3</v>
      </c>
      <c r="AK24" s="83">
        <f>IF($L24&lt;&gt;1,Y24,IF(VLOOKUP($A24,'User Interface (Start Here!)'!$B$18:$N$28,AK$2+1,FALSE)&lt;&gt;100%,Y24-VLOOKUP($A24,'User Interface (Start Here!)'!$B$18:$N$28,AK$2+1,FALSE)/'User Interface (Start Here!)'!$L$35*$M24*Y24,Y24-VLOOKUP($A24,'User Interface (Start Here!)'!$B$18:$N$28,AK$2+1,FALSE)*$M24*Y24))</f>
        <v>1.5595620031028455E-3</v>
      </c>
      <c r="AL24" s="82">
        <f t="shared" si="4"/>
        <v>0.18329551012371392</v>
      </c>
      <c r="AS24" s="75"/>
    </row>
    <row r="25" spans="1:57" ht="16.8" thickTop="1" thickBot="1">
      <c r="C25" s="114">
        <v>257967.1133333334</v>
      </c>
      <c r="D25" s="115">
        <v>351727.14638971322</v>
      </c>
      <c r="E25" s="116">
        <f>SUM(E3:E24)</f>
        <v>398657.97188921878</v>
      </c>
      <c r="F25" s="117">
        <v>467658.50637925178</v>
      </c>
      <c r="G25" s="118">
        <v>494237.46768488974</v>
      </c>
      <c r="H25" s="118">
        <v>496817.9682884395</v>
      </c>
      <c r="I25" s="119">
        <v>505322.96339211037</v>
      </c>
      <c r="J25" s="86">
        <f t="shared" si="3"/>
        <v>467.65850637925178</v>
      </c>
      <c r="K25" s="85">
        <f>(J25)*'User Interface (Start Here!)'!$L$8</f>
        <v>187.06340255170073</v>
      </c>
      <c r="AL25" s="87">
        <f>SUM(AL2:AL24)</f>
        <v>46.72458400055018</v>
      </c>
    </row>
    <row r="26" spans="1:57" ht="13.8" thickTop="1"/>
  </sheetData>
  <mergeCells count="3">
    <mergeCell ref="C1:E1"/>
    <mergeCell ref="N1:Y1"/>
    <mergeCell ref="Z1:AK1"/>
  </mergeCells>
  <phoneticPr fontId="2"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sheetPr codeName="Sheet4" enableFormatConditionsCalculation="0">
    <tabColor indexed="12"/>
  </sheetPr>
  <dimension ref="A1:BE50"/>
  <sheetViews>
    <sheetView zoomScale="85" workbookViewId="0">
      <selection activeCell="M35" sqref="M35"/>
    </sheetView>
  </sheetViews>
  <sheetFormatPr defaultRowHeight="13.2"/>
  <cols>
    <col min="3" max="5" width="11.44140625" style="4" bestFit="1" customWidth="1"/>
    <col min="6" max="6" width="12.109375" style="4" bestFit="1" customWidth="1"/>
    <col min="7" max="7" width="11" bestFit="1" customWidth="1"/>
    <col min="10" max="10" width="14.6640625" style="63" bestFit="1" customWidth="1"/>
    <col min="11" max="11" width="16" customWidth="1"/>
    <col min="12" max="12" width="10.6640625" bestFit="1" customWidth="1"/>
    <col min="13" max="13" width="13.109375" bestFit="1" customWidth="1"/>
    <col min="14" max="37" width="10.109375" bestFit="1" customWidth="1"/>
    <col min="38" max="38" width="11.88671875" style="63" bestFit="1" customWidth="1"/>
  </cols>
  <sheetData>
    <row r="1" spans="1:57" ht="16.8" thickTop="1" thickBot="1">
      <c r="C1" s="507" t="s">
        <v>106</v>
      </c>
      <c r="D1" s="508"/>
      <c r="E1" s="509"/>
      <c r="F1" s="88" t="s">
        <v>108</v>
      </c>
      <c r="G1" s="89" t="s">
        <v>110</v>
      </c>
      <c r="H1" s="89" t="s">
        <v>111</v>
      </c>
      <c r="I1" s="90" t="s">
        <v>112</v>
      </c>
      <c r="J1" s="67" t="str">
        <f>IF(AND(ISBLANK('User Interface (Start Here!)'!$M4),ISBLANK('User Interface (Start Here!)'!$L$6)),I1,IF(AND(ISBLANK('User Interface (Start Here!)'!$M4),NOT(ISBLANK('User Interface (Start Here!)'!$L$6))),H1,IF(AND(NOT(ISBLANK('User Interface (Start Here!)'!$M4)),ISBLANK('User Interface (Start Here!)'!$L$6)),G1,F1)))</f>
        <v>A16dt+A17dt</v>
      </c>
      <c r="K1" s="17" t="s">
        <v>76</v>
      </c>
      <c r="L1" s="2"/>
      <c r="M1" s="2"/>
      <c r="N1" s="505" t="s">
        <v>78</v>
      </c>
      <c r="O1" s="505"/>
      <c r="P1" s="505"/>
      <c r="Q1" s="505"/>
      <c r="R1" s="505"/>
      <c r="S1" s="505"/>
      <c r="T1" s="505"/>
      <c r="U1" s="505"/>
      <c r="V1" s="505"/>
      <c r="W1" s="505"/>
      <c r="X1" s="505"/>
      <c r="Y1" s="505"/>
      <c r="Z1" s="506" t="s">
        <v>79</v>
      </c>
      <c r="AA1" s="506"/>
      <c r="AB1" s="506"/>
      <c r="AC1" s="506"/>
      <c r="AD1" s="506"/>
      <c r="AE1" s="506"/>
      <c r="AF1" s="506"/>
      <c r="AG1" s="506"/>
      <c r="AH1" s="506"/>
      <c r="AI1" s="506"/>
      <c r="AJ1" s="506"/>
      <c r="AK1" s="506"/>
      <c r="AL1" s="68" t="s">
        <v>125</v>
      </c>
      <c r="AR1" s="1" t="s">
        <v>119</v>
      </c>
      <c r="AS1" s="1" t="s">
        <v>113</v>
      </c>
      <c r="AT1" s="1" t="s">
        <v>122</v>
      </c>
      <c r="AU1" s="1"/>
      <c r="AV1" s="1"/>
      <c r="AW1" s="1"/>
      <c r="AX1" s="1"/>
      <c r="AY1" s="1"/>
      <c r="AZ1" s="1"/>
      <c r="BA1" s="1"/>
      <c r="BB1" s="1"/>
      <c r="BC1" s="1"/>
      <c r="BD1" s="1"/>
      <c r="BE1" s="1"/>
    </row>
    <row r="2" spans="1:57" ht="16.8" thickTop="1" thickBot="1">
      <c r="A2" s="55" t="s">
        <v>0</v>
      </c>
      <c r="B2" s="56" t="s">
        <v>103</v>
      </c>
      <c r="C2" s="91" t="s">
        <v>104</v>
      </c>
      <c r="D2" s="92" t="s">
        <v>105</v>
      </c>
      <c r="E2" s="93" t="s">
        <v>107</v>
      </c>
      <c r="F2" s="94" t="s">
        <v>109</v>
      </c>
      <c r="G2" s="95" t="s">
        <v>109</v>
      </c>
      <c r="H2" s="95" t="s">
        <v>109</v>
      </c>
      <c r="I2" s="96" t="s">
        <v>109</v>
      </c>
      <c r="J2" s="66" t="str">
        <f>CONCATENATE(IF($J$1=$F$1,F2,IF($J$1=$G$1,G2,IF($J$1=$H$1,H2,IF($J$1=$I$1,I2,"error"))))," (TP)")</f>
        <v>catch (TP)</v>
      </c>
      <c r="K2" s="40" t="s">
        <v>124</v>
      </c>
      <c r="L2" s="28" t="s">
        <v>74</v>
      </c>
      <c r="M2" s="28" t="s">
        <v>75</v>
      </c>
      <c r="N2" s="28">
        <v>1</v>
      </c>
      <c r="O2" s="28">
        <v>2</v>
      </c>
      <c r="P2" s="28">
        <v>3</v>
      </c>
      <c r="Q2" s="28">
        <v>4</v>
      </c>
      <c r="R2" s="28">
        <v>5</v>
      </c>
      <c r="S2" s="28">
        <v>6</v>
      </c>
      <c r="T2" s="28">
        <v>7</v>
      </c>
      <c r="U2" s="28">
        <v>8</v>
      </c>
      <c r="V2" s="28">
        <v>9</v>
      </c>
      <c r="W2" s="28">
        <v>10</v>
      </c>
      <c r="X2" s="28">
        <v>11</v>
      </c>
      <c r="Y2" s="28">
        <v>12</v>
      </c>
      <c r="Z2" s="48">
        <v>1</v>
      </c>
      <c r="AA2" s="28">
        <v>2</v>
      </c>
      <c r="AB2" s="28">
        <v>3</v>
      </c>
      <c r="AC2" s="28">
        <v>4</v>
      </c>
      <c r="AD2" s="28">
        <v>5</v>
      </c>
      <c r="AE2" s="28">
        <v>6</v>
      </c>
      <c r="AF2" s="28">
        <v>7</v>
      </c>
      <c r="AG2" s="28">
        <v>8</v>
      </c>
      <c r="AH2" s="28">
        <v>9</v>
      </c>
      <c r="AI2" s="28">
        <v>10</v>
      </c>
      <c r="AJ2" s="28">
        <v>11</v>
      </c>
      <c r="AK2" s="28">
        <v>12</v>
      </c>
      <c r="AL2" s="78" t="s">
        <v>68</v>
      </c>
      <c r="AR2" s="1" t="s">
        <v>114</v>
      </c>
      <c r="AS2" s="1">
        <v>1</v>
      </c>
      <c r="AT2" s="1">
        <v>2</v>
      </c>
      <c r="AU2" s="1">
        <v>3</v>
      </c>
      <c r="AV2" s="1">
        <v>4</v>
      </c>
      <c r="AW2" s="1">
        <v>5</v>
      </c>
      <c r="AX2" s="1">
        <v>6</v>
      </c>
      <c r="AY2" s="1" t="s">
        <v>24</v>
      </c>
      <c r="AZ2" s="1"/>
      <c r="BA2" s="1"/>
      <c r="BB2" s="1"/>
      <c r="BC2" s="1"/>
      <c r="BD2" s="1"/>
      <c r="BE2" s="1"/>
    </row>
    <row r="3" spans="1:57" s="121" customFormat="1" ht="16.2" thickTop="1">
      <c r="A3" s="123">
        <v>2480</v>
      </c>
      <c r="B3" s="120" t="s">
        <v>129</v>
      </c>
      <c r="C3" s="124">
        <v>20.666666666666668</v>
      </c>
      <c r="D3" s="125">
        <v>31.007435187405971</v>
      </c>
      <c r="E3" s="126">
        <f>C3+D3*0.4</f>
        <v>33.069640741629058</v>
      </c>
      <c r="F3" s="127">
        <v>56.038697062306461</v>
      </c>
      <c r="G3" s="127">
        <v>32051.106116275467</v>
      </c>
      <c r="H3" s="127">
        <v>49.716447477512126</v>
      </c>
      <c r="I3" s="128">
        <f>SUM(C3:D3)</f>
        <v>51.674101854072639</v>
      </c>
      <c r="J3" s="64">
        <f t="shared" ref="J3:J8" si="0">IF($J$1=$F$1,F3,IF($J$1=$G$1,G3,IF($J$1=$H$1,H3,IF($J$1=$I$1,I3,"error"))))/1000</f>
        <v>5.6038697062306464E-2</v>
      </c>
      <c r="K3" s="129">
        <f>(J3)*'User Interface (Start Here!)'!$L$8</f>
        <v>2.2415478824922588E-2</v>
      </c>
      <c r="L3" s="2">
        <f>IF(VLOOKUP(A3,'User Interface (Start Here!)'!$DO$2:$DP$73,2,FALSE)&lt;&gt;0,1,0)</f>
        <v>0</v>
      </c>
      <c r="M3" s="41">
        <f>IF(AND(L3=1,ISBLANK('User Interface (Start Here!)'!$L$14),ISBLANK('User Interface (Start Here!)'!$M$14),ISBLANK('User Interface (Start Here!)'!$N$14)),100%*'User Interface (Start Here!)'!$L$30,IF(L3=1,VLOOKUP(A3,'Bathymetric Closures'!$A$2:$C$57,3,FALSE)*'User Interface (Start Here!)'!$L$30,0%))</f>
        <v>0</v>
      </c>
      <c r="N3" s="79">
        <f t="shared" ref="N3:N19" si="1">$K3*VLOOKUP($A3,$AR$24:$BD$50,N$2+1,FALSE)</f>
        <v>2.0352431778520633E-3</v>
      </c>
      <c r="O3" s="79">
        <f t="shared" ref="O3:Y18" si="2">$K3*VLOOKUP($A3,$AR$24:$BD$50,O$2+1,FALSE)</f>
        <v>8.3355997912574944E-3</v>
      </c>
      <c r="P3" s="79">
        <f t="shared" si="2"/>
        <v>5.260491929639486E-3</v>
      </c>
      <c r="Q3" s="79">
        <f t="shared" si="2"/>
        <v>1.4179972960444702E-3</v>
      </c>
      <c r="R3" s="79">
        <f t="shared" si="2"/>
        <v>1.2993674568982662E-3</v>
      </c>
      <c r="S3" s="79">
        <f t="shared" si="2"/>
        <v>9.1567407090976255E-4</v>
      </c>
      <c r="T3" s="79">
        <f t="shared" si="2"/>
        <v>7.8777627558026132E-4</v>
      </c>
      <c r="U3" s="79">
        <f t="shared" si="2"/>
        <v>6.3763538541084679E-4</v>
      </c>
      <c r="V3" s="79">
        <f t="shared" si="2"/>
        <v>3.2437846641540169E-4</v>
      </c>
      <c r="W3" s="79">
        <f t="shared" si="2"/>
        <v>3.725718385685471E-4</v>
      </c>
      <c r="X3" s="79">
        <f t="shared" si="2"/>
        <v>4.2076521072169251E-4</v>
      </c>
      <c r="Y3" s="79">
        <f t="shared" si="2"/>
        <v>6.0797792562429574E-4</v>
      </c>
      <c r="Z3" s="80">
        <f>IF($L3&lt;&gt;1,N3,IF(VLOOKUP($A3,'User Interface (Start Here!)'!$B$18:$N$28,Z$2+1,FALSE)&lt;&gt;100%,N3-VLOOKUP($A3,'User Interface (Start Here!)'!$B$18:$N$28,Z$2+1,FALSE)/'User Interface (Start Here!)'!$L$35*$M3*N3,N3-VLOOKUP($A3,'User Interface (Start Here!)'!$B$18:$N$28,Z$2+1,FALSE)*$M3*N3))</f>
        <v>2.0352431778520633E-3</v>
      </c>
      <c r="AA3" s="81">
        <f>IF($L3&lt;&gt;1,O3,IF(VLOOKUP($A3,'User Interface (Start Here!)'!$B$18:$N$28,AA$2+1,FALSE)&lt;&gt;100%,O3-VLOOKUP($A3,'User Interface (Start Here!)'!$B$18:$N$28,AA$2+1,FALSE)/'User Interface (Start Here!)'!$L$35*$M3*O3,O3-VLOOKUP($A3,'User Interface (Start Here!)'!$B$18:$N$28,AA$2+1,FALSE)*$M3*O3))</f>
        <v>8.3355997912574944E-3</v>
      </c>
      <c r="AB3" s="81">
        <f>IF($L3&lt;&gt;1,P3,IF(VLOOKUP($A3,'User Interface (Start Here!)'!$B$18:$N$28,AB$2+1,FALSE)&lt;&gt;100%,P3-VLOOKUP($A3,'User Interface (Start Here!)'!$B$18:$N$28,AB$2+1,FALSE)/'User Interface (Start Here!)'!$L$35*$M3*P3,P3-VLOOKUP($A3,'User Interface (Start Here!)'!$B$18:$N$28,AB$2+1,FALSE)*$M3*P3))</f>
        <v>5.260491929639486E-3</v>
      </c>
      <c r="AC3" s="81">
        <f>IF($L3&lt;&gt;1,Q3,IF(VLOOKUP($A3,'User Interface (Start Here!)'!$B$18:$N$28,AC$2+1,FALSE)&lt;&gt;100%,Q3-VLOOKUP($A3,'User Interface (Start Here!)'!$B$18:$N$28,AC$2+1,FALSE)/'User Interface (Start Here!)'!$L$35*$M3*Q3,Q3-VLOOKUP($A3,'User Interface (Start Here!)'!$B$18:$N$28,AC$2+1,FALSE)*$M3*Q3))</f>
        <v>1.4179972960444702E-3</v>
      </c>
      <c r="AD3" s="81">
        <f>IF($L3&lt;&gt;1,R3,IF(VLOOKUP($A3,'User Interface (Start Here!)'!$B$18:$N$28,AD$2+1,FALSE)&lt;&gt;100%,R3-VLOOKUP($A3,'User Interface (Start Here!)'!$B$18:$N$28,AD$2+1,FALSE)/'User Interface (Start Here!)'!$L$35*$M3*R3,R3-VLOOKUP($A3,'User Interface (Start Here!)'!$B$18:$N$28,AD$2+1,FALSE)*$M3*R3))</f>
        <v>1.2993674568982662E-3</v>
      </c>
      <c r="AE3" s="81">
        <f>IF($L3&lt;&gt;1,S3,IF(VLOOKUP($A3,'User Interface (Start Here!)'!$B$18:$N$28,AE$2+1,FALSE)&lt;&gt;100%,S3-VLOOKUP($A3,'User Interface (Start Here!)'!$B$18:$N$28,AE$2+1,FALSE)/'User Interface (Start Here!)'!$L$35*$M3*S3,S3-VLOOKUP($A3,'User Interface (Start Here!)'!$B$18:$N$28,AE$2+1,FALSE)*$M3*S3))</f>
        <v>9.1567407090976255E-4</v>
      </c>
      <c r="AF3" s="81">
        <f>IF($L3&lt;&gt;1,T3,IF(VLOOKUP($A3,'User Interface (Start Here!)'!$B$18:$N$28,AF$2+1,FALSE)&lt;&gt;100%,T3-VLOOKUP($A3,'User Interface (Start Here!)'!$B$18:$N$28,AF$2+1,FALSE)/'User Interface (Start Here!)'!$L$35*$M3*T3,T3-VLOOKUP($A3,'User Interface (Start Here!)'!$B$18:$N$28,AF$2+1,FALSE)*$M3*T3))</f>
        <v>7.8777627558026132E-4</v>
      </c>
      <c r="AG3" s="81">
        <f>IF($L3&lt;&gt;1,U3,IF(VLOOKUP($A3,'User Interface (Start Here!)'!$B$18:$N$28,AG$2+1,FALSE)&lt;&gt;100%,U3-VLOOKUP($A3,'User Interface (Start Here!)'!$B$18:$N$28,AG$2+1,FALSE)/'User Interface (Start Here!)'!$L$35*$M3*U3,U3-VLOOKUP($A3,'User Interface (Start Here!)'!$B$18:$N$28,AG$2+1,FALSE)*$M3*U3))</f>
        <v>6.3763538541084679E-4</v>
      </c>
      <c r="AH3" s="81">
        <f>IF($L3&lt;&gt;1,V3,IF(VLOOKUP($A3,'User Interface (Start Here!)'!$B$18:$N$28,AH$2+1,FALSE)&lt;&gt;100%,V3-VLOOKUP($A3,'User Interface (Start Here!)'!$B$18:$N$28,AH$2+1,FALSE)/'User Interface (Start Here!)'!$L$35*$M3*V3,V3-VLOOKUP($A3,'User Interface (Start Here!)'!$B$18:$N$28,AH$2+1,FALSE)*$M3*V3))</f>
        <v>3.2437846641540169E-4</v>
      </c>
      <c r="AI3" s="81">
        <f>IF($L3&lt;&gt;1,W3,IF(VLOOKUP($A3,'User Interface (Start Here!)'!$B$18:$N$28,AI$2+1,FALSE)&lt;&gt;100%,W3-VLOOKUP($A3,'User Interface (Start Here!)'!$B$18:$N$28,AI$2+1,FALSE)/'User Interface (Start Here!)'!$L$35*$M3*W3,W3-VLOOKUP($A3,'User Interface (Start Here!)'!$B$18:$N$28,AI$2+1,FALSE)*$M3*W3))</f>
        <v>3.725718385685471E-4</v>
      </c>
      <c r="AJ3" s="81">
        <f>IF($L3&lt;&gt;1,X3,IF(VLOOKUP($A3,'User Interface (Start Here!)'!$B$18:$N$28,AJ$2+1,FALSE)&lt;&gt;100%,X3-VLOOKUP($A3,'User Interface (Start Here!)'!$B$18:$N$28,AJ$2+1,FALSE)/'User Interface (Start Here!)'!$L$35*$M3*X3,X3-VLOOKUP($A3,'User Interface (Start Here!)'!$B$18:$N$28,AJ$2+1,FALSE)*$M3*X3))</f>
        <v>4.2076521072169251E-4</v>
      </c>
      <c r="AK3" s="81">
        <f>IF($L3&lt;&gt;1,Y3,IF(VLOOKUP($A3,'User Interface (Start Here!)'!$B$18:$N$28,AK$2+1,FALSE)&lt;&gt;100%,Y3-VLOOKUP($A3,'User Interface (Start Here!)'!$B$18:$N$28,AK$2+1,FALSE)/'User Interface (Start Here!)'!$L$35*$M3*Y3,Y3-VLOOKUP($A3,'User Interface (Start Here!)'!$B$18:$N$28,AK$2+1,FALSE)*$M3*Y3))</f>
        <v>6.0797792562429574E-4</v>
      </c>
      <c r="AL3" s="82">
        <f t="shared" ref="AL3:AL8" si="3">SUM(Z3:AK3)</f>
        <v>2.2415478824922588E-2</v>
      </c>
      <c r="AR3" s="122" t="s">
        <v>115</v>
      </c>
      <c r="AS3" s="122">
        <v>184045</v>
      </c>
      <c r="AT3" s="122">
        <v>194551</v>
      </c>
      <c r="AU3" s="122">
        <v>225838</v>
      </c>
      <c r="AV3" s="122">
        <v>271202</v>
      </c>
      <c r="AW3" s="122">
        <v>145945</v>
      </c>
      <c r="AX3" s="122">
        <v>188213</v>
      </c>
      <c r="AY3" s="122">
        <v>1209794</v>
      </c>
      <c r="AZ3" s="122"/>
      <c r="BA3" s="122"/>
      <c r="BB3" s="122"/>
      <c r="BC3" s="122"/>
      <c r="BD3" s="122"/>
      <c r="BE3" s="122"/>
    </row>
    <row r="4" spans="1:57" s="121" customFormat="1" ht="15.6">
      <c r="A4" s="123">
        <v>2481</v>
      </c>
      <c r="B4" s="120" t="s">
        <v>129</v>
      </c>
      <c r="C4" s="124">
        <v>21.678763333333325</v>
      </c>
      <c r="D4" s="125">
        <v>32.525944306521588</v>
      </c>
      <c r="E4" s="126">
        <f t="shared" ref="E4:E29" si="4">C4+D4*0.4</f>
        <v>34.68914105594196</v>
      </c>
      <c r="F4" s="127">
        <v>58.783047634940488</v>
      </c>
      <c r="G4" s="127">
        <v>22237.481812957736</v>
      </c>
      <c r="H4" s="127">
        <v>52.151182192213646</v>
      </c>
      <c r="I4" s="128">
        <f t="shared" ref="I4:I29" si="5">SUM(C4:D4)</f>
        <v>54.204707639854917</v>
      </c>
      <c r="J4" s="65">
        <f t="shared" si="0"/>
        <v>5.8783047634940487E-2</v>
      </c>
      <c r="K4" s="129">
        <f>(J4)*'User Interface (Start Here!)'!$L$8</f>
        <v>2.3513219053976197E-2</v>
      </c>
      <c r="L4" s="2">
        <f>IF(VLOOKUP(A4,'User Interface (Start Here!)'!$DO$2:$DP$73,2,FALSE)&lt;&gt;0,1,0)</f>
        <v>0</v>
      </c>
      <c r="M4" s="41">
        <f>IF(AND(L4=1,ISBLANK('User Interface (Start Here!)'!$L$14),ISBLANK('User Interface (Start Here!)'!$M$14),ISBLANK('User Interface (Start Here!)'!$N$14)),100%*'User Interface (Start Here!)'!$L$30,IF(L4=1,VLOOKUP(A4,'Bathymetric Closures'!$A$2:$C$57,3,FALSE)*'User Interface (Start Here!)'!$L$30,0%))</f>
        <v>0</v>
      </c>
      <c r="N4" s="79">
        <f t="shared" si="1"/>
        <v>0</v>
      </c>
      <c r="O4" s="79">
        <f t="shared" si="2"/>
        <v>0</v>
      </c>
      <c r="P4" s="79">
        <f t="shared" si="2"/>
        <v>0</v>
      </c>
      <c r="Q4" s="79">
        <f t="shared" si="2"/>
        <v>0</v>
      </c>
      <c r="R4" s="79">
        <f t="shared" si="2"/>
        <v>0</v>
      </c>
      <c r="S4" s="79">
        <f t="shared" si="2"/>
        <v>0</v>
      </c>
      <c r="T4" s="79">
        <f t="shared" si="2"/>
        <v>1.9527927688895486E-2</v>
      </c>
      <c r="U4" s="79">
        <f t="shared" si="2"/>
        <v>3.9852913650807115E-3</v>
      </c>
      <c r="V4" s="79">
        <f t="shared" si="2"/>
        <v>0</v>
      </c>
      <c r="W4" s="79">
        <f t="shared" si="2"/>
        <v>0</v>
      </c>
      <c r="X4" s="79">
        <f t="shared" si="2"/>
        <v>0</v>
      </c>
      <c r="Y4" s="79">
        <f t="shared" si="2"/>
        <v>0</v>
      </c>
      <c r="Z4" s="80">
        <f>IF($L4&lt;&gt;1,N4,IF(VLOOKUP($A4,'User Interface (Start Here!)'!$B$18:$N$28,Z$2+1,FALSE)&lt;&gt;100%,N4-VLOOKUP($A4,'User Interface (Start Here!)'!$B$18:$N$28,Z$2+1,FALSE)/'User Interface (Start Here!)'!$L$35*$M4*N4,N4-VLOOKUP($A4,'User Interface (Start Here!)'!$B$18:$N$28,Z$2+1,FALSE)*$M4*N4))</f>
        <v>0</v>
      </c>
      <c r="AA4" s="81">
        <f>IF($L4&lt;&gt;1,O4,IF(VLOOKUP($A4,'User Interface (Start Here!)'!$B$18:$N$28,AA$2+1,FALSE)&lt;&gt;100%,O4-VLOOKUP($A4,'User Interface (Start Here!)'!$B$18:$N$28,AA$2+1,FALSE)/'User Interface (Start Here!)'!$L$35*$M4*O4,O4-VLOOKUP($A4,'User Interface (Start Here!)'!$B$18:$N$28,AA$2+1,FALSE)*$M4*O4))</f>
        <v>0</v>
      </c>
      <c r="AB4" s="81">
        <f>IF($L4&lt;&gt;1,P4,IF(VLOOKUP($A4,'User Interface (Start Here!)'!$B$18:$N$28,AB$2+1,FALSE)&lt;&gt;100%,P4-VLOOKUP($A4,'User Interface (Start Here!)'!$B$18:$N$28,AB$2+1,FALSE)/'User Interface (Start Here!)'!$L$35*$M4*P4,P4-VLOOKUP($A4,'User Interface (Start Here!)'!$B$18:$N$28,AB$2+1,FALSE)*$M4*P4))</f>
        <v>0</v>
      </c>
      <c r="AC4" s="81">
        <f>IF($L4&lt;&gt;1,Q4,IF(VLOOKUP($A4,'User Interface (Start Here!)'!$B$18:$N$28,AC$2+1,FALSE)&lt;&gt;100%,Q4-VLOOKUP($A4,'User Interface (Start Here!)'!$B$18:$N$28,AC$2+1,FALSE)/'User Interface (Start Here!)'!$L$35*$M4*Q4,Q4-VLOOKUP($A4,'User Interface (Start Here!)'!$B$18:$N$28,AC$2+1,FALSE)*$M4*Q4))</f>
        <v>0</v>
      </c>
      <c r="AD4" s="81">
        <f>IF($L4&lt;&gt;1,R4,IF(VLOOKUP($A4,'User Interface (Start Here!)'!$B$18:$N$28,AD$2+1,FALSE)&lt;&gt;100%,R4-VLOOKUP($A4,'User Interface (Start Here!)'!$B$18:$N$28,AD$2+1,FALSE)/'User Interface (Start Here!)'!$L$35*$M4*R4,R4-VLOOKUP($A4,'User Interface (Start Here!)'!$B$18:$N$28,AD$2+1,FALSE)*$M4*R4))</f>
        <v>0</v>
      </c>
      <c r="AE4" s="81">
        <f>IF($L4&lt;&gt;1,S4,IF(VLOOKUP($A4,'User Interface (Start Here!)'!$B$18:$N$28,AE$2+1,FALSE)&lt;&gt;100%,S4-VLOOKUP($A4,'User Interface (Start Here!)'!$B$18:$N$28,AE$2+1,FALSE)/'User Interface (Start Here!)'!$L$35*$M4*S4,S4-VLOOKUP($A4,'User Interface (Start Here!)'!$B$18:$N$28,AE$2+1,FALSE)*$M4*S4))</f>
        <v>0</v>
      </c>
      <c r="AF4" s="81">
        <f>IF($L4&lt;&gt;1,T4,IF(VLOOKUP($A4,'User Interface (Start Here!)'!$B$18:$N$28,AF$2+1,FALSE)&lt;&gt;100%,T4-VLOOKUP($A4,'User Interface (Start Here!)'!$B$18:$N$28,AF$2+1,FALSE)/'User Interface (Start Here!)'!$L$35*$M4*T4,T4-VLOOKUP($A4,'User Interface (Start Here!)'!$B$18:$N$28,AF$2+1,FALSE)*$M4*T4))</f>
        <v>1.9527927688895486E-2</v>
      </c>
      <c r="AG4" s="81">
        <f>IF($L4&lt;&gt;1,U4,IF(VLOOKUP($A4,'User Interface (Start Here!)'!$B$18:$N$28,AG$2+1,FALSE)&lt;&gt;100%,U4-VLOOKUP($A4,'User Interface (Start Here!)'!$B$18:$N$28,AG$2+1,FALSE)/'User Interface (Start Here!)'!$L$35*$M4*U4,U4-VLOOKUP($A4,'User Interface (Start Here!)'!$B$18:$N$28,AG$2+1,FALSE)*$M4*U4))</f>
        <v>3.9852913650807115E-3</v>
      </c>
      <c r="AH4" s="81">
        <f>IF($L4&lt;&gt;1,V4,IF(VLOOKUP($A4,'User Interface (Start Here!)'!$B$18:$N$28,AH$2+1,FALSE)&lt;&gt;100%,V4-VLOOKUP($A4,'User Interface (Start Here!)'!$B$18:$N$28,AH$2+1,FALSE)/'User Interface (Start Here!)'!$L$35*$M4*V4,V4-VLOOKUP($A4,'User Interface (Start Here!)'!$B$18:$N$28,AH$2+1,FALSE)*$M4*V4))</f>
        <v>0</v>
      </c>
      <c r="AI4" s="81">
        <f>IF($L4&lt;&gt;1,W4,IF(VLOOKUP($A4,'User Interface (Start Here!)'!$B$18:$N$28,AI$2+1,FALSE)&lt;&gt;100%,W4-VLOOKUP($A4,'User Interface (Start Here!)'!$B$18:$N$28,AI$2+1,FALSE)/'User Interface (Start Here!)'!$L$35*$M4*W4,W4-VLOOKUP($A4,'User Interface (Start Here!)'!$B$18:$N$28,AI$2+1,FALSE)*$M4*W4))</f>
        <v>0</v>
      </c>
      <c r="AJ4" s="81">
        <f>IF($L4&lt;&gt;1,X4,IF(VLOOKUP($A4,'User Interface (Start Here!)'!$B$18:$N$28,AJ$2+1,FALSE)&lt;&gt;100%,X4-VLOOKUP($A4,'User Interface (Start Here!)'!$B$18:$N$28,AJ$2+1,FALSE)/'User Interface (Start Here!)'!$L$35*$M4*X4,X4-VLOOKUP($A4,'User Interface (Start Here!)'!$B$18:$N$28,AJ$2+1,FALSE)*$M4*X4))</f>
        <v>0</v>
      </c>
      <c r="AK4" s="81">
        <f>IF($L4&lt;&gt;1,Y4,IF(VLOOKUP($A4,'User Interface (Start Here!)'!$B$18:$N$28,AK$2+1,FALSE)&lt;&gt;100%,Y4-VLOOKUP($A4,'User Interface (Start Here!)'!$B$18:$N$28,AK$2+1,FALSE)/'User Interface (Start Here!)'!$L$35*$M4*Y4,Y4-VLOOKUP($A4,'User Interface (Start Here!)'!$B$18:$N$28,AK$2+1,FALSE)*$M4*Y4))</f>
        <v>0</v>
      </c>
      <c r="AL4" s="82">
        <f t="shared" si="3"/>
        <v>2.3513219053976197E-2</v>
      </c>
      <c r="AR4" s="122" t="s">
        <v>115</v>
      </c>
      <c r="AS4" s="122">
        <v>184045</v>
      </c>
      <c r="AT4" s="122">
        <v>194551</v>
      </c>
      <c r="AU4" s="122">
        <v>225838</v>
      </c>
      <c r="AV4" s="122">
        <v>271202</v>
      </c>
      <c r="AW4" s="122">
        <v>145945</v>
      </c>
      <c r="AX4" s="122">
        <v>188213</v>
      </c>
      <c r="AY4" s="122">
        <v>1209794</v>
      </c>
      <c r="AZ4" s="122"/>
      <c r="BA4" s="122"/>
      <c r="BB4" s="122"/>
      <c r="BC4" s="122"/>
      <c r="BD4" s="122"/>
      <c r="BE4" s="122"/>
    </row>
    <row r="5" spans="1:57" s="121" customFormat="1" ht="15.6">
      <c r="A5" s="123">
        <v>2482</v>
      </c>
      <c r="B5" s="120" t="s">
        <v>129</v>
      </c>
      <c r="C5" s="124">
        <v>677.66666666666663</v>
      </c>
      <c r="D5" s="125">
        <v>1016.7438021934892</v>
      </c>
      <c r="E5" s="126">
        <f t="shared" si="4"/>
        <v>1084.3641875440624</v>
      </c>
      <c r="F5" s="127">
        <v>1033.1004958421981</v>
      </c>
      <c r="G5" s="127">
        <v>8625.7180253288807</v>
      </c>
      <c r="H5" s="127">
        <v>1630.2183503513249</v>
      </c>
      <c r="I5" s="128">
        <f t="shared" si="5"/>
        <v>1694.4104688601558</v>
      </c>
      <c r="J5" s="65">
        <f t="shared" si="0"/>
        <v>1.0331004958421981</v>
      </c>
      <c r="K5" s="129">
        <f>(J5)*'User Interface (Start Here!)'!$L$8</f>
        <v>0.41324019833687925</v>
      </c>
      <c r="L5" s="2">
        <f>IF(VLOOKUP(A5,'User Interface (Start Here!)'!$DO$2:$DP$73,2,FALSE)&lt;&gt;0,1,0)</f>
        <v>0</v>
      </c>
      <c r="M5" s="41">
        <f>IF(AND(L5=1,ISBLANK('User Interface (Start Here!)'!$L$14),ISBLANK('User Interface (Start Here!)'!$M$14),ISBLANK('User Interface (Start Here!)'!$N$14)),100%*'User Interface (Start Here!)'!$L$30,IF(L5=1,VLOOKUP(A5,'Bathymetric Closures'!$A$2:$C$57,3,FALSE)*'User Interface (Start Here!)'!$L$30,0%))</f>
        <v>0</v>
      </c>
      <c r="N5" s="79">
        <f t="shared" si="1"/>
        <v>1.8492657243006781E-2</v>
      </c>
      <c r="O5" s="79">
        <f t="shared" si="2"/>
        <v>1.4409281626734865E-2</v>
      </c>
      <c r="P5" s="79">
        <f t="shared" si="2"/>
        <v>2.4688318069491653E-2</v>
      </c>
      <c r="Q5" s="79">
        <f t="shared" si="2"/>
        <v>3.0620542385787042E-2</v>
      </c>
      <c r="R5" s="79">
        <f t="shared" si="2"/>
        <v>0.11554075613779069</v>
      </c>
      <c r="S5" s="79">
        <f t="shared" si="2"/>
        <v>4.0721882858163749E-2</v>
      </c>
      <c r="T5" s="79">
        <f t="shared" si="2"/>
        <v>5.4877414196256864E-2</v>
      </c>
      <c r="U5" s="79">
        <f t="shared" si="2"/>
        <v>2.9851254809393889E-2</v>
      </c>
      <c r="V5" s="79">
        <f t="shared" si="2"/>
        <v>1.7673481622682587E-2</v>
      </c>
      <c r="W5" s="79">
        <f t="shared" si="2"/>
        <v>3.7563194989881692E-2</v>
      </c>
      <c r="X5" s="79">
        <f t="shared" si="2"/>
        <v>2.1831707523888334E-2</v>
      </c>
      <c r="Y5" s="79">
        <f t="shared" si="2"/>
        <v>6.9697068738011026E-3</v>
      </c>
      <c r="Z5" s="80">
        <f>IF($L5&lt;&gt;1,N5,IF(VLOOKUP($A5,'User Interface (Start Here!)'!$B$18:$N$28,Z$2+1,FALSE)&lt;&gt;100%,N5-VLOOKUP($A5,'User Interface (Start Here!)'!$B$18:$N$28,Z$2+1,FALSE)/'User Interface (Start Here!)'!$L$35*$M5*N5,N5-VLOOKUP($A5,'User Interface (Start Here!)'!$B$18:$N$28,Z$2+1,FALSE)*$M5*N5))</f>
        <v>1.8492657243006781E-2</v>
      </c>
      <c r="AA5" s="81">
        <f>IF($L5&lt;&gt;1,O5,IF(VLOOKUP($A5,'User Interface (Start Here!)'!$B$18:$N$28,AA$2+1,FALSE)&lt;&gt;100%,O5-VLOOKUP($A5,'User Interface (Start Here!)'!$B$18:$N$28,AA$2+1,FALSE)/'User Interface (Start Here!)'!$L$35*$M5*O5,O5-VLOOKUP($A5,'User Interface (Start Here!)'!$B$18:$N$28,AA$2+1,FALSE)*$M5*O5))</f>
        <v>1.4409281626734865E-2</v>
      </c>
      <c r="AB5" s="81">
        <f>IF($L5&lt;&gt;1,P5,IF(VLOOKUP($A5,'User Interface (Start Here!)'!$B$18:$N$28,AB$2+1,FALSE)&lt;&gt;100%,P5-VLOOKUP($A5,'User Interface (Start Here!)'!$B$18:$N$28,AB$2+1,FALSE)/'User Interface (Start Here!)'!$L$35*$M5*P5,P5-VLOOKUP($A5,'User Interface (Start Here!)'!$B$18:$N$28,AB$2+1,FALSE)*$M5*P5))</f>
        <v>2.4688318069491653E-2</v>
      </c>
      <c r="AC5" s="81">
        <f>IF($L5&lt;&gt;1,Q5,IF(VLOOKUP($A5,'User Interface (Start Here!)'!$B$18:$N$28,AC$2+1,FALSE)&lt;&gt;100%,Q5-VLOOKUP($A5,'User Interface (Start Here!)'!$B$18:$N$28,AC$2+1,FALSE)/'User Interface (Start Here!)'!$L$35*$M5*Q5,Q5-VLOOKUP($A5,'User Interface (Start Here!)'!$B$18:$N$28,AC$2+1,FALSE)*$M5*Q5))</f>
        <v>3.0620542385787042E-2</v>
      </c>
      <c r="AD5" s="81">
        <f>IF($L5&lt;&gt;1,R5,IF(VLOOKUP($A5,'User Interface (Start Here!)'!$B$18:$N$28,AD$2+1,FALSE)&lt;&gt;100%,R5-VLOOKUP($A5,'User Interface (Start Here!)'!$B$18:$N$28,AD$2+1,FALSE)/'User Interface (Start Here!)'!$L$35*$M5*R5,R5-VLOOKUP($A5,'User Interface (Start Here!)'!$B$18:$N$28,AD$2+1,FALSE)*$M5*R5))</f>
        <v>0.11554075613779069</v>
      </c>
      <c r="AE5" s="81">
        <f>IF($L5&lt;&gt;1,S5,IF(VLOOKUP($A5,'User Interface (Start Here!)'!$B$18:$N$28,AE$2+1,FALSE)&lt;&gt;100%,S5-VLOOKUP($A5,'User Interface (Start Here!)'!$B$18:$N$28,AE$2+1,FALSE)/'User Interface (Start Here!)'!$L$35*$M5*S5,S5-VLOOKUP($A5,'User Interface (Start Here!)'!$B$18:$N$28,AE$2+1,FALSE)*$M5*S5))</f>
        <v>4.0721882858163749E-2</v>
      </c>
      <c r="AF5" s="81">
        <f>IF($L5&lt;&gt;1,T5,IF(VLOOKUP($A5,'User Interface (Start Here!)'!$B$18:$N$28,AF$2+1,FALSE)&lt;&gt;100%,T5-VLOOKUP($A5,'User Interface (Start Here!)'!$B$18:$N$28,AF$2+1,FALSE)/'User Interface (Start Here!)'!$L$35*$M5*T5,T5-VLOOKUP($A5,'User Interface (Start Here!)'!$B$18:$N$28,AF$2+1,FALSE)*$M5*T5))</f>
        <v>5.4877414196256864E-2</v>
      </c>
      <c r="AG5" s="81">
        <f>IF($L5&lt;&gt;1,U5,IF(VLOOKUP($A5,'User Interface (Start Here!)'!$B$18:$N$28,AG$2+1,FALSE)&lt;&gt;100%,U5-VLOOKUP($A5,'User Interface (Start Here!)'!$B$18:$N$28,AG$2+1,FALSE)/'User Interface (Start Here!)'!$L$35*$M5*U5,U5-VLOOKUP($A5,'User Interface (Start Here!)'!$B$18:$N$28,AG$2+1,FALSE)*$M5*U5))</f>
        <v>2.9851254809393889E-2</v>
      </c>
      <c r="AH5" s="81">
        <f>IF($L5&lt;&gt;1,V5,IF(VLOOKUP($A5,'User Interface (Start Here!)'!$B$18:$N$28,AH$2+1,FALSE)&lt;&gt;100%,V5-VLOOKUP($A5,'User Interface (Start Here!)'!$B$18:$N$28,AH$2+1,FALSE)/'User Interface (Start Here!)'!$L$35*$M5*V5,V5-VLOOKUP($A5,'User Interface (Start Here!)'!$B$18:$N$28,AH$2+1,FALSE)*$M5*V5))</f>
        <v>1.7673481622682587E-2</v>
      </c>
      <c r="AI5" s="81">
        <f>IF($L5&lt;&gt;1,W5,IF(VLOOKUP($A5,'User Interface (Start Here!)'!$B$18:$N$28,AI$2+1,FALSE)&lt;&gt;100%,W5-VLOOKUP($A5,'User Interface (Start Here!)'!$B$18:$N$28,AI$2+1,FALSE)/'User Interface (Start Here!)'!$L$35*$M5*W5,W5-VLOOKUP($A5,'User Interface (Start Here!)'!$B$18:$N$28,AI$2+1,FALSE)*$M5*W5))</f>
        <v>3.7563194989881692E-2</v>
      </c>
      <c r="AJ5" s="81">
        <f>IF($L5&lt;&gt;1,X5,IF(VLOOKUP($A5,'User Interface (Start Here!)'!$B$18:$N$28,AJ$2+1,FALSE)&lt;&gt;100%,X5-VLOOKUP($A5,'User Interface (Start Here!)'!$B$18:$N$28,AJ$2+1,FALSE)/'User Interface (Start Here!)'!$L$35*$M5*X5,X5-VLOOKUP($A5,'User Interface (Start Here!)'!$B$18:$N$28,AJ$2+1,FALSE)*$M5*X5))</f>
        <v>2.1831707523888334E-2</v>
      </c>
      <c r="AK5" s="81">
        <f>IF($L5&lt;&gt;1,Y5,IF(VLOOKUP($A5,'User Interface (Start Here!)'!$B$18:$N$28,AK$2+1,FALSE)&lt;&gt;100%,Y5-VLOOKUP($A5,'User Interface (Start Here!)'!$B$18:$N$28,AK$2+1,FALSE)/'User Interface (Start Here!)'!$L$35*$M5*Y5,Y5-VLOOKUP($A5,'User Interface (Start Here!)'!$B$18:$N$28,AK$2+1,FALSE)*$M5*Y5))</f>
        <v>6.9697068738011026E-3</v>
      </c>
      <c r="AL5" s="82">
        <f t="shared" si="3"/>
        <v>0.41324019833687925</v>
      </c>
      <c r="AR5" s="122" t="s">
        <v>115</v>
      </c>
      <c r="AS5" s="122">
        <v>184045</v>
      </c>
      <c r="AT5" s="122">
        <v>194551</v>
      </c>
      <c r="AU5" s="122">
        <v>225838</v>
      </c>
      <c r="AV5" s="122">
        <v>271202</v>
      </c>
      <c r="AW5" s="122">
        <v>145945</v>
      </c>
      <c r="AX5" s="122">
        <v>188213</v>
      </c>
      <c r="AY5" s="122">
        <v>1209794</v>
      </c>
      <c r="AZ5" s="122"/>
      <c r="BA5" s="122"/>
      <c r="BB5" s="122"/>
      <c r="BC5" s="122"/>
      <c r="BD5" s="122"/>
      <c r="BE5" s="122"/>
    </row>
    <row r="6" spans="1:57" s="121" customFormat="1" ht="15.6">
      <c r="A6" s="123">
        <v>2579</v>
      </c>
      <c r="B6" s="120" t="s">
        <v>129</v>
      </c>
      <c r="C6" s="124">
        <v>2</v>
      </c>
      <c r="D6" s="125">
        <v>3.0007195342650941</v>
      </c>
      <c r="E6" s="126">
        <f t="shared" si="4"/>
        <v>3.200287813706038</v>
      </c>
      <c r="F6" s="127">
        <v>5.4230997157070773</v>
      </c>
      <c r="G6" s="127">
        <v>6918.4210426642749</v>
      </c>
      <c r="H6" s="127">
        <v>4.8112691107269798</v>
      </c>
      <c r="I6" s="128">
        <f t="shared" si="5"/>
        <v>5.0007195342650945</v>
      </c>
      <c r="J6" s="65">
        <f t="shared" si="0"/>
        <v>5.4230997157070776E-3</v>
      </c>
      <c r="K6" s="129">
        <f>(J6)*'User Interface (Start Here!)'!$L$8</f>
        <v>2.1692398862828313E-3</v>
      </c>
      <c r="L6" s="2">
        <f>IF(VLOOKUP(A6,'User Interface (Start Here!)'!$DO$2:$DP$73,2,FALSE)&lt;&gt;0,1,0)</f>
        <v>0</v>
      </c>
      <c r="M6" s="41">
        <f>IF(AND(L6=1,ISBLANK('User Interface (Start Here!)'!$L$14),ISBLANK('User Interface (Start Here!)'!$M$14),ISBLANK('User Interface (Start Here!)'!$N$14)),100%*'User Interface (Start Here!)'!$L$30,IF(L6=1,VLOOKUP(A6,'Bathymetric Closures'!$A$2:$C$57,3,FALSE)*'User Interface (Start Here!)'!$L$30,0%))</f>
        <v>0</v>
      </c>
      <c r="N6" s="79">
        <f t="shared" si="1"/>
        <v>1.9695901721149001E-4</v>
      </c>
      <c r="O6" s="79">
        <f t="shared" si="2"/>
        <v>8.066709475410479E-4</v>
      </c>
      <c r="P6" s="79">
        <f t="shared" si="2"/>
        <v>5.0907986415865995E-4</v>
      </c>
      <c r="Q6" s="79">
        <f t="shared" si="2"/>
        <v>1.3722554477849715E-4</v>
      </c>
      <c r="R6" s="79">
        <f t="shared" si="2"/>
        <v>1.2574523776434835E-4</v>
      </c>
      <c r="S6" s="79">
        <f t="shared" si="2"/>
        <v>8.8613619765460903E-5</v>
      </c>
      <c r="T6" s="79">
        <f t="shared" si="2"/>
        <v>7.6236413765831744E-5</v>
      </c>
      <c r="U6" s="79">
        <f t="shared" si="2"/>
        <v>6.1706650201049694E-5</v>
      </c>
      <c r="V6" s="79">
        <f t="shared" si="2"/>
        <v>3.1391464491813073E-5</v>
      </c>
      <c r="W6" s="79">
        <f t="shared" si="2"/>
        <v>3.6055339216311012E-5</v>
      </c>
      <c r="X6" s="79">
        <f t="shared" si="2"/>
        <v>4.0719213940808958E-5</v>
      </c>
      <c r="Y6" s="79">
        <f t="shared" si="2"/>
        <v>5.8836573447512495E-5</v>
      </c>
      <c r="Z6" s="80">
        <f>IF($L6&lt;&gt;1,N6,IF(VLOOKUP($A6,'User Interface (Start Here!)'!$B$18:$N$28,Z$2+1,FALSE)&lt;&gt;100%,N6-VLOOKUP($A6,'User Interface (Start Here!)'!$B$18:$N$28,Z$2+1,FALSE)/'User Interface (Start Here!)'!$L$35*$M6*N6,N6-VLOOKUP($A6,'User Interface (Start Here!)'!$B$18:$N$28,Z$2+1,FALSE)*$M6*N6))</f>
        <v>1.9695901721149001E-4</v>
      </c>
      <c r="AA6" s="81">
        <f>IF($L6&lt;&gt;1,O6,IF(VLOOKUP($A6,'User Interface (Start Here!)'!$B$18:$N$28,AA$2+1,FALSE)&lt;&gt;100%,O6-VLOOKUP($A6,'User Interface (Start Here!)'!$B$18:$N$28,AA$2+1,FALSE)/'User Interface (Start Here!)'!$L$35*$M6*O6,O6-VLOOKUP($A6,'User Interface (Start Here!)'!$B$18:$N$28,AA$2+1,FALSE)*$M6*O6))</f>
        <v>8.066709475410479E-4</v>
      </c>
      <c r="AB6" s="81">
        <f>IF($L6&lt;&gt;1,P6,IF(VLOOKUP($A6,'User Interface (Start Here!)'!$B$18:$N$28,AB$2+1,FALSE)&lt;&gt;100%,P6-VLOOKUP($A6,'User Interface (Start Here!)'!$B$18:$N$28,AB$2+1,FALSE)/'User Interface (Start Here!)'!$L$35*$M6*P6,P6-VLOOKUP($A6,'User Interface (Start Here!)'!$B$18:$N$28,AB$2+1,FALSE)*$M6*P6))</f>
        <v>5.0907986415865995E-4</v>
      </c>
      <c r="AC6" s="81">
        <f>IF($L6&lt;&gt;1,Q6,IF(VLOOKUP($A6,'User Interface (Start Here!)'!$B$18:$N$28,AC$2+1,FALSE)&lt;&gt;100%,Q6-VLOOKUP($A6,'User Interface (Start Here!)'!$B$18:$N$28,AC$2+1,FALSE)/'User Interface (Start Here!)'!$L$35*$M6*Q6,Q6-VLOOKUP($A6,'User Interface (Start Here!)'!$B$18:$N$28,AC$2+1,FALSE)*$M6*Q6))</f>
        <v>1.3722554477849715E-4</v>
      </c>
      <c r="AD6" s="81">
        <f>IF($L6&lt;&gt;1,R6,IF(VLOOKUP($A6,'User Interface (Start Here!)'!$B$18:$N$28,AD$2+1,FALSE)&lt;&gt;100%,R6-VLOOKUP($A6,'User Interface (Start Here!)'!$B$18:$N$28,AD$2+1,FALSE)/'User Interface (Start Here!)'!$L$35*$M6*R6,R6-VLOOKUP($A6,'User Interface (Start Here!)'!$B$18:$N$28,AD$2+1,FALSE)*$M6*R6))</f>
        <v>1.2574523776434835E-4</v>
      </c>
      <c r="AE6" s="81">
        <f>IF($L6&lt;&gt;1,S6,IF(VLOOKUP($A6,'User Interface (Start Here!)'!$B$18:$N$28,AE$2+1,FALSE)&lt;&gt;100%,S6-VLOOKUP($A6,'User Interface (Start Here!)'!$B$18:$N$28,AE$2+1,FALSE)/'User Interface (Start Here!)'!$L$35*$M6*S6,S6-VLOOKUP($A6,'User Interface (Start Here!)'!$B$18:$N$28,AE$2+1,FALSE)*$M6*S6))</f>
        <v>8.8613619765460903E-5</v>
      </c>
      <c r="AF6" s="81">
        <f>IF($L6&lt;&gt;1,T6,IF(VLOOKUP($A6,'User Interface (Start Here!)'!$B$18:$N$28,AF$2+1,FALSE)&lt;&gt;100%,T6-VLOOKUP($A6,'User Interface (Start Here!)'!$B$18:$N$28,AF$2+1,FALSE)/'User Interface (Start Here!)'!$L$35*$M6*T6,T6-VLOOKUP($A6,'User Interface (Start Here!)'!$B$18:$N$28,AF$2+1,FALSE)*$M6*T6))</f>
        <v>7.6236413765831744E-5</v>
      </c>
      <c r="AG6" s="81">
        <f>IF($L6&lt;&gt;1,U6,IF(VLOOKUP($A6,'User Interface (Start Here!)'!$B$18:$N$28,AG$2+1,FALSE)&lt;&gt;100%,U6-VLOOKUP($A6,'User Interface (Start Here!)'!$B$18:$N$28,AG$2+1,FALSE)/'User Interface (Start Here!)'!$L$35*$M6*U6,U6-VLOOKUP($A6,'User Interface (Start Here!)'!$B$18:$N$28,AG$2+1,FALSE)*$M6*U6))</f>
        <v>6.1706650201049694E-5</v>
      </c>
      <c r="AH6" s="81">
        <f>IF($L6&lt;&gt;1,V6,IF(VLOOKUP($A6,'User Interface (Start Here!)'!$B$18:$N$28,AH$2+1,FALSE)&lt;&gt;100%,V6-VLOOKUP($A6,'User Interface (Start Here!)'!$B$18:$N$28,AH$2+1,FALSE)/'User Interface (Start Here!)'!$L$35*$M6*V6,V6-VLOOKUP($A6,'User Interface (Start Here!)'!$B$18:$N$28,AH$2+1,FALSE)*$M6*V6))</f>
        <v>3.1391464491813073E-5</v>
      </c>
      <c r="AI6" s="81">
        <f>IF($L6&lt;&gt;1,W6,IF(VLOOKUP($A6,'User Interface (Start Here!)'!$B$18:$N$28,AI$2+1,FALSE)&lt;&gt;100%,W6-VLOOKUP($A6,'User Interface (Start Here!)'!$B$18:$N$28,AI$2+1,FALSE)/'User Interface (Start Here!)'!$L$35*$M6*W6,W6-VLOOKUP($A6,'User Interface (Start Here!)'!$B$18:$N$28,AI$2+1,FALSE)*$M6*W6))</f>
        <v>3.6055339216311012E-5</v>
      </c>
      <c r="AJ6" s="81">
        <f>IF($L6&lt;&gt;1,X6,IF(VLOOKUP($A6,'User Interface (Start Here!)'!$B$18:$N$28,AJ$2+1,FALSE)&lt;&gt;100%,X6-VLOOKUP($A6,'User Interface (Start Here!)'!$B$18:$N$28,AJ$2+1,FALSE)/'User Interface (Start Here!)'!$L$35*$M6*X6,X6-VLOOKUP($A6,'User Interface (Start Here!)'!$B$18:$N$28,AJ$2+1,FALSE)*$M6*X6))</f>
        <v>4.0719213940808958E-5</v>
      </c>
      <c r="AK6" s="81">
        <f>IF($L6&lt;&gt;1,Y6,IF(VLOOKUP($A6,'User Interface (Start Here!)'!$B$18:$N$28,AK$2+1,FALSE)&lt;&gt;100%,Y6-VLOOKUP($A6,'User Interface (Start Here!)'!$B$18:$N$28,AK$2+1,FALSE)/'User Interface (Start Here!)'!$L$35*$M6*Y6,Y6-VLOOKUP($A6,'User Interface (Start Here!)'!$B$18:$N$28,AK$2+1,FALSE)*$M6*Y6))</f>
        <v>5.8836573447512495E-5</v>
      </c>
      <c r="AL6" s="82">
        <f t="shared" si="3"/>
        <v>2.1692398862828313E-3</v>
      </c>
      <c r="AR6" s="122" t="s">
        <v>115</v>
      </c>
      <c r="AS6" s="122">
        <v>184045</v>
      </c>
      <c r="AT6" s="122">
        <v>194551</v>
      </c>
      <c r="AU6" s="122">
        <v>225838</v>
      </c>
      <c r="AV6" s="122">
        <v>271202</v>
      </c>
      <c r="AW6" s="122">
        <v>145945</v>
      </c>
      <c r="AX6" s="122">
        <v>188213</v>
      </c>
      <c r="AY6" s="122">
        <v>1209794</v>
      </c>
      <c r="AZ6" s="122"/>
      <c r="BA6" s="122"/>
      <c r="BB6" s="122"/>
      <c r="BC6" s="122"/>
      <c r="BD6" s="122"/>
      <c r="BE6" s="122"/>
    </row>
    <row r="7" spans="1:57" s="121" customFormat="1" ht="15.6">
      <c r="A7" s="123">
        <v>2580</v>
      </c>
      <c r="B7" s="120" t="s">
        <v>129</v>
      </c>
      <c r="C7" s="124">
        <v>29.415002199999993</v>
      </c>
      <c r="D7" s="125">
        <v>44.13308585099535</v>
      </c>
      <c r="E7" s="126">
        <f t="shared" si="4"/>
        <v>47.068236540398132</v>
      </c>
      <c r="F7" s="127">
        <v>79.760245034171518</v>
      </c>
      <c r="G7" s="127">
        <v>6694.1117745576375</v>
      </c>
      <c r="H7" s="127">
        <v>70.761745738413069</v>
      </c>
      <c r="I7" s="128">
        <f t="shared" si="5"/>
        <v>73.548088050995347</v>
      </c>
      <c r="J7" s="65">
        <f t="shared" si="0"/>
        <v>7.976024503417152E-2</v>
      </c>
      <c r="K7" s="129">
        <f>(J7)*'User Interface (Start Here!)'!$L$8</f>
        <v>3.1904098013668607E-2</v>
      </c>
      <c r="L7" s="2">
        <f>IF(VLOOKUP(A7,'User Interface (Start Here!)'!$DO$2:$DP$73,2,FALSE)&lt;&gt;0,1,0)</f>
        <v>0</v>
      </c>
      <c r="M7" s="41">
        <f>IF(AND(L7=1,ISBLANK('User Interface (Start Here!)'!$L$14),ISBLANK('User Interface (Start Here!)'!$M$14),ISBLANK('User Interface (Start Here!)'!$N$14)),100%*'User Interface (Start Here!)'!$L$30,IF(L7=1,VLOOKUP(A7,'Bathymetric Closures'!$A$2:$C$57,3,FALSE)*'User Interface (Start Here!)'!$L$30,0%))</f>
        <v>0</v>
      </c>
      <c r="N7" s="79">
        <f t="shared" si="1"/>
        <v>0</v>
      </c>
      <c r="O7" s="79">
        <f t="shared" si="2"/>
        <v>2.2792895034496798E-2</v>
      </c>
      <c r="P7" s="79">
        <f t="shared" si="2"/>
        <v>4.5556014895859042E-3</v>
      </c>
      <c r="Q7" s="79">
        <f t="shared" si="2"/>
        <v>0</v>
      </c>
      <c r="R7" s="79">
        <f t="shared" si="2"/>
        <v>0</v>
      </c>
      <c r="S7" s="79">
        <f t="shared" si="2"/>
        <v>4.5556014895859042E-3</v>
      </c>
      <c r="T7" s="79">
        <f t="shared" si="2"/>
        <v>0</v>
      </c>
      <c r="U7" s="79">
        <f t="shared" si="2"/>
        <v>0</v>
      </c>
      <c r="V7" s="79">
        <f t="shared" si="2"/>
        <v>0</v>
      </c>
      <c r="W7" s="79">
        <f t="shared" si="2"/>
        <v>0</v>
      </c>
      <c r="X7" s="79">
        <f t="shared" si="2"/>
        <v>0</v>
      </c>
      <c r="Y7" s="79">
        <f t="shared" si="2"/>
        <v>0</v>
      </c>
      <c r="Z7" s="80">
        <f>IF($L7&lt;&gt;1,N7,IF(VLOOKUP($A7,'User Interface (Start Here!)'!$B$18:$N$28,Z$2+1,FALSE)&lt;&gt;100%,N7-VLOOKUP($A7,'User Interface (Start Here!)'!$B$18:$N$28,Z$2+1,FALSE)/'User Interface (Start Here!)'!$L$35*$M7*N7,N7-VLOOKUP($A7,'User Interface (Start Here!)'!$B$18:$N$28,Z$2+1,FALSE)*$M7*N7))</f>
        <v>0</v>
      </c>
      <c r="AA7" s="81">
        <f>IF($L7&lt;&gt;1,O7,IF(VLOOKUP($A7,'User Interface (Start Here!)'!$B$18:$N$28,AA$2+1,FALSE)&lt;&gt;100%,O7-VLOOKUP($A7,'User Interface (Start Here!)'!$B$18:$N$28,AA$2+1,FALSE)/'User Interface (Start Here!)'!$L$35*$M7*O7,O7-VLOOKUP($A7,'User Interface (Start Here!)'!$B$18:$N$28,AA$2+1,FALSE)*$M7*O7))</f>
        <v>2.2792895034496798E-2</v>
      </c>
      <c r="AB7" s="81">
        <f>IF($L7&lt;&gt;1,P7,IF(VLOOKUP($A7,'User Interface (Start Here!)'!$B$18:$N$28,AB$2+1,FALSE)&lt;&gt;100%,P7-VLOOKUP($A7,'User Interface (Start Here!)'!$B$18:$N$28,AB$2+1,FALSE)/'User Interface (Start Here!)'!$L$35*$M7*P7,P7-VLOOKUP($A7,'User Interface (Start Here!)'!$B$18:$N$28,AB$2+1,FALSE)*$M7*P7))</f>
        <v>4.5556014895859042E-3</v>
      </c>
      <c r="AC7" s="81">
        <f>IF($L7&lt;&gt;1,Q7,IF(VLOOKUP($A7,'User Interface (Start Here!)'!$B$18:$N$28,AC$2+1,FALSE)&lt;&gt;100%,Q7-VLOOKUP($A7,'User Interface (Start Here!)'!$B$18:$N$28,AC$2+1,FALSE)/'User Interface (Start Here!)'!$L$35*$M7*Q7,Q7-VLOOKUP($A7,'User Interface (Start Here!)'!$B$18:$N$28,AC$2+1,FALSE)*$M7*Q7))</f>
        <v>0</v>
      </c>
      <c r="AD7" s="81">
        <f>IF($L7&lt;&gt;1,R7,IF(VLOOKUP($A7,'User Interface (Start Here!)'!$B$18:$N$28,AD$2+1,FALSE)&lt;&gt;100%,R7-VLOOKUP($A7,'User Interface (Start Here!)'!$B$18:$N$28,AD$2+1,FALSE)/'User Interface (Start Here!)'!$L$35*$M7*R7,R7-VLOOKUP($A7,'User Interface (Start Here!)'!$B$18:$N$28,AD$2+1,FALSE)*$M7*R7))</f>
        <v>0</v>
      </c>
      <c r="AE7" s="81">
        <f>IF($L7&lt;&gt;1,S7,IF(VLOOKUP($A7,'User Interface (Start Here!)'!$B$18:$N$28,AE$2+1,FALSE)&lt;&gt;100%,S7-VLOOKUP($A7,'User Interface (Start Here!)'!$B$18:$N$28,AE$2+1,FALSE)/'User Interface (Start Here!)'!$L$35*$M7*S7,S7-VLOOKUP($A7,'User Interface (Start Here!)'!$B$18:$N$28,AE$2+1,FALSE)*$M7*S7))</f>
        <v>4.5556014895859042E-3</v>
      </c>
      <c r="AF7" s="81">
        <f>IF($L7&lt;&gt;1,T7,IF(VLOOKUP($A7,'User Interface (Start Here!)'!$B$18:$N$28,AF$2+1,FALSE)&lt;&gt;100%,T7-VLOOKUP($A7,'User Interface (Start Here!)'!$B$18:$N$28,AF$2+1,FALSE)/'User Interface (Start Here!)'!$L$35*$M7*T7,T7-VLOOKUP($A7,'User Interface (Start Here!)'!$B$18:$N$28,AF$2+1,FALSE)*$M7*T7))</f>
        <v>0</v>
      </c>
      <c r="AG7" s="81">
        <f>IF($L7&lt;&gt;1,U7,IF(VLOOKUP($A7,'User Interface (Start Here!)'!$B$18:$N$28,AG$2+1,FALSE)&lt;&gt;100%,U7-VLOOKUP($A7,'User Interface (Start Here!)'!$B$18:$N$28,AG$2+1,FALSE)/'User Interface (Start Here!)'!$L$35*$M7*U7,U7-VLOOKUP($A7,'User Interface (Start Here!)'!$B$18:$N$28,AG$2+1,FALSE)*$M7*U7))</f>
        <v>0</v>
      </c>
      <c r="AH7" s="81">
        <f>IF($L7&lt;&gt;1,V7,IF(VLOOKUP($A7,'User Interface (Start Here!)'!$B$18:$N$28,AH$2+1,FALSE)&lt;&gt;100%,V7-VLOOKUP($A7,'User Interface (Start Here!)'!$B$18:$N$28,AH$2+1,FALSE)/'User Interface (Start Here!)'!$L$35*$M7*V7,V7-VLOOKUP($A7,'User Interface (Start Here!)'!$B$18:$N$28,AH$2+1,FALSE)*$M7*V7))</f>
        <v>0</v>
      </c>
      <c r="AI7" s="81">
        <f>IF($L7&lt;&gt;1,W7,IF(VLOOKUP($A7,'User Interface (Start Here!)'!$B$18:$N$28,AI$2+1,FALSE)&lt;&gt;100%,W7-VLOOKUP($A7,'User Interface (Start Here!)'!$B$18:$N$28,AI$2+1,FALSE)/'User Interface (Start Here!)'!$L$35*$M7*W7,W7-VLOOKUP($A7,'User Interface (Start Here!)'!$B$18:$N$28,AI$2+1,FALSE)*$M7*W7))</f>
        <v>0</v>
      </c>
      <c r="AJ7" s="81">
        <f>IF($L7&lt;&gt;1,X7,IF(VLOOKUP($A7,'User Interface (Start Here!)'!$B$18:$N$28,AJ$2+1,FALSE)&lt;&gt;100%,X7-VLOOKUP($A7,'User Interface (Start Here!)'!$B$18:$N$28,AJ$2+1,FALSE)/'User Interface (Start Here!)'!$L$35*$M7*X7,X7-VLOOKUP($A7,'User Interface (Start Here!)'!$B$18:$N$28,AJ$2+1,FALSE)*$M7*X7))</f>
        <v>0</v>
      </c>
      <c r="AK7" s="81">
        <f>IF($L7&lt;&gt;1,Y7,IF(VLOOKUP($A7,'User Interface (Start Here!)'!$B$18:$N$28,AK$2+1,FALSE)&lt;&gt;100%,Y7-VLOOKUP($A7,'User Interface (Start Here!)'!$B$18:$N$28,AK$2+1,FALSE)/'User Interface (Start Here!)'!$L$35*$M7*Y7,Y7-VLOOKUP($A7,'User Interface (Start Here!)'!$B$18:$N$28,AK$2+1,FALSE)*$M7*Y7))</f>
        <v>0</v>
      </c>
      <c r="AL7" s="82">
        <f t="shared" si="3"/>
        <v>3.1904098013668607E-2</v>
      </c>
      <c r="AR7" s="122" t="s">
        <v>115</v>
      </c>
      <c r="AS7" s="122">
        <v>184045</v>
      </c>
      <c r="AT7" s="122">
        <v>194551</v>
      </c>
      <c r="AU7" s="122">
        <v>225838</v>
      </c>
      <c r="AV7" s="122">
        <v>271202</v>
      </c>
      <c r="AW7" s="122">
        <v>145945</v>
      </c>
      <c r="AX7" s="122">
        <v>188213</v>
      </c>
      <c r="AY7" s="122">
        <v>1209794</v>
      </c>
      <c r="AZ7" s="122"/>
      <c r="BA7" s="122"/>
      <c r="BB7" s="122"/>
      <c r="BC7" s="122"/>
      <c r="BD7" s="122"/>
      <c r="BE7" s="122"/>
    </row>
    <row r="8" spans="1:57" ht="15.6">
      <c r="A8" s="69">
        <v>2679</v>
      </c>
      <c r="B8" s="57" t="s">
        <v>99</v>
      </c>
      <c r="C8" s="97">
        <v>812.6675979770115</v>
      </c>
      <c r="D8" s="98">
        <v>1219.2937680569551</v>
      </c>
      <c r="E8" s="99">
        <f t="shared" si="4"/>
        <v>1300.3851051997935</v>
      </c>
      <c r="F8" s="100">
        <v>2203.5887097767422</v>
      </c>
      <c r="G8" s="100">
        <v>5458.0596856528946</v>
      </c>
      <c r="H8" s="100">
        <v>1954.9812557177436</v>
      </c>
      <c r="I8" s="101">
        <f t="shared" si="5"/>
        <v>2031.9613660339664</v>
      </c>
      <c r="J8" s="65">
        <f t="shared" si="0"/>
        <v>2.2035887097767421</v>
      </c>
      <c r="K8" s="84">
        <f>(J8)*'User Interface (Start Here!)'!$L$8</f>
        <v>0.88143548391069693</v>
      </c>
      <c r="L8" s="2">
        <f>IF(VLOOKUP(A8,'User Interface (Start Here!)'!$DO$2:$DP$73,2,FALSE)&lt;&gt;0,1,0)</f>
        <v>0</v>
      </c>
      <c r="M8" s="41">
        <f>IF(AND(L8=1,ISBLANK('User Interface (Start Here!)'!$L$14),ISBLANK('User Interface (Start Here!)'!$M$14),ISBLANK('User Interface (Start Here!)'!$N$14)),100%*'User Interface (Start Here!)'!$L$30,IF(L8=1,VLOOKUP(A8,'Bathymetric Closures'!$A$2:$C$57,3,FALSE)*'User Interface (Start Here!)'!$L$30,0%))</f>
        <v>0</v>
      </c>
      <c r="N8" s="79">
        <f t="shared" si="1"/>
        <v>8.0031105708587222E-2</v>
      </c>
      <c r="O8" s="79">
        <f t="shared" si="2"/>
        <v>0.32777767064801161</v>
      </c>
      <c r="P8" s="79">
        <f t="shared" si="2"/>
        <v>0.20685635519214074</v>
      </c>
      <c r="Q8" s="79">
        <f t="shared" si="2"/>
        <v>5.5759376928114043E-2</v>
      </c>
      <c r="R8" s="79">
        <f t="shared" si="2"/>
        <v>5.1094540165500586E-2</v>
      </c>
      <c r="S8" s="79">
        <f t="shared" si="2"/>
        <v>3.6006708761422666E-2</v>
      </c>
      <c r="T8" s="79">
        <f t="shared" si="2"/>
        <v>3.0977431626730029E-2</v>
      </c>
      <c r="U8" s="79">
        <f t="shared" si="2"/>
        <v>2.507349759904736E-2</v>
      </c>
      <c r="V8" s="79">
        <f t="shared" si="2"/>
        <v>1.2755413022771186E-2</v>
      </c>
      <c r="W8" s="79">
        <f t="shared" si="2"/>
        <v>1.4650502957582905E-2</v>
      </c>
      <c r="X8" s="79">
        <f t="shared" si="2"/>
        <v>1.6545592892394625E-2</v>
      </c>
      <c r="Y8" s="79">
        <f t="shared" si="2"/>
        <v>2.3907288408393994E-2</v>
      </c>
      <c r="Z8" s="80">
        <f>IF($L8&lt;&gt;1,N8,IF(VLOOKUP($A8,'User Interface (Start Here!)'!$B$18:$N$28,Z$2+1,FALSE)&lt;&gt;100%,N8-VLOOKUP($A8,'User Interface (Start Here!)'!$B$18:$N$28,Z$2+1,FALSE)/'User Interface (Start Here!)'!$L$35*$M8*N8,N8-VLOOKUP($A8,'User Interface (Start Here!)'!$B$18:$N$28,Z$2+1,FALSE)*$M8*N8))</f>
        <v>8.0031105708587222E-2</v>
      </c>
      <c r="AA8" s="81">
        <f>IF($L8&lt;&gt;1,O8,IF(VLOOKUP($A8,'User Interface (Start Here!)'!$B$18:$N$28,AA$2+1,FALSE)&lt;&gt;100%,O8-VLOOKUP($A8,'User Interface (Start Here!)'!$B$18:$N$28,AA$2+1,FALSE)/'User Interface (Start Here!)'!$L$35*$M8*O8,O8-VLOOKUP($A8,'User Interface (Start Here!)'!$B$18:$N$28,AA$2+1,FALSE)*$M8*O8))</f>
        <v>0.32777767064801161</v>
      </c>
      <c r="AB8" s="81">
        <f>IF($L8&lt;&gt;1,P8,IF(VLOOKUP($A8,'User Interface (Start Here!)'!$B$18:$N$28,AB$2+1,FALSE)&lt;&gt;100%,P8-VLOOKUP($A8,'User Interface (Start Here!)'!$B$18:$N$28,AB$2+1,FALSE)/'User Interface (Start Here!)'!$L$35*$M8*P8,P8-VLOOKUP($A8,'User Interface (Start Here!)'!$B$18:$N$28,AB$2+1,FALSE)*$M8*P8))</f>
        <v>0.20685635519214074</v>
      </c>
      <c r="AC8" s="81">
        <f>IF($L8&lt;&gt;1,Q8,IF(VLOOKUP($A8,'User Interface (Start Here!)'!$B$18:$N$28,AC$2+1,FALSE)&lt;&gt;100%,Q8-VLOOKUP($A8,'User Interface (Start Here!)'!$B$18:$N$28,AC$2+1,FALSE)/'User Interface (Start Here!)'!$L$35*$M8*Q8,Q8-VLOOKUP($A8,'User Interface (Start Here!)'!$B$18:$N$28,AC$2+1,FALSE)*$M8*Q8))</f>
        <v>5.5759376928114043E-2</v>
      </c>
      <c r="AD8" s="81">
        <f>IF($L8&lt;&gt;1,R8,IF(VLOOKUP($A8,'User Interface (Start Here!)'!$B$18:$N$28,AD$2+1,FALSE)&lt;&gt;100%,R8-VLOOKUP($A8,'User Interface (Start Here!)'!$B$18:$N$28,AD$2+1,FALSE)/'User Interface (Start Here!)'!$L$35*$M8*R8,R8-VLOOKUP($A8,'User Interface (Start Here!)'!$B$18:$N$28,AD$2+1,FALSE)*$M8*R8))</f>
        <v>5.1094540165500586E-2</v>
      </c>
      <c r="AE8" s="81">
        <f>IF($L8&lt;&gt;1,S8,IF(VLOOKUP($A8,'User Interface (Start Here!)'!$B$18:$N$28,AE$2+1,FALSE)&lt;&gt;100%,S8-VLOOKUP($A8,'User Interface (Start Here!)'!$B$18:$N$28,AE$2+1,FALSE)/'User Interface (Start Here!)'!$L$35*$M8*S8,S8-VLOOKUP($A8,'User Interface (Start Here!)'!$B$18:$N$28,AE$2+1,FALSE)*$M8*S8))</f>
        <v>3.6006708761422666E-2</v>
      </c>
      <c r="AF8" s="81">
        <f>IF($L8&lt;&gt;1,T8,IF(VLOOKUP($A8,'User Interface (Start Here!)'!$B$18:$N$28,AF$2+1,FALSE)&lt;&gt;100%,T8-VLOOKUP($A8,'User Interface (Start Here!)'!$B$18:$N$28,AF$2+1,FALSE)/'User Interface (Start Here!)'!$L$35*$M8*T8,T8-VLOOKUP($A8,'User Interface (Start Here!)'!$B$18:$N$28,AF$2+1,FALSE)*$M8*T8))</f>
        <v>3.0977431626730029E-2</v>
      </c>
      <c r="AG8" s="81">
        <f>IF($L8&lt;&gt;1,U8,IF(VLOOKUP($A8,'User Interface (Start Here!)'!$B$18:$N$28,AG$2+1,FALSE)&lt;&gt;100%,U8-VLOOKUP($A8,'User Interface (Start Here!)'!$B$18:$N$28,AG$2+1,FALSE)/'User Interface (Start Here!)'!$L$35*$M8*U8,U8-VLOOKUP($A8,'User Interface (Start Here!)'!$B$18:$N$28,AG$2+1,FALSE)*$M8*U8))</f>
        <v>2.507349759904736E-2</v>
      </c>
      <c r="AH8" s="81">
        <f>IF($L8&lt;&gt;1,V8,IF(VLOOKUP($A8,'User Interface (Start Here!)'!$B$18:$N$28,AH$2+1,FALSE)&lt;&gt;100%,V8-VLOOKUP($A8,'User Interface (Start Here!)'!$B$18:$N$28,AH$2+1,FALSE)/'User Interface (Start Here!)'!$L$35*$M8*V8,V8-VLOOKUP($A8,'User Interface (Start Here!)'!$B$18:$N$28,AH$2+1,FALSE)*$M8*V8))</f>
        <v>1.2755413022771186E-2</v>
      </c>
      <c r="AI8" s="81">
        <f>IF($L8&lt;&gt;1,W8,IF(VLOOKUP($A8,'User Interface (Start Here!)'!$B$18:$N$28,AI$2+1,FALSE)&lt;&gt;100%,W8-VLOOKUP($A8,'User Interface (Start Here!)'!$B$18:$N$28,AI$2+1,FALSE)/'User Interface (Start Here!)'!$L$35*$M8*W8,W8-VLOOKUP($A8,'User Interface (Start Here!)'!$B$18:$N$28,AI$2+1,FALSE)*$M8*W8))</f>
        <v>1.4650502957582905E-2</v>
      </c>
      <c r="AJ8" s="81">
        <f>IF($L8&lt;&gt;1,X8,IF(VLOOKUP($A8,'User Interface (Start Here!)'!$B$18:$N$28,AJ$2+1,FALSE)&lt;&gt;100%,X8-VLOOKUP($A8,'User Interface (Start Here!)'!$B$18:$N$28,AJ$2+1,FALSE)/'User Interface (Start Here!)'!$L$35*$M8*X8,X8-VLOOKUP($A8,'User Interface (Start Here!)'!$B$18:$N$28,AJ$2+1,FALSE)*$M8*X8))</f>
        <v>1.6545592892394625E-2</v>
      </c>
      <c r="AK8" s="81">
        <f>IF($L8&lt;&gt;1,Y8,IF(VLOOKUP($A8,'User Interface (Start Here!)'!$B$18:$N$28,AK$2+1,FALSE)&lt;&gt;100%,Y8-VLOOKUP($A8,'User Interface (Start Here!)'!$B$18:$N$28,AK$2+1,FALSE)/'User Interface (Start Here!)'!$L$35*$M8*Y8,Y8-VLOOKUP($A8,'User Interface (Start Here!)'!$B$18:$N$28,AK$2+1,FALSE)*$M8*Y8))</f>
        <v>2.3907288408393994E-2</v>
      </c>
      <c r="AL8" s="82">
        <f t="shared" si="3"/>
        <v>0.88143548391069693</v>
      </c>
      <c r="AR8" t="s">
        <v>115</v>
      </c>
      <c r="AS8">
        <v>184045</v>
      </c>
      <c r="AT8">
        <v>194551</v>
      </c>
      <c r="AU8">
        <v>225838</v>
      </c>
      <c r="AV8">
        <v>271202</v>
      </c>
      <c r="AW8">
        <v>145945</v>
      </c>
      <c r="AX8">
        <v>188213</v>
      </c>
      <c r="AY8">
        <v>1209794</v>
      </c>
    </row>
    <row r="9" spans="1:57" ht="15.6">
      <c r="A9" s="69">
        <v>2680</v>
      </c>
      <c r="B9" s="57" t="s">
        <v>99</v>
      </c>
      <c r="C9" s="97">
        <v>24.666666666666668</v>
      </c>
      <c r="D9" s="98">
        <v>37.008874255936156</v>
      </c>
      <c r="E9" s="99">
        <f t="shared" si="4"/>
        <v>39.470216369041133</v>
      </c>
      <c r="F9" s="100">
        <v>66.884896493720632</v>
      </c>
      <c r="G9" s="100">
        <v>5385.7002197270767</v>
      </c>
      <c r="H9" s="100">
        <v>59.338985698966077</v>
      </c>
      <c r="I9" s="101">
        <f t="shared" si="5"/>
        <v>61.675540922602821</v>
      </c>
      <c r="J9" s="65">
        <f t="shared" ref="J9:J29" si="6">IF($J$1=$F$1,F9,IF($J$1=$G$1,G9,IF($J$1=$H$1,H9,IF($J$1=$I$1,I9,"error"))))/1000</f>
        <v>6.6884896493720633E-2</v>
      </c>
      <c r="K9" s="84">
        <f>(J9)*'User Interface (Start Here!)'!$L$8</f>
        <v>2.6753958597488255E-2</v>
      </c>
      <c r="L9" s="2">
        <f>IF(VLOOKUP(A9,'User Interface (Start Here!)'!$DO$2:$DP$73,2,FALSE)&lt;&gt;0,1,0)</f>
        <v>0</v>
      </c>
      <c r="M9" s="41">
        <f>IF(AND(L9=1,ISBLANK('User Interface (Start Here!)'!$L$14),ISBLANK('User Interface (Start Here!)'!$M$14),ISBLANK('User Interface (Start Here!)'!$N$14)),100%*'User Interface (Start Here!)'!$L$30,IF(L9=1,VLOOKUP(A9,'Bathymetric Closures'!$A$2:$C$57,3,FALSE)*'User Interface (Start Here!)'!$L$30,0%))</f>
        <v>0</v>
      </c>
      <c r="N9" s="79">
        <f t="shared" si="1"/>
        <v>2.4291612122750439E-3</v>
      </c>
      <c r="O9" s="79">
        <f t="shared" si="2"/>
        <v>9.9489416863395921E-3</v>
      </c>
      <c r="P9" s="79">
        <f t="shared" si="2"/>
        <v>6.2786516579568068E-3</v>
      </c>
      <c r="Q9" s="79">
        <f t="shared" si="2"/>
        <v>1.6924483856014649E-3</v>
      </c>
      <c r="R9" s="79">
        <f t="shared" si="2"/>
        <v>1.5508579324269632E-3</v>
      </c>
      <c r="S9" s="79">
        <f t="shared" si="2"/>
        <v>1.0929013104406845E-3</v>
      </c>
      <c r="T9" s="79">
        <f t="shared" si="2"/>
        <v>9.4024910311192502E-4</v>
      </c>
      <c r="U9" s="79">
        <f t="shared" si="2"/>
        <v>7.6104868581294632E-4</v>
      </c>
      <c r="V9" s="79">
        <f t="shared" si="2"/>
        <v>3.8716139539902788E-4</v>
      </c>
      <c r="W9" s="79">
        <f t="shared" si="2"/>
        <v>4.4468251700116915E-4</v>
      </c>
      <c r="X9" s="79">
        <f t="shared" si="2"/>
        <v>5.0220363860331053E-4</v>
      </c>
      <c r="Y9" s="79">
        <f t="shared" si="2"/>
        <v>7.2565107251932085E-4</v>
      </c>
      <c r="Z9" s="81">
        <f>IF($L9&lt;&gt;1,N9,IF(VLOOKUP($A9,'User Interface (Start Here!)'!$B$18:$N$28,Z$2+1,FALSE)&lt;&gt;100%,N9-VLOOKUP($A9,'User Interface (Start Here!)'!$B$18:$N$28,Z$2+1,FALSE)/'User Interface (Start Here!)'!$L$35*$M9*N9,N9-VLOOKUP($A9,'User Interface (Start Here!)'!$B$18:$N$28,Z$2+1,FALSE)*$M9*N9))</f>
        <v>2.4291612122750439E-3</v>
      </c>
      <c r="AA9" s="81">
        <f>IF($L9&lt;&gt;1,O9,IF(VLOOKUP($A9,'User Interface (Start Here!)'!$B$18:$N$28,AA$2+1,FALSE)&lt;&gt;100%,O9-VLOOKUP($A9,'User Interface (Start Here!)'!$B$18:$N$28,AA$2+1,FALSE)/'User Interface (Start Here!)'!$L$35*$M9*O9,O9-VLOOKUP($A9,'User Interface (Start Here!)'!$B$18:$N$28,AA$2+1,FALSE)*$M9*O9))</f>
        <v>9.9489416863395921E-3</v>
      </c>
      <c r="AB9" s="81">
        <f>IF($L9&lt;&gt;1,P9,IF(VLOOKUP($A9,'User Interface (Start Here!)'!$B$18:$N$28,AB$2+1,FALSE)&lt;&gt;100%,P9-VLOOKUP($A9,'User Interface (Start Here!)'!$B$18:$N$28,AB$2+1,FALSE)/'User Interface (Start Here!)'!$L$35*$M9*P9,P9-VLOOKUP($A9,'User Interface (Start Here!)'!$B$18:$N$28,AB$2+1,FALSE)*$M9*P9))</f>
        <v>6.2786516579568068E-3</v>
      </c>
      <c r="AC9" s="81">
        <f>IF($L9&lt;&gt;1,Q9,IF(VLOOKUP($A9,'User Interface (Start Here!)'!$B$18:$N$28,AC$2+1,FALSE)&lt;&gt;100%,Q9-VLOOKUP($A9,'User Interface (Start Here!)'!$B$18:$N$28,AC$2+1,FALSE)/'User Interface (Start Here!)'!$L$35*$M9*Q9,Q9-VLOOKUP($A9,'User Interface (Start Here!)'!$B$18:$N$28,AC$2+1,FALSE)*$M9*Q9))</f>
        <v>1.6924483856014649E-3</v>
      </c>
      <c r="AD9" s="81">
        <f>IF($L9&lt;&gt;1,R9,IF(VLOOKUP($A9,'User Interface (Start Here!)'!$B$18:$N$28,AD$2+1,FALSE)&lt;&gt;100%,R9-VLOOKUP($A9,'User Interface (Start Here!)'!$B$18:$N$28,AD$2+1,FALSE)/'User Interface (Start Here!)'!$L$35*$M9*R9,R9-VLOOKUP($A9,'User Interface (Start Here!)'!$B$18:$N$28,AD$2+1,FALSE)*$M9*R9))</f>
        <v>1.5508579324269632E-3</v>
      </c>
      <c r="AE9" s="81">
        <f>IF($L9&lt;&gt;1,S9,IF(VLOOKUP($A9,'User Interface (Start Here!)'!$B$18:$N$28,AE$2+1,FALSE)&lt;&gt;100%,S9-VLOOKUP($A9,'User Interface (Start Here!)'!$B$18:$N$28,AE$2+1,FALSE)/'User Interface (Start Here!)'!$L$35*$M9*S9,S9-VLOOKUP($A9,'User Interface (Start Here!)'!$B$18:$N$28,AE$2+1,FALSE)*$M9*S9))</f>
        <v>1.0929013104406845E-3</v>
      </c>
      <c r="AF9" s="81">
        <f>IF($L9&lt;&gt;1,T9,IF(VLOOKUP($A9,'User Interface (Start Here!)'!$B$18:$N$28,AF$2+1,FALSE)&lt;&gt;100%,T9-VLOOKUP($A9,'User Interface (Start Here!)'!$B$18:$N$28,AF$2+1,FALSE)/'User Interface (Start Here!)'!$L$35*$M9*T9,T9-VLOOKUP($A9,'User Interface (Start Here!)'!$B$18:$N$28,AF$2+1,FALSE)*$M9*T9))</f>
        <v>9.4024910311192502E-4</v>
      </c>
      <c r="AG9" s="81">
        <f>IF($L9&lt;&gt;1,U9,IF(VLOOKUP($A9,'User Interface (Start Here!)'!$B$18:$N$28,AG$2+1,FALSE)&lt;&gt;100%,U9-VLOOKUP($A9,'User Interface (Start Here!)'!$B$18:$N$28,AG$2+1,FALSE)/'User Interface (Start Here!)'!$L$35*$M9*U9,U9-VLOOKUP($A9,'User Interface (Start Here!)'!$B$18:$N$28,AG$2+1,FALSE)*$M9*U9))</f>
        <v>7.6104868581294632E-4</v>
      </c>
      <c r="AH9" s="81">
        <f>IF($L9&lt;&gt;1,V9,IF(VLOOKUP($A9,'User Interface (Start Here!)'!$B$18:$N$28,AH$2+1,FALSE)&lt;&gt;100%,V9-VLOOKUP($A9,'User Interface (Start Here!)'!$B$18:$N$28,AH$2+1,FALSE)/'User Interface (Start Here!)'!$L$35*$M9*V9,V9-VLOOKUP($A9,'User Interface (Start Here!)'!$B$18:$N$28,AH$2+1,FALSE)*$M9*V9))</f>
        <v>3.8716139539902788E-4</v>
      </c>
      <c r="AI9" s="83">
        <f>IF($L9&lt;&gt;1,W9,IF(VLOOKUP($A9,'User Interface (Start Here!)'!$B$18:$N$28,AI$2+1,FALSE)&lt;&gt;100%,W9-VLOOKUP($A9,'User Interface (Start Here!)'!$B$18:$N$28,AI$2+1,FALSE)/'User Interface (Start Here!)'!$L$35*$M9*W9,W9-VLOOKUP($A9,'User Interface (Start Here!)'!$B$18:$N$28,AI$2+1,FALSE)*$M9*W9))</f>
        <v>4.4468251700116915E-4</v>
      </c>
      <c r="AJ9" s="83">
        <f>IF($L9&lt;&gt;1,X9,IF(VLOOKUP($A9,'User Interface (Start Here!)'!$B$18:$N$28,AJ$2+1,FALSE)&lt;&gt;100%,X9-VLOOKUP($A9,'User Interface (Start Here!)'!$B$18:$N$28,AJ$2+1,FALSE)/'User Interface (Start Here!)'!$L$35*$M9*X9,X9-VLOOKUP($A9,'User Interface (Start Here!)'!$B$18:$N$28,AJ$2+1,FALSE)*$M9*X9))</f>
        <v>5.0220363860331053E-4</v>
      </c>
      <c r="AK9" s="83">
        <f>IF($L9&lt;&gt;1,Y9,IF(VLOOKUP($A9,'User Interface (Start Here!)'!$B$18:$N$28,AK$2+1,FALSE)&lt;&gt;100%,Y9-VLOOKUP($A9,'User Interface (Start Here!)'!$B$18:$N$28,AK$2+1,FALSE)/'User Interface (Start Here!)'!$L$35*$M9*Y9,Y9-VLOOKUP($A9,'User Interface (Start Here!)'!$B$18:$N$28,AK$2+1,FALSE)*$M9*Y9))</f>
        <v>7.2565107251932085E-4</v>
      </c>
      <c r="AL9" s="82">
        <f t="shared" ref="AL9:AL29" si="7">SUM(Z9:AK9)</f>
        <v>2.6753958597488251E-2</v>
      </c>
      <c r="AR9" t="s">
        <v>116</v>
      </c>
      <c r="AT9">
        <v>6736</v>
      </c>
      <c r="AU9">
        <v>34160</v>
      </c>
      <c r="AV9">
        <v>46196</v>
      </c>
      <c r="AW9">
        <v>5988</v>
      </c>
      <c r="AX9">
        <v>1125</v>
      </c>
      <c r="AY9">
        <v>94205</v>
      </c>
    </row>
    <row r="10" spans="1:57" ht="15.6">
      <c r="A10" s="69">
        <v>2779</v>
      </c>
      <c r="B10" s="57" t="s">
        <v>99</v>
      </c>
      <c r="C10" s="97">
        <v>290.5</v>
      </c>
      <c r="D10" s="98">
        <v>435.85451235200486</v>
      </c>
      <c r="E10" s="99">
        <f t="shared" si="4"/>
        <v>464.84180494080192</v>
      </c>
      <c r="F10" s="100">
        <v>787.70523370645299</v>
      </c>
      <c r="G10" s="100">
        <v>5724.1812650100483</v>
      </c>
      <c r="H10" s="100">
        <v>698.83683833309385</v>
      </c>
      <c r="I10" s="101">
        <f t="shared" si="5"/>
        <v>726.3545123520048</v>
      </c>
      <c r="J10" s="65">
        <f t="shared" si="6"/>
        <v>0.78770523370645296</v>
      </c>
      <c r="K10" s="84">
        <f>(J10)*'User Interface (Start Here!)'!$L$8</f>
        <v>0.3150820934825812</v>
      </c>
      <c r="L10" s="2">
        <f>IF(VLOOKUP(A10,'User Interface (Start Here!)'!$DO$2:$DP$73,2,FALSE)&lt;&gt;0,1,0)</f>
        <v>0</v>
      </c>
      <c r="M10" s="41">
        <f>IF(AND(L10=1,ISBLANK('User Interface (Start Here!)'!$L$14),ISBLANK('User Interface (Start Here!)'!$M$14),ISBLANK('User Interface (Start Here!)'!$N$14)),100%*'User Interface (Start Here!)'!$L$30,IF(L10=1,VLOOKUP(A10,'Bathymetric Closures'!$A$2:$C$57,3,FALSE)*'User Interface (Start Here!)'!$L$30,0%))</f>
        <v>0</v>
      </c>
      <c r="N10" s="79">
        <f t="shared" si="1"/>
        <v>2.8608297249968922E-2</v>
      </c>
      <c r="O10" s="79">
        <f t="shared" si="2"/>
        <v>0.11716895513033719</v>
      </c>
      <c r="P10" s="79">
        <f t="shared" si="2"/>
        <v>7.3943850269045347E-2</v>
      </c>
      <c r="Q10" s="79">
        <f t="shared" si="2"/>
        <v>1.9932010379076708E-2</v>
      </c>
      <c r="R10" s="79">
        <f t="shared" si="2"/>
        <v>1.8264495785271596E-2</v>
      </c>
      <c r="S10" s="79">
        <f t="shared" si="2"/>
        <v>1.2871128270933193E-2</v>
      </c>
      <c r="T10" s="79">
        <f t="shared" si="2"/>
        <v>1.1073339099487061E-2</v>
      </c>
      <c r="U10" s="79">
        <f t="shared" si="2"/>
        <v>8.9628909417024671E-3</v>
      </c>
      <c r="V10" s="79">
        <f t="shared" si="2"/>
        <v>4.5596102174358475E-3</v>
      </c>
      <c r="W10" s="79">
        <f t="shared" si="2"/>
        <v>5.2370380211691735E-3</v>
      </c>
      <c r="X10" s="79">
        <f t="shared" si="2"/>
        <v>5.9144658249025003E-3</v>
      </c>
      <c r="Y10" s="79">
        <f t="shared" si="2"/>
        <v>8.5460122932511894E-3</v>
      </c>
      <c r="Z10" s="81">
        <f>IF($L10&lt;&gt;1,N10,IF(VLOOKUP($A10,'User Interface (Start Here!)'!$B$18:$N$28,Z$2+1,FALSE)&lt;&gt;100%,N10-VLOOKUP($A10,'User Interface (Start Here!)'!$B$18:$N$28,Z$2+1,FALSE)/'User Interface (Start Here!)'!$L$35*$M10*N10,N10-VLOOKUP($A10,'User Interface (Start Here!)'!$B$18:$N$28,Z$2+1,FALSE)*$M10*N10))</f>
        <v>2.8608297249968922E-2</v>
      </c>
      <c r="AA10" s="81">
        <f>IF($L10&lt;&gt;1,O10,IF(VLOOKUP($A10,'User Interface (Start Here!)'!$B$18:$N$28,AA$2+1,FALSE)&lt;&gt;100%,O10-VLOOKUP($A10,'User Interface (Start Here!)'!$B$18:$N$28,AA$2+1,FALSE)/'User Interface (Start Here!)'!$L$35*$M10*O10,O10-VLOOKUP($A10,'User Interface (Start Here!)'!$B$18:$N$28,AA$2+1,FALSE)*$M10*O10))</f>
        <v>0.11716895513033719</v>
      </c>
      <c r="AB10" s="81">
        <f>IF($L10&lt;&gt;1,P10,IF(VLOOKUP($A10,'User Interface (Start Here!)'!$B$18:$N$28,AB$2+1,FALSE)&lt;&gt;100%,P10-VLOOKUP($A10,'User Interface (Start Here!)'!$B$18:$N$28,AB$2+1,FALSE)/'User Interface (Start Here!)'!$L$35*$M10*P10,P10-VLOOKUP($A10,'User Interface (Start Here!)'!$B$18:$N$28,AB$2+1,FALSE)*$M10*P10))</f>
        <v>7.3943850269045347E-2</v>
      </c>
      <c r="AC10" s="81">
        <f>IF($L10&lt;&gt;1,Q10,IF(VLOOKUP($A10,'User Interface (Start Here!)'!$B$18:$N$28,AC$2+1,FALSE)&lt;&gt;100%,Q10-VLOOKUP($A10,'User Interface (Start Here!)'!$B$18:$N$28,AC$2+1,FALSE)/'User Interface (Start Here!)'!$L$35*$M10*Q10,Q10-VLOOKUP($A10,'User Interface (Start Here!)'!$B$18:$N$28,AC$2+1,FALSE)*$M10*Q10))</f>
        <v>1.9932010379076708E-2</v>
      </c>
      <c r="AD10" s="81">
        <f>IF($L10&lt;&gt;1,R10,IF(VLOOKUP($A10,'User Interface (Start Here!)'!$B$18:$N$28,AD$2+1,FALSE)&lt;&gt;100%,R10-VLOOKUP($A10,'User Interface (Start Here!)'!$B$18:$N$28,AD$2+1,FALSE)/'User Interface (Start Here!)'!$L$35*$M10*R10,R10-VLOOKUP($A10,'User Interface (Start Here!)'!$B$18:$N$28,AD$2+1,FALSE)*$M10*R10))</f>
        <v>1.8264495785271596E-2</v>
      </c>
      <c r="AE10" s="81">
        <f>IF($L10&lt;&gt;1,S10,IF(VLOOKUP($A10,'User Interface (Start Here!)'!$B$18:$N$28,AE$2+1,FALSE)&lt;&gt;100%,S10-VLOOKUP($A10,'User Interface (Start Here!)'!$B$18:$N$28,AE$2+1,FALSE)/'User Interface (Start Here!)'!$L$35*$M10*S10,S10-VLOOKUP($A10,'User Interface (Start Here!)'!$B$18:$N$28,AE$2+1,FALSE)*$M10*S10))</f>
        <v>1.2871128270933193E-2</v>
      </c>
      <c r="AF10" s="81">
        <f>IF($L10&lt;&gt;1,T10,IF(VLOOKUP($A10,'User Interface (Start Here!)'!$B$18:$N$28,AF$2+1,FALSE)&lt;&gt;100%,T10-VLOOKUP($A10,'User Interface (Start Here!)'!$B$18:$N$28,AF$2+1,FALSE)/'User Interface (Start Here!)'!$L$35*$M10*T10,T10-VLOOKUP($A10,'User Interface (Start Here!)'!$B$18:$N$28,AF$2+1,FALSE)*$M10*T10))</f>
        <v>1.1073339099487061E-2</v>
      </c>
      <c r="AG10" s="81">
        <f>IF($L10&lt;&gt;1,U10,IF(VLOOKUP($A10,'User Interface (Start Here!)'!$B$18:$N$28,AG$2+1,FALSE)&lt;&gt;100%,U10-VLOOKUP($A10,'User Interface (Start Here!)'!$B$18:$N$28,AG$2+1,FALSE)/'User Interface (Start Here!)'!$L$35*$M10*U10,U10-VLOOKUP($A10,'User Interface (Start Here!)'!$B$18:$N$28,AG$2+1,FALSE)*$M10*U10))</f>
        <v>8.9628909417024671E-3</v>
      </c>
      <c r="AH10" s="81">
        <f>IF($L10&lt;&gt;1,V10,IF(VLOOKUP($A10,'User Interface (Start Here!)'!$B$18:$N$28,AH$2+1,FALSE)&lt;&gt;100%,V10-VLOOKUP($A10,'User Interface (Start Here!)'!$B$18:$N$28,AH$2+1,FALSE)/'User Interface (Start Here!)'!$L$35*$M10*V10,V10-VLOOKUP($A10,'User Interface (Start Here!)'!$B$18:$N$28,AH$2+1,FALSE)*$M10*V10))</f>
        <v>4.5596102174358475E-3</v>
      </c>
      <c r="AI10" s="83">
        <f>IF($L10&lt;&gt;1,W10,IF(VLOOKUP($A10,'User Interface (Start Here!)'!$B$18:$N$28,AI$2+1,FALSE)&lt;&gt;100%,W10-VLOOKUP($A10,'User Interface (Start Here!)'!$B$18:$N$28,AI$2+1,FALSE)/'User Interface (Start Here!)'!$L$35*$M10*W10,W10-VLOOKUP($A10,'User Interface (Start Here!)'!$B$18:$N$28,AI$2+1,FALSE)*$M10*W10))</f>
        <v>5.2370380211691735E-3</v>
      </c>
      <c r="AJ10" s="83">
        <f>IF($L10&lt;&gt;1,X10,IF(VLOOKUP($A10,'User Interface (Start Here!)'!$B$18:$N$28,AJ$2+1,FALSE)&lt;&gt;100%,X10-VLOOKUP($A10,'User Interface (Start Here!)'!$B$18:$N$28,AJ$2+1,FALSE)/'User Interface (Start Here!)'!$L$35*$M10*X10,X10-VLOOKUP($A10,'User Interface (Start Here!)'!$B$18:$N$28,AJ$2+1,FALSE)*$M10*X10))</f>
        <v>5.9144658249025003E-3</v>
      </c>
      <c r="AK10" s="83">
        <f>IF($L10&lt;&gt;1,Y10,IF(VLOOKUP($A10,'User Interface (Start Here!)'!$B$18:$N$28,AK$2+1,FALSE)&lt;&gt;100%,Y10-VLOOKUP($A10,'User Interface (Start Here!)'!$B$18:$N$28,AK$2+1,FALSE)/'User Interface (Start Here!)'!$L$35*$M10*Y10,Y10-VLOOKUP($A10,'User Interface (Start Here!)'!$B$18:$N$28,AK$2+1,FALSE)*$M10*Y10))</f>
        <v>8.5460122932511894E-3</v>
      </c>
      <c r="AL10" s="82">
        <f t="shared" si="7"/>
        <v>0.3150820934825812</v>
      </c>
      <c r="AR10" t="s">
        <v>117</v>
      </c>
      <c r="AT10">
        <v>957</v>
      </c>
      <c r="AU10">
        <v>6281</v>
      </c>
      <c r="AV10">
        <v>1474</v>
      </c>
      <c r="AW10">
        <v>877</v>
      </c>
      <c r="AX10">
        <v>166</v>
      </c>
      <c r="AY10">
        <v>9755</v>
      </c>
    </row>
    <row r="11" spans="1:57" ht="15.6">
      <c r="A11" s="69">
        <v>2780</v>
      </c>
      <c r="B11" s="57" t="s">
        <v>99</v>
      </c>
      <c r="C11" s="97">
        <v>2313.6666666666665</v>
      </c>
      <c r="D11" s="98">
        <v>3471.3323812223357</v>
      </c>
      <c r="E11" s="99">
        <f t="shared" si="4"/>
        <v>3702.1996191556009</v>
      </c>
      <c r="F11" s="100">
        <v>4635.8464069769334</v>
      </c>
      <c r="G11" s="100">
        <v>2596.0912006399462</v>
      </c>
      <c r="H11" s="100">
        <v>5565.8364829259945</v>
      </c>
      <c r="I11" s="101">
        <f t="shared" si="5"/>
        <v>5784.9990478890022</v>
      </c>
      <c r="J11" s="65">
        <f t="shared" si="6"/>
        <v>4.635846406976933</v>
      </c>
      <c r="K11" s="84">
        <f>(J11)*'User Interface (Start Here!)'!$L$8</f>
        <v>1.8543385627907734</v>
      </c>
      <c r="L11" s="2">
        <f>IF(VLOOKUP(A11,'User Interface (Start Here!)'!$DO$2:$DP$73,2,FALSE)&lt;&gt;0,1,0)</f>
        <v>0</v>
      </c>
      <c r="M11" s="41">
        <f>IF(AND(L11=1,ISBLANK('User Interface (Start Here!)'!$L$14),ISBLANK('User Interface (Start Here!)'!$M$14),ISBLANK('User Interface (Start Here!)'!$N$14)),100%*'User Interface (Start Here!)'!$L$30,IF(L11=1,VLOOKUP(A11,'Bathymetric Closures'!$A$2:$C$57,3,FALSE)*'User Interface (Start Here!)'!$L$30,0%))</f>
        <v>0</v>
      </c>
      <c r="N11" s="79">
        <f t="shared" si="1"/>
        <v>0.16836713321295535</v>
      </c>
      <c r="O11" s="79">
        <f t="shared" si="2"/>
        <v>0.68956921498967239</v>
      </c>
      <c r="P11" s="79">
        <f t="shared" si="2"/>
        <v>0.4351784372116278</v>
      </c>
      <c r="Q11" s="79">
        <f t="shared" si="2"/>
        <v>0.11730496986148529</v>
      </c>
      <c r="R11" s="79">
        <f t="shared" si="2"/>
        <v>0.10749122074889045</v>
      </c>
      <c r="S11" s="79">
        <f t="shared" si="2"/>
        <v>7.5749875962841481E-2</v>
      </c>
      <c r="T11" s="79">
        <f t="shared" si="2"/>
        <v>6.5169427700825164E-2</v>
      </c>
      <c r="U11" s="79">
        <f t="shared" si="2"/>
        <v>5.2748901480197306E-2</v>
      </c>
      <c r="V11" s="79">
        <f t="shared" si="2"/>
        <v>2.6834470229751536E-2</v>
      </c>
      <c r="W11" s="79">
        <f t="shared" si="2"/>
        <v>3.0821305806743193E-2</v>
      </c>
      <c r="X11" s="79">
        <f t="shared" si="2"/>
        <v>3.480814138373485E-2</v>
      </c>
      <c r="Y11" s="79">
        <f t="shared" si="2"/>
        <v>5.0295464202048591E-2</v>
      </c>
      <c r="Z11" s="81">
        <f>IF($L11&lt;&gt;1,N11,IF(VLOOKUP($A11,'User Interface (Start Here!)'!$B$18:$N$28,Z$2+1,FALSE)&lt;&gt;100%,N11-VLOOKUP($A11,'User Interface (Start Here!)'!$B$18:$N$28,Z$2+1,FALSE)/'User Interface (Start Here!)'!$L$35*$M11*N11,N11-VLOOKUP($A11,'User Interface (Start Here!)'!$B$18:$N$28,Z$2+1,FALSE)*$M11*N11))</f>
        <v>0.16836713321295535</v>
      </c>
      <c r="AA11" s="81">
        <f>IF($L11&lt;&gt;1,O11,IF(VLOOKUP($A11,'User Interface (Start Here!)'!$B$18:$N$28,AA$2+1,FALSE)&lt;&gt;100%,O11-VLOOKUP($A11,'User Interface (Start Here!)'!$B$18:$N$28,AA$2+1,FALSE)/'User Interface (Start Here!)'!$L$35*$M11*O11,O11-VLOOKUP($A11,'User Interface (Start Here!)'!$B$18:$N$28,AA$2+1,FALSE)*$M11*O11))</f>
        <v>0.68956921498967239</v>
      </c>
      <c r="AB11" s="81">
        <f>IF($L11&lt;&gt;1,P11,IF(VLOOKUP($A11,'User Interface (Start Here!)'!$B$18:$N$28,AB$2+1,FALSE)&lt;&gt;100%,P11-VLOOKUP($A11,'User Interface (Start Here!)'!$B$18:$N$28,AB$2+1,FALSE)/'User Interface (Start Here!)'!$L$35*$M11*P11,P11-VLOOKUP($A11,'User Interface (Start Here!)'!$B$18:$N$28,AB$2+1,FALSE)*$M11*P11))</f>
        <v>0.4351784372116278</v>
      </c>
      <c r="AC11" s="81">
        <f>IF($L11&lt;&gt;1,Q11,IF(VLOOKUP($A11,'User Interface (Start Here!)'!$B$18:$N$28,AC$2+1,FALSE)&lt;&gt;100%,Q11-VLOOKUP($A11,'User Interface (Start Here!)'!$B$18:$N$28,AC$2+1,FALSE)/'User Interface (Start Here!)'!$L$35*$M11*Q11,Q11-VLOOKUP($A11,'User Interface (Start Here!)'!$B$18:$N$28,AC$2+1,FALSE)*$M11*Q11))</f>
        <v>0.11730496986148529</v>
      </c>
      <c r="AD11" s="81">
        <f>IF($L11&lt;&gt;1,R11,IF(VLOOKUP($A11,'User Interface (Start Here!)'!$B$18:$N$28,AD$2+1,FALSE)&lt;&gt;100%,R11-VLOOKUP($A11,'User Interface (Start Here!)'!$B$18:$N$28,AD$2+1,FALSE)/'User Interface (Start Here!)'!$L$35*$M11*R11,R11-VLOOKUP($A11,'User Interface (Start Here!)'!$B$18:$N$28,AD$2+1,FALSE)*$M11*R11))</f>
        <v>0.10749122074889045</v>
      </c>
      <c r="AE11" s="81">
        <f>IF($L11&lt;&gt;1,S11,IF(VLOOKUP($A11,'User Interface (Start Here!)'!$B$18:$N$28,AE$2+1,FALSE)&lt;&gt;100%,S11-VLOOKUP($A11,'User Interface (Start Here!)'!$B$18:$N$28,AE$2+1,FALSE)/'User Interface (Start Here!)'!$L$35*$M11*S11,S11-VLOOKUP($A11,'User Interface (Start Here!)'!$B$18:$N$28,AE$2+1,FALSE)*$M11*S11))</f>
        <v>7.5749875962841481E-2</v>
      </c>
      <c r="AF11" s="81">
        <f>IF($L11&lt;&gt;1,T11,IF(VLOOKUP($A11,'User Interface (Start Here!)'!$B$18:$N$28,AF$2+1,FALSE)&lt;&gt;100%,T11-VLOOKUP($A11,'User Interface (Start Here!)'!$B$18:$N$28,AF$2+1,FALSE)/'User Interface (Start Here!)'!$L$35*$M11*T11,T11-VLOOKUP($A11,'User Interface (Start Here!)'!$B$18:$N$28,AF$2+1,FALSE)*$M11*T11))</f>
        <v>6.5169427700825164E-2</v>
      </c>
      <c r="AG11" s="81">
        <f>IF($L11&lt;&gt;1,U11,IF(VLOOKUP($A11,'User Interface (Start Here!)'!$B$18:$N$28,AG$2+1,FALSE)&lt;&gt;100%,U11-VLOOKUP($A11,'User Interface (Start Here!)'!$B$18:$N$28,AG$2+1,FALSE)/'User Interface (Start Here!)'!$L$35*$M11*U11,U11-VLOOKUP($A11,'User Interface (Start Here!)'!$B$18:$N$28,AG$2+1,FALSE)*$M11*U11))</f>
        <v>5.2748901480197306E-2</v>
      </c>
      <c r="AH11" s="81">
        <f>IF($L11&lt;&gt;1,V11,IF(VLOOKUP($A11,'User Interface (Start Here!)'!$B$18:$N$28,AH$2+1,FALSE)&lt;&gt;100%,V11-VLOOKUP($A11,'User Interface (Start Here!)'!$B$18:$N$28,AH$2+1,FALSE)/'User Interface (Start Here!)'!$L$35*$M11*V11,V11-VLOOKUP($A11,'User Interface (Start Here!)'!$B$18:$N$28,AH$2+1,FALSE)*$M11*V11))</f>
        <v>2.6834470229751536E-2</v>
      </c>
      <c r="AI11" s="83">
        <f>IF($L11&lt;&gt;1,W11,IF(VLOOKUP($A11,'User Interface (Start Here!)'!$B$18:$N$28,AI$2+1,FALSE)&lt;&gt;100%,W11-VLOOKUP($A11,'User Interface (Start Here!)'!$B$18:$N$28,AI$2+1,FALSE)/'User Interface (Start Here!)'!$L$35*$M11*W11,W11-VLOOKUP($A11,'User Interface (Start Here!)'!$B$18:$N$28,AI$2+1,FALSE)*$M11*W11))</f>
        <v>3.0821305806743193E-2</v>
      </c>
      <c r="AJ11" s="83">
        <f>IF($L11&lt;&gt;1,X11,IF(VLOOKUP($A11,'User Interface (Start Here!)'!$B$18:$N$28,AJ$2+1,FALSE)&lt;&gt;100%,X11-VLOOKUP($A11,'User Interface (Start Here!)'!$B$18:$N$28,AJ$2+1,FALSE)/'User Interface (Start Here!)'!$L$35*$M11*X11,X11-VLOOKUP($A11,'User Interface (Start Here!)'!$B$18:$N$28,AJ$2+1,FALSE)*$M11*X11))</f>
        <v>3.480814138373485E-2</v>
      </c>
      <c r="AK11" s="83">
        <f>IF($L11&lt;&gt;1,Y11,IF(VLOOKUP($A11,'User Interface (Start Here!)'!$B$18:$N$28,AK$2+1,FALSE)&lt;&gt;100%,Y11-VLOOKUP($A11,'User Interface (Start Here!)'!$B$18:$N$28,AK$2+1,FALSE)/'User Interface (Start Here!)'!$L$35*$M11*Y11,Y11-VLOOKUP($A11,'User Interface (Start Here!)'!$B$18:$N$28,AK$2+1,FALSE)*$M11*Y11))</f>
        <v>5.0295464202048591E-2</v>
      </c>
      <c r="AL11" s="82">
        <f t="shared" si="7"/>
        <v>1.8543385627907736</v>
      </c>
      <c r="AR11" t="s">
        <v>118</v>
      </c>
      <c r="AT11">
        <v>1666</v>
      </c>
      <c r="AU11">
        <v>4562</v>
      </c>
      <c r="AV11">
        <v>9698</v>
      </c>
      <c r="AW11">
        <v>1091</v>
      </c>
      <c r="AX11">
        <v>3034</v>
      </c>
      <c r="AY11">
        <v>20051</v>
      </c>
    </row>
    <row r="12" spans="1:57" ht="15.6">
      <c r="A12" s="70">
        <v>2879</v>
      </c>
      <c r="B12" s="58" t="s">
        <v>100</v>
      </c>
      <c r="C12" s="102">
        <v>124.5</v>
      </c>
      <c r="D12" s="103">
        <v>186.79479100800211</v>
      </c>
      <c r="E12" s="104">
        <f t="shared" si="4"/>
        <v>199.21791640320083</v>
      </c>
      <c r="F12" s="100">
        <v>337.58795730276557</v>
      </c>
      <c r="G12" s="100">
        <v>2012.5056377814519</v>
      </c>
      <c r="H12" s="100">
        <v>299.50150214275453</v>
      </c>
      <c r="I12" s="101">
        <f t="shared" si="5"/>
        <v>311.29479100800211</v>
      </c>
      <c r="J12" s="65">
        <f t="shared" si="6"/>
        <v>0.33758795730276558</v>
      </c>
      <c r="K12" s="84">
        <f>(J12)*'User Interface (Start Here!)'!$L$8</f>
        <v>0.13503518292110625</v>
      </c>
      <c r="L12" s="2">
        <f>IF(VLOOKUP(A12,'User Interface (Start Here!)'!$DO$2:$DP$73,2,FALSE)&lt;&gt;0,1,0)</f>
        <v>0</v>
      </c>
      <c r="M12" s="41">
        <f>IF(AND(L12=1,ISBLANK('User Interface (Start Here!)'!$L$14),ISBLANK('User Interface (Start Here!)'!$M$14),ISBLANK('User Interface (Start Here!)'!$N$14)),100%*'User Interface (Start Here!)'!$L$30,IF(L12=1,VLOOKUP(A12,'Bathymetric Closures'!$A$2:$C$57,3,FALSE)*'User Interface (Start Here!)'!$L$30,0%))</f>
        <v>0</v>
      </c>
      <c r="N12" s="79">
        <f t="shared" si="1"/>
        <v>1.2260698821415254E-2</v>
      </c>
      <c r="O12" s="79">
        <f t="shared" si="2"/>
        <v>5.0215266484430233E-2</v>
      </c>
      <c r="P12" s="79">
        <f t="shared" si="2"/>
        <v>3.1690221543876587E-2</v>
      </c>
      <c r="Q12" s="79">
        <f t="shared" si="2"/>
        <v>8.5422901624614481E-3</v>
      </c>
      <c r="R12" s="79">
        <f t="shared" si="2"/>
        <v>7.8276410508306866E-3</v>
      </c>
      <c r="S12" s="79">
        <f t="shared" si="2"/>
        <v>5.5161978303999411E-3</v>
      </c>
      <c r="T12" s="79">
        <f t="shared" si="2"/>
        <v>4.7457167569230265E-3</v>
      </c>
      <c r="U12" s="79">
        <f t="shared" si="2"/>
        <v>3.8412389750153435E-3</v>
      </c>
      <c r="V12" s="79">
        <f t="shared" si="2"/>
        <v>1.9541186646153635E-3</v>
      </c>
      <c r="W12" s="79">
        <f t="shared" si="2"/>
        <v>2.2444448662153607E-3</v>
      </c>
      <c r="X12" s="79">
        <f t="shared" si="2"/>
        <v>2.5347710678153578E-3</v>
      </c>
      <c r="Y12" s="79">
        <f t="shared" si="2"/>
        <v>3.6625766971076531E-3</v>
      </c>
      <c r="Z12" s="81">
        <f>IF($L12&lt;&gt;1,N12,IF(VLOOKUP($A12,'User Interface (Start Here!)'!$B$18:$N$28,Z$2+1,FALSE)&lt;&gt;100%,N12-VLOOKUP($A12,'User Interface (Start Here!)'!$B$18:$N$28,Z$2+1,FALSE)/'User Interface (Start Here!)'!$L$35*$M12*N12,N12-VLOOKUP($A12,'User Interface (Start Here!)'!$B$18:$N$28,Z$2+1,FALSE)*$M12*N12))</f>
        <v>1.2260698821415254E-2</v>
      </c>
      <c r="AA12" s="81">
        <f>IF($L12&lt;&gt;1,O12,IF(VLOOKUP($A12,'User Interface (Start Here!)'!$B$18:$N$28,AA$2+1,FALSE)&lt;&gt;100%,O12-VLOOKUP($A12,'User Interface (Start Here!)'!$B$18:$N$28,AA$2+1,FALSE)/'User Interface (Start Here!)'!$L$35*$M12*O12,O12-VLOOKUP($A12,'User Interface (Start Here!)'!$B$18:$N$28,AA$2+1,FALSE)*$M12*O12))</f>
        <v>5.0215266484430233E-2</v>
      </c>
      <c r="AB12" s="81">
        <f>IF($L12&lt;&gt;1,P12,IF(VLOOKUP($A12,'User Interface (Start Here!)'!$B$18:$N$28,AB$2+1,FALSE)&lt;&gt;100%,P12-VLOOKUP($A12,'User Interface (Start Here!)'!$B$18:$N$28,AB$2+1,FALSE)/'User Interface (Start Here!)'!$L$35*$M12*P12,P12-VLOOKUP($A12,'User Interface (Start Here!)'!$B$18:$N$28,AB$2+1,FALSE)*$M12*P12))</f>
        <v>3.1690221543876587E-2</v>
      </c>
      <c r="AC12" s="81">
        <f>IF($L12&lt;&gt;1,Q12,IF(VLOOKUP($A12,'User Interface (Start Here!)'!$B$18:$N$28,AC$2+1,FALSE)&lt;&gt;100%,Q12-VLOOKUP($A12,'User Interface (Start Here!)'!$B$18:$N$28,AC$2+1,FALSE)/'User Interface (Start Here!)'!$L$35*$M12*Q12,Q12-VLOOKUP($A12,'User Interface (Start Here!)'!$B$18:$N$28,AC$2+1,FALSE)*$M12*Q12))</f>
        <v>8.5422901624614481E-3</v>
      </c>
      <c r="AD12" s="81">
        <f>IF($L12&lt;&gt;1,R12,IF(VLOOKUP($A12,'User Interface (Start Here!)'!$B$18:$N$28,AD$2+1,FALSE)&lt;&gt;100%,R12-VLOOKUP($A12,'User Interface (Start Here!)'!$B$18:$N$28,AD$2+1,FALSE)/'User Interface (Start Here!)'!$L$35*$M12*R12,R12-VLOOKUP($A12,'User Interface (Start Here!)'!$B$18:$N$28,AD$2+1,FALSE)*$M12*R12))</f>
        <v>7.8276410508306866E-3</v>
      </c>
      <c r="AE12" s="81">
        <f>IF($L12&lt;&gt;1,S12,IF(VLOOKUP($A12,'User Interface (Start Here!)'!$B$18:$N$28,AE$2+1,FALSE)&lt;&gt;100%,S12-VLOOKUP($A12,'User Interface (Start Here!)'!$B$18:$N$28,AE$2+1,FALSE)/'User Interface (Start Here!)'!$L$35*$M12*S12,S12-VLOOKUP($A12,'User Interface (Start Here!)'!$B$18:$N$28,AE$2+1,FALSE)*$M12*S12))</f>
        <v>5.5161978303999411E-3</v>
      </c>
      <c r="AF12" s="81">
        <f>IF($L12&lt;&gt;1,T12,IF(VLOOKUP($A12,'User Interface (Start Here!)'!$B$18:$N$28,AF$2+1,FALSE)&lt;&gt;100%,T12-VLOOKUP($A12,'User Interface (Start Here!)'!$B$18:$N$28,AF$2+1,FALSE)/'User Interface (Start Here!)'!$L$35*$M12*T12,T12-VLOOKUP($A12,'User Interface (Start Here!)'!$B$18:$N$28,AF$2+1,FALSE)*$M12*T12))</f>
        <v>4.7457167569230265E-3</v>
      </c>
      <c r="AG12" s="81">
        <f>IF($L12&lt;&gt;1,U12,IF(VLOOKUP($A12,'User Interface (Start Here!)'!$B$18:$N$28,AG$2+1,FALSE)&lt;&gt;100%,U12-VLOOKUP($A12,'User Interface (Start Here!)'!$B$18:$N$28,AG$2+1,FALSE)/'User Interface (Start Here!)'!$L$35*$M12*U12,U12-VLOOKUP($A12,'User Interface (Start Here!)'!$B$18:$N$28,AG$2+1,FALSE)*$M12*U12))</f>
        <v>3.8412389750153435E-3</v>
      </c>
      <c r="AH12" s="81">
        <f>IF($L12&lt;&gt;1,V12,IF(VLOOKUP($A12,'User Interface (Start Here!)'!$B$18:$N$28,AH$2+1,FALSE)&lt;&gt;100%,V12-VLOOKUP($A12,'User Interface (Start Here!)'!$B$18:$N$28,AH$2+1,FALSE)/'User Interface (Start Here!)'!$L$35*$M12*V12,V12-VLOOKUP($A12,'User Interface (Start Here!)'!$B$18:$N$28,AH$2+1,FALSE)*$M12*V12))</f>
        <v>1.9541186646153635E-3</v>
      </c>
      <c r="AI12" s="83">
        <f>IF($L12&lt;&gt;1,W12,IF(VLOOKUP($A12,'User Interface (Start Here!)'!$B$18:$N$28,AI$2+1,FALSE)&lt;&gt;100%,W12-VLOOKUP($A12,'User Interface (Start Here!)'!$B$18:$N$28,AI$2+1,FALSE)/'User Interface (Start Here!)'!$L$35*$M12*W12,W12-VLOOKUP($A12,'User Interface (Start Here!)'!$B$18:$N$28,AI$2+1,FALSE)*$M12*W12))</f>
        <v>2.2444448662153607E-3</v>
      </c>
      <c r="AJ12" s="83">
        <f>IF($L12&lt;&gt;1,X12,IF(VLOOKUP($A12,'User Interface (Start Here!)'!$B$18:$N$28,AJ$2+1,FALSE)&lt;&gt;100%,X12-VLOOKUP($A12,'User Interface (Start Here!)'!$B$18:$N$28,AJ$2+1,FALSE)/'User Interface (Start Here!)'!$L$35*$M12*X12,X12-VLOOKUP($A12,'User Interface (Start Here!)'!$B$18:$N$28,AJ$2+1,FALSE)*$M12*X12))</f>
        <v>2.5347710678153578E-3</v>
      </c>
      <c r="AK12" s="83">
        <f>IF($L12&lt;&gt;1,Y12,IF(VLOOKUP($A12,'User Interface (Start Here!)'!$B$18:$N$28,AK$2+1,FALSE)&lt;&gt;100%,Y12-VLOOKUP($A12,'User Interface (Start Here!)'!$B$18:$N$28,AK$2+1,FALSE)/'User Interface (Start Here!)'!$L$35*$M12*Y12,Y12-VLOOKUP($A12,'User Interface (Start Here!)'!$B$18:$N$28,AK$2+1,FALSE)*$M12*Y12))</f>
        <v>3.6625766971076531E-3</v>
      </c>
      <c r="AL12" s="82">
        <f t="shared" si="7"/>
        <v>0.13503518292110625</v>
      </c>
      <c r="AR12" t="s">
        <v>24</v>
      </c>
      <c r="AS12">
        <v>184045</v>
      </c>
      <c r="AT12">
        <v>203910</v>
      </c>
      <c r="AU12">
        <v>270841</v>
      </c>
      <c r="AV12">
        <v>328570</v>
      </c>
      <c r="AW12">
        <v>153901</v>
      </c>
      <c r="AX12">
        <v>192538</v>
      </c>
      <c r="AY12">
        <v>1333805</v>
      </c>
    </row>
    <row r="13" spans="1:57" ht="15.6">
      <c r="A13" s="70">
        <v>2880</v>
      </c>
      <c r="B13" s="58" t="s">
        <v>100</v>
      </c>
      <c r="C13" s="102">
        <v>9062.1501225319716</v>
      </c>
      <c r="D13" s="103">
        <v>13596.485447562249</v>
      </c>
      <c r="E13" s="104">
        <f t="shared" si="4"/>
        <v>14500.744301556872</v>
      </c>
      <c r="F13" s="100">
        <v>20444.789724133192</v>
      </c>
      <c r="G13" s="100">
        <v>1584.5979732540661</v>
      </c>
      <c r="H13" s="100">
        <v>21800.221480654396</v>
      </c>
      <c r="I13" s="101">
        <f t="shared" si="5"/>
        <v>22658.635570094222</v>
      </c>
      <c r="J13" s="65">
        <f t="shared" si="6"/>
        <v>20.444789724133191</v>
      </c>
      <c r="K13" s="84">
        <f>(J13)*'User Interface (Start Here!)'!$L$8</f>
        <v>8.177915889653276</v>
      </c>
      <c r="L13" s="2">
        <f>IF(VLOOKUP(A13,'User Interface (Start Here!)'!$DO$2:$DP$73,2,FALSE)&lt;&gt;0,1,0)</f>
        <v>1</v>
      </c>
      <c r="M13" s="41">
        <f>IF(AND(L13=1,ISBLANK('User Interface (Start Here!)'!$L$14),ISBLANK('User Interface (Start Here!)'!$M$14),ISBLANK('User Interface (Start Here!)'!$N$14)),100%*'User Interface (Start Here!)'!$L$30,IF(L13=1,VLOOKUP(A13,'Bathymetric Closures'!$A$2:$C$57,3,FALSE)*'User Interface (Start Here!)'!$L$30,0%))</f>
        <v>0.89521925486317178</v>
      </c>
      <c r="N13" s="79">
        <f t="shared" si="1"/>
        <v>0.87435369253861805</v>
      </c>
      <c r="O13" s="79">
        <f t="shared" si="2"/>
        <v>1.380982682533727</v>
      </c>
      <c r="P13" s="79">
        <f t="shared" si="2"/>
        <v>1.5539118386050332</v>
      </c>
      <c r="Q13" s="79">
        <f t="shared" si="2"/>
        <v>1.0208000847565994</v>
      </c>
      <c r="R13" s="79">
        <f t="shared" si="2"/>
        <v>0.77826570568099762</v>
      </c>
      <c r="S13" s="79">
        <f t="shared" si="2"/>
        <v>0.46570383281813399</v>
      </c>
      <c r="T13" s="79">
        <f t="shared" si="2"/>
        <v>0.28085577158992692</v>
      </c>
      <c r="U13" s="79">
        <f t="shared" si="2"/>
        <v>0.23511923089310435</v>
      </c>
      <c r="V13" s="79">
        <f t="shared" si="2"/>
        <v>0.32245272056517632</v>
      </c>
      <c r="W13" s="79">
        <f t="shared" si="2"/>
        <v>0.41391119239052299</v>
      </c>
      <c r="X13" s="79">
        <f t="shared" si="2"/>
        <v>0.46174750139140103</v>
      </c>
      <c r="Y13" s="79">
        <f t="shared" si="2"/>
        <v>0.38981163589003537</v>
      </c>
      <c r="Z13" s="81">
        <f>IF($L13&lt;&gt;1,N13,IF(VLOOKUP($A13,'User Interface (Start Here!)'!$B$18:$N$28,Z$2+1,FALSE)&lt;&gt;100%,N13-VLOOKUP($A13,'User Interface (Start Here!)'!$B$18:$N$28,Z$2+1,FALSE)/'User Interface (Start Here!)'!$L$35*$M13*N13,N13-VLOOKUP($A13,'User Interface (Start Here!)'!$B$18:$N$28,Z$2+1,FALSE)*$M13*N13))</f>
        <v>9.1615431417333637E-2</v>
      </c>
      <c r="AA13" s="81">
        <f>IF($L13&lt;&gt;1,O13,IF(VLOOKUP($A13,'User Interface (Start Here!)'!$B$18:$N$28,AA$2+1,FALSE)&lt;&gt;100%,O13-VLOOKUP($A13,'User Interface (Start Here!)'!$B$18:$N$28,AA$2+1,FALSE)/'User Interface (Start Here!)'!$L$35*$M13*O13,O13-VLOOKUP($A13,'User Interface (Start Here!)'!$B$18:$N$28,AA$2+1,FALSE)*$M13*O13))</f>
        <v>0.14470039449693983</v>
      </c>
      <c r="AB13" s="81">
        <f>IF($L13&lt;&gt;1,P13,IF(VLOOKUP($A13,'User Interface (Start Here!)'!$B$18:$N$28,AB$2+1,FALSE)&lt;&gt;100%,P13-VLOOKUP($A13,'User Interface (Start Here!)'!$B$18:$N$28,AB$2+1,FALSE)/'User Interface (Start Here!)'!$L$35*$M13*P13,P13-VLOOKUP($A13,'User Interface (Start Here!)'!$B$18:$N$28,AB$2+1,FALSE)*$M13*P13))</f>
        <v>0.16282004032597408</v>
      </c>
      <c r="AC13" s="81">
        <f>IF($L13&lt;&gt;1,Q13,IF(VLOOKUP($A13,'User Interface (Start Here!)'!$B$18:$N$28,AC$2+1,FALSE)&lt;&gt;100%,Q13-VLOOKUP($A13,'User Interface (Start Here!)'!$B$18:$N$28,AC$2+1,FALSE)/'User Interface (Start Here!)'!$L$35*$M13*Q13,Q13-VLOOKUP($A13,'User Interface (Start Here!)'!$B$18:$N$28,AC$2+1,FALSE)*$M13*Q13))</f>
        <v>0.10696019351653385</v>
      </c>
      <c r="AD13" s="81">
        <f>IF($L13&lt;&gt;1,R13,IF(VLOOKUP($A13,'User Interface (Start Here!)'!$B$18:$N$28,AD$2+1,FALSE)&lt;&gt;100%,R13-VLOOKUP($A13,'User Interface (Start Here!)'!$B$18:$N$28,AD$2+1,FALSE)/'User Interface (Start Here!)'!$L$35*$M13*R13,R13-VLOOKUP($A13,'User Interface (Start Here!)'!$B$18:$N$28,AD$2+1,FALSE)*$M13*R13))</f>
        <v>8.154726055569439E-2</v>
      </c>
      <c r="AE13" s="81">
        <f>IF($L13&lt;&gt;1,S13,IF(VLOOKUP($A13,'User Interface (Start Here!)'!$B$18:$N$28,AE$2+1,FALSE)&lt;&gt;100%,S13-VLOOKUP($A13,'User Interface (Start Here!)'!$B$18:$N$28,AE$2+1,FALSE)/'User Interface (Start Here!)'!$L$35*$M13*S13,S13-VLOOKUP($A13,'User Interface (Start Here!)'!$B$18:$N$28,AE$2+1,FALSE)*$M13*S13))</f>
        <v>4.8796794615760974E-2</v>
      </c>
      <c r="AF13" s="81">
        <f>IF($L13&lt;&gt;1,T13,IF(VLOOKUP($A13,'User Interface (Start Here!)'!$B$18:$N$28,AF$2+1,FALSE)&lt;&gt;100%,T13-VLOOKUP($A13,'User Interface (Start Here!)'!$B$18:$N$28,AF$2+1,FALSE)/'User Interface (Start Here!)'!$L$35*$M13*T13,T13-VLOOKUP($A13,'User Interface (Start Here!)'!$B$18:$N$28,AF$2+1,FALSE)*$M13*T13))</f>
        <v>2.9428277023171356E-2</v>
      </c>
      <c r="AG13" s="81">
        <f>IF($L13&lt;&gt;1,U13,IF(VLOOKUP($A13,'User Interface (Start Here!)'!$B$18:$N$28,AG$2+1,FALSE)&lt;&gt;100%,U13-VLOOKUP($A13,'User Interface (Start Here!)'!$B$18:$N$28,AG$2+1,FALSE)/'User Interface (Start Here!)'!$L$35*$M13*U13,U13-VLOOKUP($A13,'User Interface (Start Here!)'!$B$18:$N$28,AG$2+1,FALSE)*$M13*U13))</f>
        <v>2.4635968208977427E-2</v>
      </c>
      <c r="AH13" s="81">
        <f>IF($L13&lt;&gt;1,V13,IF(VLOOKUP($A13,'User Interface (Start Here!)'!$B$18:$N$28,AH$2+1,FALSE)&lt;&gt;100%,V13-VLOOKUP($A13,'User Interface (Start Here!)'!$B$18:$N$28,AH$2+1,FALSE)/'User Interface (Start Here!)'!$L$35*$M13*V13,V13-VLOOKUP($A13,'User Interface (Start Here!)'!$B$18:$N$28,AH$2+1,FALSE)*$M13*V13))</f>
        <v>3.378683633221663E-2</v>
      </c>
      <c r="AI13" s="83">
        <f>IF($L13&lt;&gt;1,W13,IF(VLOOKUP($A13,'User Interface (Start Here!)'!$B$18:$N$28,AI$2+1,FALSE)&lt;&gt;100%,W13-VLOOKUP($A13,'User Interface (Start Here!)'!$B$18:$N$28,AI$2+1,FALSE)/'User Interface (Start Here!)'!$L$35*$M13*W13,W13-VLOOKUP($A13,'User Interface (Start Here!)'!$B$18:$N$28,AI$2+1,FALSE)*$M13*W13))</f>
        <v>4.3369923159152057E-2</v>
      </c>
      <c r="AJ13" s="83">
        <f>IF($L13&lt;&gt;1,X13,IF(VLOOKUP($A13,'User Interface (Start Here!)'!$B$18:$N$28,AJ$2+1,FALSE)&lt;&gt;100%,X13-VLOOKUP($A13,'User Interface (Start Here!)'!$B$18:$N$28,AJ$2+1,FALSE)/'User Interface (Start Here!)'!$L$35*$M13*X13,X13-VLOOKUP($A13,'User Interface (Start Here!)'!$B$18:$N$28,AJ$2+1,FALSE)*$M13*X13))</f>
        <v>4.8382247260859601E-2</v>
      </c>
      <c r="AK13" s="83">
        <f>IF($L13&lt;&gt;1,Y13,IF(VLOOKUP($A13,'User Interface (Start Here!)'!$B$18:$N$28,AK$2+1,FALSE)&lt;&gt;100%,Y13-VLOOKUP($A13,'User Interface (Start Here!)'!$B$18:$N$28,AK$2+1,FALSE)/'User Interface (Start Here!)'!$L$35*$M13*Y13,Y13-VLOOKUP($A13,'User Interface (Start Here!)'!$B$18:$N$28,AK$2+1,FALSE)*$M13*Y13))</f>
        <v>4.0844753671563871E-2</v>
      </c>
      <c r="AL13" s="82">
        <f t="shared" si="7"/>
        <v>0.85688812058417763</v>
      </c>
    </row>
    <row r="14" spans="1:57" ht="15.6">
      <c r="A14" s="70">
        <v>2980</v>
      </c>
      <c r="B14" s="58" t="s">
        <v>100</v>
      </c>
      <c r="C14" s="102">
        <v>13935.355630483624</v>
      </c>
      <c r="D14" s="103">
        <v>20908.046928661639</v>
      </c>
      <c r="E14" s="104">
        <f t="shared" si="4"/>
        <v>22298.574401948281</v>
      </c>
      <c r="F14" s="100">
        <v>24930.46387396369</v>
      </c>
      <c r="G14" s="100">
        <v>1678.1867403083172</v>
      </c>
      <c r="H14" s="100">
        <v>33523.373045970577</v>
      </c>
      <c r="I14" s="101">
        <f t="shared" si="5"/>
        <v>34843.402559145266</v>
      </c>
      <c r="J14" s="65">
        <f t="shared" si="6"/>
        <v>24.930463873963689</v>
      </c>
      <c r="K14" s="84">
        <f>(J14)*'User Interface (Start Here!)'!$L$8</f>
        <v>9.9721855495854754</v>
      </c>
      <c r="L14" s="2">
        <f>IF(VLOOKUP(A14,'User Interface (Start Here!)'!$DO$2:$DP$73,2,FALSE)&lt;&gt;0,1,0)</f>
        <v>1</v>
      </c>
      <c r="M14" s="41">
        <f>IF(AND(L14=1,ISBLANK('User Interface (Start Here!)'!$L$14),ISBLANK('User Interface (Start Here!)'!$M$14),ISBLANK('User Interface (Start Here!)'!$N$14)),100%*'User Interface (Start Here!)'!$L$30,IF(L14=1,VLOOKUP(A14,'Bathymetric Closures'!$A$2:$C$57,3,FALSE)*'User Interface (Start Here!)'!$L$30,0%))</f>
        <v>0.93680614859094791</v>
      </c>
      <c r="N14" s="79">
        <f t="shared" si="1"/>
        <v>0.56935432581401813</v>
      </c>
      <c r="O14" s="79">
        <f t="shared" si="2"/>
        <v>0.48781701199599214</v>
      </c>
      <c r="P14" s="79">
        <f t="shared" si="2"/>
        <v>1.1265745684958854</v>
      </c>
      <c r="Q14" s="79">
        <f t="shared" si="2"/>
        <v>1.1761776681022686</v>
      </c>
      <c r="R14" s="79">
        <f t="shared" si="2"/>
        <v>1.1186323755594219</v>
      </c>
      <c r="S14" s="79">
        <f t="shared" si="2"/>
        <v>0.90679358636968566</v>
      </c>
      <c r="T14" s="79">
        <f t="shared" si="2"/>
        <v>0.68334038741459402</v>
      </c>
      <c r="U14" s="79">
        <f t="shared" si="2"/>
        <v>0.46284883802266819</v>
      </c>
      <c r="V14" s="79">
        <f t="shared" si="2"/>
        <v>0.65647163928062324</v>
      </c>
      <c r="W14" s="79">
        <f t="shared" si="2"/>
        <v>0.90540119706030431</v>
      </c>
      <c r="X14" s="79">
        <f t="shared" si="2"/>
        <v>1.1121141730961162</v>
      </c>
      <c r="Y14" s="79">
        <f t="shared" si="2"/>
        <v>0.76665977837389954</v>
      </c>
      <c r="Z14" s="81">
        <f>IF($L14&lt;&gt;1,N14,IF(VLOOKUP($A14,'User Interface (Start Here!)'!$B$18:$N$28,Z$2+1,FALSE)&lt;&gt;100%,N14-VLOOKUP($A14,'User Interface (Start Here!)'!$B$18:$N$28,Z$2+1,FALSE)/'User Interface (Start Here!)'!$L$35*$M14*N14,N14-VLOOKUP($A14,'User Interface (Start Here!)'!$B$18:$N$28,Z$2+1,FALSE)*$M14*N14))</f>
        <v>3.5979692664592111E-2</v>
      </c>
      <c r="AA14" s="81">
        <f>IF($L14&lt;&gt;1,O14,IF(VLOOKUP($A14,'User Interface (Start Here!)'!$B$18:$N$28,AA$2+1,FALSE)&lt;&gt;100%,O14-VLOOKUP($A14,'User Interface (Start Here!)'!$B$18:$N$28,AA$2+1,FALSE)/'User Interface (Start Here!)'!$L$35*$M14*O14,O14-VLOOKUP($A14,'User Interface (Start Here!)'!$B$18:$N$28,AA$2+1,FALSE)*$M14*O14))</f>
        <v>3.0827035770882527E-2</v>
      </c>
      <c r="AB14" s="81">
        <f>IF($L14&lt;&gt;1,P14,IF(VLOOKUP($A14,'User Interface (Start Here!)'!$B$18:$N$28,AB$2+1,FALSE)&lt;&gt;100%,P14-VLOOKUP($A14,'User Interface (Start Here!)'!$B$18:$N$28,AB$2+1,FALSE)/'User Interface (Start Here!)'!$L$35*$M14*P14,P14-VLOOKUP($A14,'User Interface (Start Here!)'!$B$18:$N$28,AB$2+1,FALSE)*$M14*P14))</f>
        <v>7.1192585882746018E-2</v>
      </c>
      <c r="AC14" s="81">
        <f>IF($L14&lt;&gt;1,Q14,IF(VLOOKUP($A14,'User Interface (Start Here!)'!$B$18:$N$28,AC$2+1,FALSE)&lt;&gt;100%,Q14-VLOOKUP($A14,'User Interface (Start Here!)'!$B$18:$N$28,AC$2+1,FALSE)/'User Interface (Start Here!)'!$L$35*$M14*Q14,Q14-VLOOKUP($A14,'User Interface (Start Here!)'!$B$18:$N$28,AC$2+1,FALSE)*$M14*Q14))</f>
        <v>7.4327196788700256E-2</v>
      </c>
      <c r="AD14" s="81">
        <f>IF($L14&lt;&gt;1,R14,IF(VLOOKUP($A14,'User Interface (Start Here!)'!$B$18:$N$28,AD$2+1,FALSE)&lt;&gt;100%,R14-VLOOKUP($A14,'User Interface (Start Here!)'!$B$18:$N$28,AD$2+1,FALSE)/'User Interface (Start Here!)'!$L$35*$M14*R14,R14-VLOOKUP($A14,'User Interface (Start Here!)'!$B$18:$N$28,AD$2+1,FALSE)*$M14*R14))</f>
        <v>7.0690688122457157E-2</v>
      </c>
      <c r="AE14" s="81">
        <f>IF($L14&lt;&gt;1,S14,IF(VLOOKUP($A14,'User Interface (Start Here!)'!$B$18:$N$28,AE$2+1,FALSE)&lt;&gt;100%,S14-VLOOKUP($A14,'User Interface (Start Here!)'!$B$18:$N$28,AE$2+1,FALSE)/'User Interface (Start Here!)'!$L$35*$M14*S14,S14-VLOOKUP($A14,'User Interface (Start Here!)'!$B$18:$N$28,AE$2+1,FALSE)*$M14*S14))</f>
        <v>5.7303779155727375E-2</v>
      </c>
      <c r="AF14" s="81">
        <f>IF($L14&lt;&gt;1,T14,IF(VLOOKUP($A14,'User Interface (Start Here!)'!$B$18:$N$28,AF$2+1,FALSE)&lt;&gt;100%,T14-VLOOKUP($A14,'User Interface (Start Here!)'!$B$18:$N$28,AF$2+1,FALSE)/'User Interface (Start Here!)'!$L$35*$M14*T14,T14-VLOOKUP($A14,'User Interface (Start Here!)'!$B$18:$N$28,AF$2+1,FALSE)*$M14*T14))</f>
        <v>4.3182910904081995E-2</v>
      </c>
      <c r="AG14" s="81">
        <f>IF($L14&lt;&gt;1,U14,IF(VLOOKUP($A14,'User Interface (Start Here!)'!$B$18:$N$28,AG$2+1,FALSE)&lt;&gt;100%,U14-VLOOKUP($A14,'User Interface (Start Here!)'!$B$18:$N$28,AG$2+1,FALSE)/'User Interface (Start Here!)'!$L$35*$M14*U14,U14-VLOOKUP($A14,'User Interface (Start Here!)'!$B$18:$N$28,AG$2+1,FALSE)*$M14*U14))</f>
        <v>2.9249200694856925E-2</v>
      </c>
      <c r="AH14" s="81">
        <f>IF($L14&lt;&gt;1,V14,IF(VLOOKUP($A14,'User Interface (Start Here!)'!$B$18:$N$28,AH$2+1,FALSE)&lt;&gt;100%,V14-VLOOKUP($A14,'User Interface (Start Here!)'!$B$18:$N$28,AH$2+1,FALSE)/'User Interface (Start Here!)'!$L$35*$M14*V14,V14-VLOOKUP($A14,'User Interface (Start Here!)'!$B$18:$N$28,AH$2+1,FALSE)*$M14*V14))</f>
        <v>4.1484971226956602E-2</v>
      </c>
      <c r="AI14" s="83">
        <f>IF($L14&lt;&gt;1,W14,IF(VLOOKUP($A14,'User Interface (Start Here!)'!$B$18:$N$28,AI$2+1,FALSE)&lt;&gt;100%,W14-VLOOKUP($A14,'User Interface (Start Here!)'!$B$18:$N$28,AI$2+1,FALSE)/'User Interface (Start Here!)'!$L$35*$M14*W14,W14-VLOOKUP($A14,'User Interface (Start Here!)'!$B$18:$N$28,AI$2+1,FALSE)*$M14*W14))</f>
        <v>5.7215788712606797E-2</v>
      </c>
      <c r="AJ14" s="83">
        <f>IF($L14&lt;&gt;1,X14,IF(VLOOKUP($A14,'User Interface (Start Here!)'!$B$18:$N$28,AJ$2+1,FALSE)&lt;&gt;100%,X14-VLOOKUP($A14,'User Interface (Start Here!)'!$B$18:$N$28,AJ$2+1,FALSE)/'User Interface (Start Here!)'!$L$35*$M14*X14,X14-VLOOKUP($A14,'User Interface (Start Here!)'!$B$18:$N$28,AJ$2+1,FALSE)*$M14*X14))</f>
        <v>7.0278777804536841E-2</v>
      </c>
      <c r="AK14" s="83">
        <f>IF($L14&lt;&gt;1,Y14,IF(VLOOKUP($A14,'User Interface (Start Here!)'!$B$18:$N$28,AK$2+1,FALSE)&lt;&gt;100%,Y14-VLOOKUP($A14,'User Interface (Start Here!)'!$B$18:$N$28,AK$2+1,FALSE)/'User Interface (Start Here!)'!$L$35*$M14*Y14,Y14-VLOOKUP($A14,'User Interface (Start Here!)'!$B$18:$N$28,AK$2+1,FALSE)*$M14*Y14))</f>
        <v>4.8448184115857051E-2</v>
      </c>
      <c r="AL14" s="82">
        <f t="shared" si="7"/>
        <v>0.63018081184400165</v>
      </c>
      <c r="AR14" t="s">
        <v>120</v>
      </c>
    </row>
    <row r="15" spans="1:57" ht="15.6">
      <c r="A15" s="70">
        <v>2981</v>
      </c>
      <c r="B15" s="58" t="s">
        <v>100</v>
      </c>
      <c r="C15" s="102">
        <v>163.11016611090466</v>
      </c>
      <c r="D15" s="103">
        <v>244.72393084310795</v>
      </c>
      <c r="E15" s="104">
        <f t="shared" si="4"/>
        <v>260.99973844814781</v>
      </c>
      <c r="F15" s="100">
        <v>384.30686310786427</v>
      </c>
      <c r="G15" s="100">
        <v>1092.5320737134728</v>
      </c>
      <c r="H15" s="100">
        <v>392.38345192747101</v>
      </c>
      <c r="I15" s="101">
        <f t="shared" si="5"/>
        <v>407.83409695401258</v>
      </c>
      <c r="J15" s="65">
        <f t="shared" si="6"/>
        <v>0.38430686310786427</v>
      </c>
      <c r="K15" s="84">
        <f>(J15)*'User Interface (Start Here!)'!$L$8</f>
        <v>0.15372274524314572</v>
      </c>
      <c r="L15" s="2">
        <f>IF(VLOOKUP(A15,'User Interface (Start Here!)'!$DO$2:$DP$73,2,FALSE)&lt;&gt;0,1,0)</f>
        <v>0</v>
      </c>
      <c r="M15" s="41">
        <f>IF(AND(L15=1,ISBLANK('User Interface (Start Here!)'!$L$14),ISBLANK('User Interface (Start Here!)'!$M$14),ISBLANK('User Interface (Start Here!)'!$N$14)),100%*'User Interface (Start Here!)'!$L$30,IF(L15=1,VLOOKUP(A15,'Bathymetric Closures'!$A$2:$C$57,3,FALSE)*'User Interface (Start Here!)'!$L$30,0%))</f>
        <v>0</v>
      </c>
      <c r="N15" s="79">
        <f t="shared" si="1"/>
        <v>0</v>
      </c>
      <c r="O15" s="79">
        <f t="shared" si="2"/>
        <v>1.1552708934560169E-2</v>
      </c>
      <c r="P15" s="79">
        <f t="shared" si="2"/>
        <v>3.1666145063054688E-3</v>
      </c>
      <c r="Q15" s="79">
        <f t="shared" si="2"/>
        <v>3.9078152239326147E-2</v>
      </c>
      <c r="R15" s="79">
        <f t="shared" si="2"/>
        <v>1.7042116875586454E-2</v>
      </c>
      <c r="S15" s="79">
        <f t="shared" si="2"/>
        <v>2.0079391760777082E-3</v>
      </c>
      <c r="T15" s="79">
        <f t="shared" si="2"/>
        <v>1.6340419843440555E-2</v>
      </c>
      <c r="U15" s="79">
        <f t="shared" si="2"/>
        <v>2.8042493747128638E-2</v>
      </c>
      <c r="V15" s="79">
        <f t="shared" si="2"/>
        <v>1.3997437102268327E-2</v>
      </c>
      <c r="W15" s="79">
        <f t="shared" si="2"/>
        <v>0</v>
      </c>
      <c r="X15" s="79">
        <f t="shared" si="2"/>
        <v>2.2494862818452262E-2</v>
      </c>
      <c r="Y15" s="79">
        <f t="shared" si="2"/>
        <v>0</v>
      </c>
      <c r="Z15" s="81">
        <f>IF($L15&lt;&gt;1,N15,IF(VLOOKUP($A15,'User Interface (Start Here!)'!$B$18:$N$28,Z$2+1,FALSE)&lt;&gt;100%,N15-VLOOKUP($A15,'User Interface (Start Here!)'!$B$18:$N$28,Z$2+1,FALSE)/'User Interface (Start Here!)'!$L$35*$M15*N15,N15-VLOOKUP($A15,'User Interface (Start Here!)'!$B$18:$N$28,Z$2+1,FALSE)*$M15*N15))</f>
        <v>0</v>
      </c>
      <c r="AA15" s="81">
        <f>IF($L15&lt;&gt;1,O15,IF(VLOOKUP($A15,'User Interface (Start Here!)'!$B$18:$N$28,AA$2+1,FALSE)&lt;&gt;100%,O15-VLOOKUP($A15,'User Interface (Start Here!)'!$B$18:$N$28,AA$2+1,FALSE)/'User Interface (Start Here!)'!$L$35*$M15*O15,O15-VLOOKUP($A15,'User Interface (Start Here!)'!$B$18:$N$28,AA$2+1,FALSE)*$M15*O15))</f>
        <v>1.1552708934560169E-2</v>
      </c>
      <c r="AB15" s="81">
        <f>IF($L15&lt;&gt;1,P15,IF(VLOOKUP($A15,'User Interface (Start Here!)'!$B$18:$N$28,AB$2+1,FALSE)&lt;&gt;100%,P15-VLOOKUP($A15,'User Interface (Start Here!)'!$B$18:$N$28,AB$2+1,FALSE)/'User Interface (Start Here!)'!$L$35*$M15*P15,P15-VLOOKUP($A15,'User Interface (Start Here!)'!$B$18:$N$28,AB$2+1,FALSE)*$M15*P15))</f>
        <v>3.1666145063054688E-3</v>
      </c>
      <c r="AC15" s="81">
        <f>IF($L15&lt;&gt;1,Q15,IF(VLOOKUP($A15,'User Interface (Start Here!)'!$B$18:$N$28,AC$2+1,FALSE)&lt;&gt;100%,Q15-VLOOKUP($A15,'User Interface (Start Here!)'!$B$18:$N$28,AC$2+1,FALSE)/'User Interface (Start Here!)'!$L$35*$M15*Q15,Q15-VLOOKUP($A15,'User Interface (Start Here!)'!$B$18:$N$28,AC$2+1,FALSE)*$M15*Q15))</f>
        <v>3.9078152239326147E-2</v>
      </c>
      <c r="AD15" s="81">
        <f>IF($L15&lt;&gt;1,R15,IF(VLOOKUP($A15,'User Interface (Start Here!)'!$B$18:$N$28,AD$2+1,FALSE)&lt;&gt;100%,R15-VLOOKUP($A15,'User Interface (Start Here!)'!$B$18:$N$28,AD$2+1,FALSE)/'User Interface (Start Here!)'!$L$35*$M15*R15,R15-VLOOKUP($A15,'User Interface (Start Here!)'!$B$18:$N$28,AD$2+1,FALSE)*$M15*R15))</f>
        <v>1.7042116875586454E-2</v>
      </c>
      <c r="AE15" s="81">
        <f>IF($L15&lt;&gt;1,S15,IF(VLOOKUP($A15,'User Interface (Start Here!)'!$B$18:$N$28,AE$2+1,FALSE)&lt;&gt;100%,S15-VLOOKUP($A15,'User Interface (Start Here!)'!$B$18:$N$28,AE$2+1,FALSE)/'User Interface (Start Here!)'!$L$35*$M15*S15,S15-VLOOKUP($A15,'User Interface (Start Here!)'!$B$18:$N$28,AE$2+1,FALSE)*$M15*S15))</f>
        <v>2.0079391760777082E-3</v>
      </c>
      <c r="AF15" s="81">
        <f>IF($L15&lt;&gt;1,T15,IF(VLOOKUP($A15,'User Interface (Start Here!)'!$B$18:$N$28,AF$2+1,FALSE)&lt;&gt;100%,T15-VLOOKUP($A15,'User Interface (Start Here!)'!$B$18:$N$28,AF$2+1,FALSE)/'User Interface (Start Here!)'!$L$35*$M15*T15,T15-VLOOKUP($A15,'User Interface (Start Here!)'!$B$18:$N$28,AF$2+1,FALSE)*$M15*T15))</f>
        <v>1.6340419843440555E-2</v>
      </c>
      <c r="AG15" s="81">
        <f>IF($L15&lt;&gt;1,U15,IF(VLOOKUP($A15,'User Interface (Start Here!)'!$B$18:$N$28,AG$2+1,FALSE)&lt;&gt;100%,U15-VLOOKUP($A15,'User Interface (Start Here!)'!$B$18:$N$28,AG$2+1,FALSE)/'User Interface (Start Here!)'!$L$35*$M15*U15,U15-VLOOKUP($A15,'User Interface (Start Here!)'!$B$18:$N$28,AG$2+1,FALSE)*$M15*U15))</f>
        <v>2.8042493747128638E-2</v>
      </c>
      <c r="AH15" s="81">
        <f>IF($L15&lt;&gt;1,V15,IF(VLOOKUP($A15,'User Interface (Start Here!)'!$B$18:$N$28,AH$2+1,FALSE)&lt;&gt;100%,V15-VLOOKUP($A15,'User Interface (Start Here!)'!$B$18:$N$28,AH$2+1,FALSE)/'User Interface (Start Here!)'!$L$35*$M15*V15,V15-VLOOKUP($A15,'User Interface (Start Here!)'!$B$18:$N$28,AH$2+1,FALSE)*$M15*V15))</f>
        <v>1.3997437102268327E-2</v>
      </c>
      <c r="AI15" s="83">
        <f>IF($L15&lt;&gt;1,W15,IF(VLOOKUP($A15,'User Interface (Start Here!)'!$B$18:$N$28,AI$2+1,FALSE)&lt;&gt;100%,W15-VLOOKUP($A15,'User Interface (Start Here!)'!$B$18:$N$28,AI$2+1,FALSE)/'User Interface (Start Here!)'!$L$35*$M15*W15,W15-VLOOKUP($A15,'User Interface (Start Here!)'!$B$18:$N$28,AI$2+1,FALSE)*$M15*W15))</f>
        <v>0</v>
      </c>
      <c r="AJ15" s="83">
        <f>IF($L15&lt;&gt;1,X15,IF(VLOOKUP($A15,'User Interface (Start Here!)'!$B$18:$N$28,AJ$2+1,FALSE)&lt;&gt;100%,X15-VLOOKUP($A15,'User Interface (Start Here!)'!$B$18:$N$28,AJ$2+1,FALSE)/'User Interface (Start Here!)'!$L$35*$M15*X15,X15-VLOOKUP($A15,'User Interface (Start Here!)'!$B$18:$N$28,AJ$2+1,FALSE)*$M15*X15))</f>
        <v>2.2494862818452262E-2</v>
      </c>
      <c r="AK15" s="83">
        <f>IF($L15&lt;&gt;1,Y15,IF(VLOOKUP($A15,'User Interface (Start Here!)'!$B$18:$N$28,AK$2+1,FALSE)&lt;&gt;100%,Y15-VLOOKUP($A15,'User Interface (Start Here!)'!$B$18:$N$28,AK$2+1,FALSE)/'User Interface (Start Here!)'!$L$35*$M15*Y15,Y15-VLOOKUP($A15,'User Interface (Start Here!)'!$B$18:$N$28,AK$2+1,FALSE)*$M15*Y15))</f>
        <v>0</v>
      </c>
      <c r="AL15" s="82">
        <f t="shared" si="7"/>
        <v>0.15372274524314572</v>
      </c>
      <c r="AR15" t="s">
        <v>121</v>
      </c>
      <c r="AS15">
        <v>1</v>
      </c>
      <c r="AT15">
        <v>2</v>
      </c>
      <c r="AU15">
        <v>3</v>
      </c>
      <c r="AV15">
        <v>4</v>
      </c>
      <c r="AW15">
        <v>5</v>
      </c>
      <c r="AX15">
        <v>6</v>
      </c>
      <c r="AY15">
        <v>7</v>
      </c>
      <c r="AZ15">
        <v>8</v>
      </c>
      <c r="BA15">
        <v>9</v>
      </c>
      <c r="BB15">
        <v>10</v>
      </c>
      <c r="BC15">
        <v>11</v>
      </c>
      <c r="BD15">
        <v>12</v>
      </c>
      <c r="BE15" t="s">
        <v>68</v>
      </c>
    </row>
    <row r="16" spans="1:57" ht="15.6">
      <c r="A16" s="70">
        <v>3080</v>
      </c>
      <c r="B16" s="58" t="s">
        <v>100</v>
      </c>
      <c r="C16" s="102">
        <v>4628.6145566910072</v>
      </c>
      <c r="D16" s="103">
        <v>6944.5870584232362</v>
      </c>
      <c r="E16" s="104">
        <f t="shared" si="4"/>
        <v>7406.4493800603013</v>
      </c>
      <c r="F16" s="100">
        <v>7956.4876689323983</v>
      </c>
      <c r="G16" s="100">
        <v>719.39977578883338</v>
      </c>
      <c r="H16" s="100">
        <v>11134.755121034346</v>
      </c>
      <c r="I16" s="101">
        <f t="shared" si="5"/>
        <v>11573.201615114243</v>
      </c>
      <c r="J16" s="65">
        <f t="shared" si="6"/>
        <v>7.9564876689323984</v>
      </c>
      <c r="K16" s="84">
        <f>(J16)*'User Interface (Start Here!)'!$L$8</f>
        <v>3.1825950675729597</v>
      </c>
      <c r="L16" s="2">
        <f>IF(VLOOKUP(A16,'User Interface (Start Here!)'!$DO$2:$DP$73,2,FALSE)&lt;&gt;0,1,0)</f>
        <v>1</v>
      </c>
      <c r="M16" s="41">
        <f>IF(AND(L16=1,ISBLANK('User Interface (Start Here!)'!$L$14),ISBLANK('User Interface (Start Here!)'!$M$14),ISBLANK('User Interface (Start Here!)'!$N$14)),100%*'User Interface (Start Here!)'!$L$30,IF(L16=1,VLOOKUP(A16,'Bathymetric Closures'!$A$2:$C$57,3,FALSE)*'User Interface (Start Here!)'!$L$30,0%))</f>
        <v>0.97648773512264886</v>
      </c>
      <c r="N16" s="79">
        <f t="shared" si="1"/>
        <v>0.14253234854756847</v>
      </c>
      <c r="O16" s="79">
        <f t="shared" si="2"/>
        <v>0.12557463032620197</v>
      </c>
      <c r="P16" s="79">
        <f t="shared" si="2"/>
        <v>0.14456651635001327</v>
      </c>
      <c r="Q16" s="79">
        <f t="shared" si="2"/>
        <v>0.34161277831152564</v>
      </c>
      <c r="R16" s="79">
        <f t="shared" si="2"/>
        <v>0.65383715496666539</v>
      </c>
      <c r="S16" s="79">
        <f t="shared" si="2"/>
        <v>0.38074543386864795</v>
      </c>
      <c r="T16" s="79">
        <f t="shared" si="2"/>
        <v>0.31969566590663356</v>
      </c>
      <c r="U16" s="79">
        <f t="shared" si="2"/>
        <v>0.30126736106674368</v>
      </c>
      <c r="V16" s="79">
        <f t="shared" si="2"/>
        <v>0.17511103756826016</v>
      </c>
      <c r="W16" s="79">
        <f t="shared" si="2"/>
        <v>0.13805090159747768</v>
      </c>
      <c r="X16" s="79">
        <f t="shared" si="2"/>
        <v>0.16587056995594412</v>
      </c>
      <c r="Y16" s="79">
        <f t="shared" si="2"/>
        <v>0.29373066910727802</v>
      </c>
      <c r="Z16" s="81">
        <f>IF($L16&lt;&gt;1,N16,IF(VLOOKUP($A16,'User Interface (Start Here!)'!$B$18:$N$28,Z$2+1,FALSE)&lt;&gt;100%,N16-VLOOKUP($A16,'User Interface (Start Here!)'!$B$18:$N$28,Z$2+1,FALSE)/'User Interface (Start Here!)'!$L$35*$M16*N16,N16-VLOOKUP($A16,'User Interface (Start Here!)'!$B$18:$N$28,Z$2+1,FALSE)*$M16*N16))</f>
        <v>3.3512583326413548E-3</v>
      </c>
      <c r="AA16" s="81">
        <f>IF($L16&lt;&gt;1,O16,IF(VLOOKUP($A16,'User Interface (Start Here!)'!$B$18:$N$28,AA$2+1,FALSE)&lt;&gt;100%,O16-VLOOKUP($A16,'User Interface (Start Here!)'!$B$18:$N$28,AA$2+1,FALSE)/'User Interface (Start Here!)'!$L$35*$M16*O16,O16-VLOOKUP($A16,'User Interface (Start Here!)'!$B$18:$N$28,AA$2+1,FALSE)*$M16*O16))</f>
        <v>2.9525439701051093E-3</v>
      </c>
      <c r="AB16" s="81">
        <f>IF($L16&lt;&gt;1,P16,IF(VLOOKUP($A16,'User Interface (Start Here!)'!$B$18:$N$28,AB$2+1,FALSE)&lt;&gt;100%,P16-VLOOKUP($A16,'User Interface (Start Here!)'!$B$18:$N$28,AB$2+1,FALSE)/'User Interface (Start Here!)'!$L$35*$M16*P16,P16-VLOOKUP($A16,'User Interface (Start Here!)'!$B$18:$N$28,AB$2+1,FALSE)*$M16*P16))</f>
        <v>3.3990862248174381E-3</v>
      </c>
      <c r="AC16" s="81">
        <f>IF($L16&lt;&gt;1,Q16,IF(VLOOKUP($A16,'User Interface (Start Here!)'!$B$18:$N$28,AC$2+1,FALSE)&lt;&gt;100%,Q16-VLOOKUP($A16,'User Interface (Start Here!)'!$B$18:$N$28,AC$2+1,FALSE)/'User Interface (Start Here!)'!$L$35*$M16*Q16,Q16-VLOOKUP($A16,'User Interface (Start Here!)'!$B$18:$N$28,AC$2+1,FALSE)*$M16*Q16))</f>
        <v>8.0320901291484059E-3</v>
      </c>
      <c r="AD16" s="81">
        <f>IF($L16&lt;&gt;1,R16,IF(VLOOKUP($A16,'User Interface (Start Here!)'!$B$18:$N$28,AD$2+1,FALSE)&lt;&gt;100%,R16-VLOOKUP($A16,'User Interface (Start Here!)'!$B$18:$N$28,AD$2+1,FALSE)/'User Interface (Start Here!)'!$L$35*$M16*R16,R16-VLOOKUP($A16,'User Interface (Start Here!)'!$B$18:$N$28,AD$2+1,FALSE)*$M16*R16))</f>
        <v>1.537319237422996E-2</v>
      </c>
      <c r="AE16" s="81">
        <f>IF($L16&lt;&gt;1,S16,IF(VLOOKUP($A16,'User Interface (Start Here!)'!$B$18:$N$28,AE$2+1,FALSE)&lt;&gt;100%,S16-VLOOKUP($A16,'User Interface (Start Here!)'!$B$18:$N$28,AE$2+1,FALSE)/'User Interface (Start Here!)'!$L$35*$M16*S16,S16-VLOOKUP($A16,'User Interface (Start Here!)'!$B$18:$N$28,AE$2+1,FALSE)*$M16*S16))</f>
        <v>8.9521874919616384E-3</v>
      </c>
      <c r="AF16" s="81">
        <f>IF($L16&lt;&gt;1,T16,IF(VLOOKUP($A16,'User Interface (Start Here!)'!$B$18:$N$28,AF$2+1,FALSE)&lt;&gt;100%,T16-VLOOKUP($A16,'User Interface (Start Here!)'!$B$18:$N$28,AF$2+1,FALSE)/'User Interface (Start Here!)'!$L$35*$M16*T16,T16-VLOOKUP($A16,'User Interface (Start Here!)'!$B$18:$N$28,AF$2+1,FALSE)*$M16*T16))</f>
        <v>7.516769176937943E-3</v>
      </c>
      <c r="AG16" s="81">
        <f>IF($L16&lt;&gt;1,U16,IF(VLOOKUP($A16,'User Interface (Start Here!)'!$B$18:$N$28,AG$2+1,FALSE)&lt;&gt;100%,U16-VLOOKUP($A16,'User Interface (Start Here!)'!$B$18:$N$28,AG$2+1,FALSE)/'User Interface (Start Here!)'!$L$35*$M16*U16,U16-VLOOKUP($A16,'User Interface (Start Here!)'!$B$18:$N$28,AG$2+1,FALSE)*$M16*U16))</f>
        <v>7.0834779923018565E-3</v>
      </c>
      <c r="AH16" s="81">
        <f>IF($L16&lt;&gt;1,V16,IF(VLOOKUP($A16,'User Interface (Start Here!)'!$B$18:$N$28,AH$2+1,FALSE)&lt;&gt;100%,V16-VLOOKUP($A16,'User Interface (Start Here!)'!$B$18:$N$28,AH$2+1,FALSE)/'User Interface (Start Here!)'!$L$35*$M16*V16,V16-VLOOKUP($A16,'User Interface (Start Here!)'!$B$18:$N$28,AH$2+1,FALSE)*$M16*V16))</f>
        <v>4.1172570982527246E-3</v>
      </c>
      <c r="AI16" s="83">
        <f>IF($L16&lt;&gt;1,W16,IF(VLOOKUP($A16,'User Interface (Start Here!)'!$B$18:$N$28,AI$2+1,FALSE)&lt;&gt;100%,W16-VLOOKUP($A16,'User Interface (Start Here!)'!$B$18:$N$28,AI$2+1,FALSE)/'User Interface (Start Here!)'!$L$35*$M16*W16,W16-VLOOKUP($A16,'User Interface (Start Here!)'!$B$18:$N$28,AI$2+1,FALSE)*$M16*W16))</f>
        <v>3.2458893649170428E-3</v>
      </c>
      <c r="AJ16" s="83">
        <f>IF($L16&lt;&gt;1,X16,IF(VLOOKUP($A16,'User Interface (Start Here!)'!$B$18:$N$28,AJ$2+1,FALSE)&lt;&gt;100%,X16-VLOOKUP($A16,'User Interface (Start Here!)'!$B$18:$N$28,AJ$2+1,FALSE)/'User Interface (Start Here!)'!$L$35*$M16*X16,X16-VLOOKUP($A16,'User Interface (Start Here!)'!$B$18:$N$28,AJ$2+1,FALSE)*$M16*X16))</f>
        <v>3.8999927761613484E-3</v>
      </c>
      <c r="AK16" s="83">
        <f>IF($L16&lt;&gt;1,Y16,IF(VLOOKUP($A16,'User Interface (Start Here!)'!$B$18:$N$28,AK$2+1,FALSE)&lt;&gt;100%,Y16-VLOOKUP($A16,'User Interface (Start Here!)'!$B$18:$N$28,AK$2+1,FALSE)/'User Interface (Start Here!)'!$L$35*$M16*Y16,Y16-VLOOKUP($A16,'User Interface (Start Here!)'!$B$18:$N$28,AK$2+1,FALSE)*$M16*Y16))</f>
        <v>6.9062732946518768E-3</v>
      </c>
      <c r="AL16" s="82">
        <f t="shared" si="7"/>
        <v>7.4830018226126699E-2</v>
      </c>
      <c r="AR16" t="s">
        <v>115</v>
      </c>
      <c r="AS16">
        <f>0.5*AS8</f>
        <v>92022.5</v>
      </c>
      <c r="AT16">
        <f>AS16</f>
        <v>92022.5</v>
      </c>
      <c r="AU16">
        <f>0.5*AT8</f>
        <v>97275.5</v>
      </c>
      <c r="AV16">
        <f>AU16</f>
        <v>97275.5</v>
      </c>
      <c r="AW16">
        <f>0.5*AU8</f>
        <v>112919</v>
      </c>
      <c r="AX16">
        <f>AW16</f>
        <v>112919</v>
      </c>
      <c r="AY16">
        <f>0.5*AV8</f>
        <v>135601</v>
      </c>
      <c r="AZ16">
        <f>AY16</f>
        <v>135601</v>
      </c>
      <c r="BA16">
        <f>0.5*AW8</f>
        <v>72972.5</v>
      </c>
      <c r="BB16">
        <f>BA16</f>
        <v>72972.5</v>
      </c>
      <c r="BC16">
        <f>0.5*AX8</f>
        <v>94106.5</v>
      </c>
      <c r="BD16">
        <f>BC16</f>
        <v>94106.5</v>
      </c>
      <c r="BE16">
        <f>SUM(AS16:BD16)</f>
        <v>1209794</v>
      </c>
    </row>
    <row r="17" spans="1:57" ht="15.6">
      <c r="A17" s="70">
        <v>3081</v>
      </c>
      <c r="B17" s="58" t="s">
        <v>100</v>
      </c>
      <c r="C17" s="102">
        <v>3419.2159373576046</v>
      </c>
      <c r="D17" s="103">
        <v>5130.0540275497488</v>
      </c>
      <c r="E17" s="104">
        <f t="shared" si="4"/>
        <v>5471.237548377504</v>
      </c>
      <c r="F17" s="100">
        <v>5647.7839475210858</v>
      </c>
      <c r="G17" s="100">
        <v>541.31325732820687</v>
      </c>
      <c r="H17" s="100">
        <v>8225.3840111570189</v>
      </c>
      <c r="I17" s="101">
        <f t="shared" si="5"/>
        <v>8549.2699649073529</v>
      </c>
      <c r="J17" s="65">
        <f t="shared" si="6"/>
        <v>5.647783947521086</v>
      </c>
      <c r="K17" s="84">
        <f>(J17)*'User Interface (Start Here!)'!$L$8</f>
        <v>2.2591135790084347</v>
      </c>
      <c r="L17" s="2">
        <f>IF(VLOOKUP(A17,'User Interface (Start Here!)'!$DO$2:$DP$73,2,FALSE)&lt;&gt;0,1,0)</f>
        <v>0</v>
      </c>
      <c r="M17" s="41">
        <f>IF(AND(L17=1,ISBLANK('User Interface (Start Here!)'!$L$14),ISBLANK('User Interface (Start Here!)'!$M$14),ISBLANK('User Interface (Start Here!)'!$N$14)),100%*'User Interface (Start Here!)'!$L$30,IF(L17=1,VLOOKUP(A17,'Bathymetric Closures'!$A$2:$C$57,3,FALSE)*'User Interface (Start Here!)'!$L$30,0%))</f>
        <v>0</v>
      </c>
      <c r="N17" s="79">
        <f t="shared" si="1"/>
        <v>3.8867932764351074E-3</v>
      </c>
      <c r="O17" s="79">
        <f t="shared" si="2"/>
        <v>1.8857932738118192E-2</v>
      </c>
      <c r="P17" s="79">
        <f t="shared" si="2"/>
        <v>0.25151325200287722</v>
      </c>
      <c r="Q17" s="79">
        <f t="shared" si="2"/>
        <v>0.34258194777589629</v>
      </c>
      <c r="R17" s="79">
        <f t="shared" si="2"/>
        <v>0.31045272447153571</v>
      </c>
      <c r="S17" s="79">
        <f t="shared" si="2"/>
        <v>0.16210422585910794</v>
      </c>
      <c r="T17" s="79">
        <f t="shared" si="2"/>
        <v>0.2540789714790106</v>
      </c>
      <c r="U17" s="79">
        <f t="shared" si="2"/>
        <v>0.11896389469117084</v>
      </c>
      <c r="V17" s="79">
        <f t="shared" si="2"/>
        <v>0.11612704209159046</v>
      </c>
      <c r="W17" s="79">
        <f t="shared" si="2"/>
        <v>7.3370128530860917E-2</v>
      </c>
      <c r="X17" s="79">
        <f t="shared" si="2"/>
        <v>0.26624317372415796</v>
      </c>
      <c r="Y17" s="79">
        <f t="shared" si="2"/>
        <v>0.34093349236767329</v>
      </c>
      <c r="Z17" s="81">
        <f>IF($L17&lt;&gt;1,N17,IF(VLOOKUP($A17,'User Interface (Start Here!)'!$B$18:$N$28,Z$2+1,FALSE)&lt;&gt;100%,N17-VLOOKUP($A17,'User Interface (Start Here!)'!$B$18:$N$28,Z$2+1,FALSE)/'User Interface (Start Here!)'!$L$35*$M17*N17,N17-VLOOKUP($A17,'User Interface (Start Here!)'!$B$18:$N$28,Z$2+1,FALSE)*$M17*N17))</f>
        <v>3.8867932764351074E-3</v>
      </c>
      <c r="AA17" s="81">
        <f>IF($L17&lt;&gt;1,O17,IF(VLOOKUP($A17,'User Interface (Start Here!)'!$B$18:$N$28,AA$2+1,FALSE)&lt;&gt;100%,O17-VLOOKUP($A17,'User Interface (Start Here!)'!$B$18:$N$28,AA$2+1,FALSE)/'User Interface (Start Here!)'!$L$35*$M17*O17,O17-VLOOKUP($A17,'User Interface (Start Here!)'!$B$18:$N$28,AA$2+1,FALSE)*$M17*O17))</f>
        <v>1.8857932738118192E-2</v>
      </c>
      <c r="AB17" s="81">
        <f>IF($L17&lt;&gt;1,P17,IF(VLOOKUP($A17,'User Interface (Start Here!)'!$B$18:$N$28,AB$2+1,FALSE)&lt;&gt;100%,P17-VLOOKUP($A17,'User Interface (Start Here!)'!$B$18:$N$28,AB$2+1,FALSE)/'User Interface (Start Here!)'!$L$35*$M17*P17,P17-VLOOKUP($A17,'User Interface (Start Here!)'!$B$18:$N$28,AB$2+1,FALSE)*$M17*P17))</f>
        <v>0.25151325200287722</v>
      </c>
      <c r="AC17" s="81">
        <f>IF($L17&lt;&gt;1,Q17,IF(VLOOKUP($A17,'User Interface (Start Here!)'!$B$18:$N$28,AC$2+1,FALSE)&lt;&gt;100%,Q17-VLOOKUP($A17,'User Interface (Start Here!)'!$B$18:$N$28,AC$2+1,FALSE)/'User Interface (Start Here!)'!$L$35*$M17*Q17,Q17-VLOOKUP($A17,'User Interface (Start Here!)'!$B$18:$N$28,AC$2+1,FALSE)*$M17*Q17))</f>
        <v>0.34258194777589629</v>
      </c>
      <c r="AD17" s="81">
        <f>IF($L17&lt;&gt;1,R17,IF(VLOOKUP($A17,'User Interface (Start Here!)'!$B$18:$N$28,AD$2+1,FALSE)&lt;&gt;100%,R17-VLOOKUP($A17,'User Interface (Start Here!)'!$B$18:$N$28,AD$2+1,FALSE)/'User Interface (Start Here!)'!$L$35*$M17*R17,R17-VLOOKUP($A17,'User Interface (Start Here!)'!$B$18:$N$28,AD$2+1,FALSE)*$M17*R17))</f>
        <v>0.31045272447153571</v>
      </c>
      <c r="AE17" s="81">
        <f>IF($L17&lt;&gt;1,S17,IF(VLOOKUP($A17,'User Interface (Start Here!)'!$B$18:$N$28,AE$2+1,FALSE)&lt;&gt;100%,S17-VLOOKUP($A17,'User Interface (Start Here!)'!$B$18:$N$28,AE$2+1,FALSE)/'User Interface (Start Here!)'!$L$35*$M17*S17,S17-VLOOKUP($A17,'User Interface (Start Here!)'!$B$18:$N$28,AE$2+1,FALSE)*$M17*S17))</f>
        <v>0.16210422585910794</v>
      </c>
      <c r="AF17" s="81">
        <f>IF($L17&lt;&gt;1,T17,IF(VLOOKUP($A17,'User Interface (Start Here!)'!$B$18:$N$28,AF$2+1,FALSE)&lt;&gt;100%,T17-VLOOKUP($A17,'User Interface (Start Here!)'!$B$18:$N$28,AF$2+1,FALSE)/'User Interface (Start Here!)'!$L$35*$M17*T17,T17-VLOOKUP($A17,'User Interface (Start Here!)'!$B$18:$N$28,AF$2+1,FALSE)*$M17*T17))</f>
        <v>0.2540789714790106</v>
      </c>
      <c r="AG17" s="81">
        <f>IF($L17&lt;&gt;1,U17,IF(VLOOKUP($A17,'User Interface (Start Here!)'!$B$18:$N$28,AG$2+1,FALSE)&lt;&gt;100%,U17-VLOOKUP($A17,'User Interface (Start Here!)'!$B$18:$N$28,AG$2+1,FALSE)/'User Interface (Start Here!)'!$L$35*$M17*U17,U17-VLOOKUP($A17,'User Interface (Start Here!)'!$B$18:$N$28,AG$2+1,FALSE)*$M17*U17))</f>
        <v>0.11896389469117084</v>
      </c>
      <c r="AH17" s="81">
        <f>IF($L17&lt;&gt;1,V17,IF(VLOOKUP($A17,'User Interface (Start Here!)'!$B$18:$N$28,AH$2+1,FALSE)&lt;&gt;100%,V17-VLOOKUP($A17,'User Interface (Start Here!)'!$B$18:$N$28,AH$2+1,FALSE)/'User Interface (Start Here!)'!$L$35*$M17*V17,V17-VLOOKUP($A17,'User Interface (Start Here!)'!$B$18:$N$28,AH$2+1,FALSE)*$M17*V17))</f>
        <v>0.11612704209159046</v>
      </c>
      <c r="AI17" s="83">
        <f>IF($L17&lt;&gt;1,W17,IF(VLOOKUP($A17,'User Interface (Start Here!)'!$B$18:$N$28,AI$2+1,FALSE)&lt;&gt;100%,W17-VLOOKUP($A17,'User Interface (Start Here!)'!$B$18:$N$28,AI$2+1,FALSE)/'User Interface (Start Here!)'!$L$35*$M17*W17,W17-VLOOKUP($A17,'User Interface (Start Here!)'!$B$18:$N$28,AI$2+1,FALSE)*$M17*W17))</f>
        <v>7.3370128530860917E-2</v>
      </c>
      <c r="AJ17" s="83">
        <f>IF($L17&lt;&gt;1,X17,IF(VLOOKUP($A17,'User Interface (Start Here!)'!$B$18:$N$28,AJ$2+1,FALSE)&lt;&gt;100%,X17-VLOOKUP($A17,'User Interface (Start Here!)'!$B$18:$N$28,AJ$2+1,FALSE)/'User Interface (Start Here!)'!$L$35*$M17*X17,X17-VLOOKUP($A17,'User Interface (Start Here!)'!$B$18:$N$28,AJ$2+1,FALSE)*$M17*X17))</f>
        <v>0.26624317372415796</v>
      </c>
      <c r="AK17" s="83">
        <f>IF($L17&lt;&gt;1,Y17,IF(VLOOKUP($A17,'User Interface (Start Here!)'!$B$18:$N$28,AK$2+1,FALSE)&lt;&gt;100%,Y17-VLOOKUP($A17,'User Interface (Start Here!)'!$B$18:$N$28,AK$2+1,FALSE)/'User Interface (Start Here!)'!$L$35*$M17*Y17,Y17-VLOOKUP($A17,'User Interface (Start Here!)'!$B$18:$N$28,AK$2+1,FALSE)*$M17*Y17))</f>
        <v>0.34093349236767329</v>
      </c>
      <c r="AL17" s="82">
        <f t="shared" si="7"/>
        <v>2.2591135790084347</v>
      </c>
      <c r="AR17" t="s">
        <v>116</v>
      </c>
      <c r="AS17">
        <f>0.5*AS9</f>
        <v>0</v>
      </c>
      <c r="AT17">
        <f>AS17</f>
        <v>0</v>
      </c>
      <c r="AU17">
        <f>0.5*AT9</f>
        <v>3368</v>
      </c>
      <c r="AV17">
        <f>AU17</f>
        <v>3368</v>
      </c>
      <c r="AW17">
        <f>0.5*AU9</f>
        <v>17080</v>
      </c>
      <c r="AX17">
        <f>AW17</f>
        <v>17080</v>
      </c>
      <c r="AY17">
        <f>0.5*AV9</f>
        <v>23098</v>
      </c>
      <c r="AZ17">
        <f>AY17</f>
        <v>23098</v>
      </c>
      <c r="BA17">
        <f>0.5*AW9</f>
        <v>2994</v>
      </c>
      <c r="BB17">
        <f>BA17</f>
        <v>2994</v>
      </c>
      <c r="BC17">
        <f>0.5*AX9</f>
        <v>562.5</v>
      </c>
      <c r="BD17">
        <f>BC17</f>
        <v>562.5</v>
      </c>
      <c r="BE17">
        <f>SUM(AS17:BD17)</f>
        <v>94205</v>
      </c>
    </row>
    <row r="18" spans="1:57" ht="15.6">
      <c r="A18" s="71">
        <v>3179</v>
      </c>
      <c r="B18" s="59" t="s">
        <v>101</v>
      </c>
      <c r="C18" s="105">
        <v>714.9375</v>
      </c>
      <c r="D18" s="106">
        <v>1072.6634610143253</v>
      </c>
      <c r="E18" s="107">
        <f t="shared" si="4"/>
        <v>1144.0028844057301</v>
      </c>
      <c r="F18" s="100">
        <v>1564.6028611405957</v>
      </c>
      <c r="G18" s="100">
        <v>395.04988502806896</v>
      </c>
      <c r="H18" s="100">
        <v>1719.878354925185</v>
      </c>
      <c r="I18" s="101">
        <f t="shared" si="5"/>
        <v>1787.6009610143253</v>
      </c>
      <c r="J18" s="65">
        <f t="shared" si="6"/>
        <v>1.5646028611405958</v>
      </c>
      <c r="K18" s="84">
        <f>(J18)*'User Interface (Start Here!)'!$L$8</f>
        <v>0.6258411444562384</v>
      </c>
      <c r="L18" s="2">
        <f>IF(VLOOKUP(A18,'User Interface (Start Here!)'!$DO$2:$DP$73,2,FALSE)&lt;&gt;0,1,0)</f>
        <v>1</v>
      </c>
      <c r="M18" s="41">
        <f>IF(AND(L18=1,ISBLANK('User Interface (Start Here!)'!$L$14),ISBLANK('User Interface (Start Here!)'!$M$14),ISBLANK('User Interface (Start Here!)'!$N$14)),100%*'User Interface (Start Here!)'!$L$30,IF(L18=1,VLOOKUP(A18,'Bathymetric Closures'!$A$2:$C$57,3,FALSE)*'User Interface (Start Here!)'!$L$30,0%))</f>
        <v>0.92134501698042015</v>
      </c>
      <c r="N18" s="79">
        <f t="shared" si="1"/>
        <v>0</v>
      </c>
      <c r="O18" s="79">
        <f t="shared" si="2"/>
        <v>1.5141318011038025E-2</v>
      </c>
      <c r="P18" s="79">
        <f t="shared" si="2"/>
        <v>3.0036435729213645E-2</v>
      </c>
      <c r="Q18" s="79">
        <f t="shared" si="2"/>
        <v>6.3088825045991767E-2</v>
      </c>
      <c r="R18" s="79">
        <f t="shared" si="2"/>
        <v>0.16181514248381695</v>
      </c>
      <c r="S18" s="79">
        <f t="shared" si="2"/>
        <v>8.1369196791025486E-2</v>
      </c>
      <c r="T18" s="79">
        <f t="shared" si="2"/>
        <v>7.4783338956956102E-2</v>
      </c>
      <c r="U18" s="79">
        <f t="shared" si="2"/>
        <v>3.9576697077631909E-2</v>
      </c>
      <c r="V18" s="79">
        <f t="shared" si="2"/>
        <v>4.4192952568802048E-2</v>
      </c>
      <c r="W18" s="79">
        <f t="shared" si="2"/>
        <v>5.988822123878048E-2</v>
      </c>
      <c r="X18" s="79">
        <f t="shared" si="2"/>
        <v>3.6622293563283032E-2</v>
      </c>
      <c r="Y18" s="79">
        <f t="shared" si="2"/>
        <v>1.9326722989698942E-2</v>
      </c>
      <c r="Z18" s="81">
        <f>IF($L18&lt;&gt;1,N18,IF(VLOOKUP($A18,'User Interface (Start Here!)'!$B$18:$N$28,Z$2+1,FALSE)&lt;&gt;100%,N18-VLOOKUP($A18,'User Interface (Start Here!)'!$B$18:$N$28,Z$2+1,FALSE)/'User Interface (Start Here!)'!$L$35*$M18*N18,N18-VLOOKUP($A18,'User Interface (Start Here!)'!$B$18:$N$28,Z$2+1,FALSE)*$M18*N18))</f>
        <v>0</v>
      </c>
      <c r="AA18" s="81">
        <f>IF($L18&lt;&gt;1,O18,IF(VLOOKUP($A18,'User Interface (Start Here!)'!$B$18:$N$28,AA$2+1,FALSE)&lt;&gt;100%,O18-VLOOKUP($A18,'User Interface (Start Here!)'!$B$18:$N$28,AA$2+1,FALSE)/'User Interface (Start Here!)'!$L$35*$M18*O18,O18-VLOOKUP($A18,'User Interface (Start Here!)'!$B$18:$N$28,AA$2+1,FALSE)*$M18*O18))</f>
        <v>1.1909401110522539E-3</v>
      </c>
      <c r="AB18" s="81">
        <f>IF($L18&lt;&gt;1,P18,IF(VLOOKUP($A18,'User Interface (Start Here!)'!$B$18:$N$28,AB$2+1,FALSE)&lt;&gt;100%,P18-VLOOKUP($A18,'User Interface (Start Here!)'!$B$18:$N$28,AB$2+1,FALSE)/'User Interface (Start Here!)'!$L$35*$M18*P18,P18-VLOOKUP($A18,'User Interface (Start Here!)'!$B$18:$N$28,AB$2+1,FALSE)*$M18*P18))</f>
        <v>2.3625153422500017E-3</v>
      </c>
      <c r="AC18" s="81">
        <f>IF($L18&lt;&gt;1,Q18,IF(VLOOKUP($A18,'User Interface (Start Here!)'!$B$18:$N$28,AC$2+1,FALSE)&lt;&gt;100%,Q18-VLOOKUP($A18,'User Interface (Start Here!)'!$B$18:$N$28,AC$2+1,FALSE)/'User Interface (Start Here!)'!$L$35*$M18*Q18,Q18-VLOOKUP($A18,'User Interface (Start Here!)'!$B$18:$N$28,AC$2+1,FALSE)*$M18*Q18))</f>
        <v>4.9622504627177266E-3</v>
      </c>
      <c r="AD18" s="81">
        <f>IF($L18&lt;&gt;1,R18,IF(VLOOKUP($A18,'User Interface (Start Here!)'!$B$18:$N$28,AD$2+1,FALSE)&lt;&gt;100%,R18-VLOOKUP($A18,'User Interface (Start Here!)'!$B$18:$N$28,AD$2+1,FALSE)/'User Interface (Start Here!)'!$L$35*$M18*R18,R18-VLOOKUP($A18,'User Interface (Start Here!)'!$B$18:$N$28,AD$2+1,FALSE)*$M18*R18))</f>
        <v>1.2727567284375518E-2</v>
      </c>
      <c r="AE18" s="81">
        <f>IF($L18&lt;&gt;1,S18,IF(VLOOKUP($A18,'User Interface (Start Here!)'!$B$18:$N$28,AE$2+1,FALSE)&lt;&gt;100%,S18-VLOOKUP($A18,'User Interface (Start Here!)'!$B$18:$N$28,AE$2+1,FALSE)/'User Interface (Start Here!)'!$L$35*$M18*S18,S18-VLOOKUP($A18,'User Interface (Start Here!)'!$B$18:$N$28,AE$2+1,FALSE)*$M18*S18))</f>
        <v>6.4000927919149603E-3</v>
      </c>
      <c r="AF18" s="81">
        <f>IF($L18&lt;&gt;1,T18,IF(VLOOKUP($A18,'User Interface (Start Here!)'!$B$18:$N$28,AF$2+1,FALSE)&lt;&gt;100%,T18-VLOOKUP($A18,'User Interface (Start Here!)'!$B$18:$N$28,AF$2+1,FALSE)/'User Interface (Start Here!)'!$L$35*$M18*T18,T18-VLOOKUP($A18,'User Interface (Start Here!)'!$B$18:$N$28,AF$2+1,FALSE)*$M18*T18))</f>
        <v>5.8820822558068725E-3</v>
      </c>
      <c r="AG18" s="81">
        <f>IF($L18&lt;&gt;1,U18,IF(VLOOKUP($A18,'User Interface (Start Here!)'!$B$18:$N$28,AG$2+1,FALSE)&lt;&gt;100%,U18-VLOOKUP($A18,'User Interface (Start Here!)'!$B$18:$N$28,AG$2+1,FALSE)/'User Interface (Start Here!)'!$L$35*$M18*U18,U18-VLOOKUP($A18,'User Interface (Start Here!)'!$B$18:$N$28,AG$2+1,FALSE)*$M18*U18))</f>
        <v>3.1129044366121905E-3</v>
      </c>
      <c r="AH18" s="81">
        <f>IF($L18&lt;&gt;1,V18,IF(VLOOKUP($A18,'User Interface (Start Here!)'!$B$18:$N$28,AH$2+1,FALSE)&lt;&gt;100%,V18-VLOOKUP($A18,'User Interface (Start Here!)'!$B$18:$N$28,AH$2+1,FALSE)/'User Interface (Start Here!)'!$L$35*$M18*V18,V18-VLOOKUP($A18,'User Interface (Start Here!)'!$B$18:$N$28,AH$2+1,FALSE)*$M18*V18))</f>
        <v>3.4759959338842225E-3</v>
      </c>
      <c r="AI18" s="83">
        <f>IF($L18&lt;&gt;1,W18,IF(VLOOKUP($A18,'User Interface (Start Here!)'!$B$18:$N$28,AI$2+1,FALSE)&lt;&gt;100%,W18-VLOOKUP($A18,'User Interface (Start Here!)'!$B$18:$N$28,AI$2+1,FALSE)/'User Interface (Start Here!)'!$L$35*$M18*W18,W18-VLOOKUP($A18,'User Interface (Start Here!)'!$B$18:$N$28,AI$2+1,FALSE)*$M18*W18))</f>
        <v>4.710507024609123E-3</v>
      </c>
      <c r="AJ18" s="83">
        <f>IF($L18&lt;&gt;1,X18,IF(VLOOKUP($A18,'User Interface (Start Here!)'!$B$18:$N$28,AJ$2+1,FALSE)&lt;&gt;100%,X18-VLOOKUP($A18,'User Interface (Start Here!)'!$B$18:$N$28,AJ$2+1,FALSE)/'User Interface (Start Here!)'!$L$35*$M18*X18,X18-VLOOKUP($A18,'User Interface (Start Here!)'!$B$18:$N$28,AJ$2+1,FALSE)*$M18*X18))</f>
        <v>2.8805258783580964E-3</v>
      </c>
      <c r="AK18" s="83">
        <f>IF($L18&lt;&gt;1,Y18,IF(VLOOKUP($A18,'User Interface (Start Here!)'!$B$18:$N$28,AK$2+1,FALSE)&lt;&gt;100%,Y18-VLOOKUP($A18,'User Interface (Start Here!)'!$B$18:$N$28,AK$2+1,FALSE)/'User Interface (Start Here!)'!$L$35*$M18*Y18,Y18-VLOOKUP($A18,'User Interface (Start Here!)'!$B$18:$N$28,AK$2+1,FALSE)*$M18*Y18))</f>
        <v>1.5201430685788941E-3</v>
      </c>
      <c r="AL18" s="82">
        <f t="shared" si="7"/>
        <v>4.9225524590159858E-2</v>
      </c>
      <c r="AR18" t="s">
        <v>117</v>
      </c>
      <c r="AS18">
        <f>0.5*AS10</f>
        <v>0</v>
      </c>
      <c r="AT18">
        <f>AS18</f>
        <v>0</v>
      </c>
      <c r="AU18">
        <f>0.5*AT10</f>
        <v>478.5</v>
      </c>
      <c r="AV18">
        <f>AU18</f>
        <v>478.5</v>
      </c>
      <c r="AW18">
        <f>0.5*AU10</f>
        <v>3140.5</v>
      </c>
      <c r="AX18">
        <f>AW18</f>
        <v>3140.5</v>
      </c>
      <c r="AY18">
        <f>0.5*AV10</f>
        <v>737</v>
      </c>
      <c r="AZ18">
        <f>AY18</f>
        <v>737</v>
      </c>
      <c r="BA18">
        <f>0.5*AW10</f>
        <v>438.5</v>
      </c>
      <c r="BB18">
        <f>BA18</f>
        <v>438.5</v>
      </c>
      <c r="BC18">
        <f>0.5*AX10</f>
        <v>83</v>
      </c>
      <c r="BD18">
        <f>BC18</f>
        <v>83</v>
      </c>
      <c r="BE18">
        <f>SUM(AS18:BD18)</f>
        <v>9755</v>
      </c>
    </row>
    <row r="19" spans="1:57" ht="15.6">
      <c r="A19" s="71">
        <v>3180</v>
      </c>
      <c r="B19" s="59" t="s">
        <v>101</v>
      </c>
      <c r="C19" s="105">
        <v>2462.5625</v>
      </c>
      <c r="D19" s="106">
        <v>3694.7296990493428</v>
      </c>
      <c r="E19" s="107">
        <f t="shared" si="4"/>
        <v>3940.4543796197372</v>
      </c>
      <c r="F19" s="100">
        <v>5389.1876328176077</v>
      </c>
      <c r="G19" s="100">
        <v>308.31418962378575</v>
      </c>
      <c r="H19" s="100">
        <v>5924.025444742304</v>
      </c>
      <c r="I19" s="101">
        <f t="shared" si="5"/>
        <v>6157.2921990493433</v>
      </c>
      <c r="J19" s="65">
        <f t="shared" si="6"/>
        <v>5.3891876328176078</v>
      </c>
      <c r="K19" s="84">
        <f>(J19)*'User Interface (Start Here!)'!$L$8</f>
        <v>2.1556750531270432</v>
      </c>
      <c r="L19" s="2">
        <f>IF(VLOOKUP(A19,'User Interface (Start Here!)'!$DO$2:$DP$73,2,FALSE)&lt;&gt;0,1,0)</f>
        <v>1</v>
      </c>
      <c r="M19" s="41">
        <f>IF(AND(L19=1,ISBLANK('User Interface (Start Here!)'!$L$14),ISBLANK('User Interface (Start Here!)'!$M$14),ISBLANK('User Interface (Start Here!)'!$N$14)),100%*'User Interface (Start Here!)'!$L$30,IF(L19=1,VLOOKUP(A19,'Bathymetric Closures'!$A$2:$C$57,3,FALSE)*'User Interface (Start Here!)'!$L$30,0%))</f>
        <v>0.96642860025017152</v>
      </c>
      <c r="N19" s="79">
        <f t="shared" si="1"/>
        <v>0</v>
      </c>
      <c r="O19" s="79">
        <f t="shared" ref="O19:Y19" si="8">$K19*VLOOKUP($A19,$AR$24:$BD$50,O$2+1,FALSE)</f>
        <v>5.2153428704686526E-2</v>
      </c>
      <c r="P19" s="79">
        <f t="shared" si="8"/>
        <v>0.10345883417840256</v>
      </c>
      <c r="Q19" s="79">
        <f t="shared" si="8"/>
        <v>0.21730595293619387</v>
      </c>
      <c r="R19" s="79">
        <f t="shared" si="8"/>
        <v>0.55736326855536944</v>
      </c>
      <c r="S19" s="79">
        <f t="shared" si="8"/>
        <v>0.28027167783575441</v>
      </c>
      <c r="T19" s="79">
        <f t="shared" si="8"/>
        <v>0.25758705640729324</v>
      </c>
      <c r="U19" s="79">
        <f t="shared" si="8"/>
        <v>0.13631973437850992</v>
      </c>
      <c r="V19" s="79">
        <f t="shared" si="8"/>
        <v>0.15222016995920704</v>
      </c>
      <c r="W19" s="79">
        <f t="shared" si="8"/>
        <v>0.2062816509335772</v>
      </c>
      <c r="X19" s="79">
        <f t="shared" si="8"/>
        <v>0.12614345560686377</v>
      </c>
      <c r="Y19" s="79">
        <f t="shared" si="8"/>
        <v>6.6569823631185243E-2</v>
      </c>
      <c r="Z19" s="81">
        <f>IF($L19&lt;&gt;1,N19,IF(VLOOKUP($A19,'User Interface (Start Here!)'!$B$18:$N$28,Z$2+1,FALSE)&lt;&gt;100%,N19-VLOOKUP($A19,'User Interface (Start Here!)'!$B$18:$N$28,Z$2+1,FALSE)/'User Interface (Start Here!)'!$L$35*$M19*N19,N19-VLOOKUP($A19,'User Interface (Start Here!)'!$B$18:$N$28,Z$2+1,FALSE)*$M19*N19))</f>
        <v>0</v>
      </c>
      <c r="AA19" s="81">
        <f>IF($L19&lt;&gt;1,O19,IF(VLOOKUP($A19,'User Interface (Start Here!)'!$B$18:$N$28,AA$2+1,FALSE)&lt;&gt;100%,O19-VLOOKUP($A19,'User Interface (Start Here!)'!$B$18:$N$28,AA$2+1,FALSE)/'User Interface (Start Here!)'!$L$35*$M19*O19,O19-VLOOKUP($A19,'User Interface (Start Here!)'!$B$18:$N$28,AA$2+1,FALSE)*$M19*O19))</f>
        <v>1.750863603369214E-3</v>
      </c>
      <c r="AB19" s="81">
        <f>IF($L19&lt;&gt;1,P19,IF(VLOOKUP($A19,'User Interface (Start Here!)'!$B$18:$N$28,AB$2+1,FALSE)&lt;&gt;100%,P19-VLOOKUP($A19,'User Interface (Start Here!)'!$B$18:$N$28,AB$2+1,FALSE)/'User Interface (Start Here!)'!$L$35*$M19*P19,P19-VLOOKUP($A19,'User Interface (Start Here!)'!$B$18:$N$28,AB$2+1,FALSE)*$M19*P19))</f>
        <v>3.4732578798543634E-3</v>
      </c>
      <c r="AC19" s="81">
        <f>IF($L19&lt;&gt;1,Q19,IF(VLOOKUP($A19,'User Interface (Start Here!)'!$B$18:$N$28,AC$2+1,FALSE)&lt;&gt;100%,Q19-VLOOKUP($A19,'User Interface (Start Here!)'!$B$18:$N$28,AC$2+1,FALSE)/'User Interface (Start Here!)'!$L$35*$M19*Q19,Q19-VLOOKUP($A19,'User Interface (Start Here!)'!$B$18:$N$28,AC$2+1,FALSE)*$M19*Q19))</f>
        <v>7.2952650140383768E-3</v>
      </c>
      <c r="AD19" s="81">
        <f>IF($L19&lt;&gt;1,R19,IF(VLOOKUP($A19,'User Interface (Start Here!)'!$B$18:$N$28,AD$2+1,FALSE)&lt;&gt;100%,R19-VLOOKUP($A19,'User Interface (Start Here!)'!$B$18:$N$28,AD$2+1,FALSE)/'User Interface (Start Here!)'!$L$35*$M19*R19,R19-VLOOKUP($A19,'User Interface (Start Here!)'!$B$18:$N$28,AD$2+1,FALSE)*$M19*R19))</f>
        <v>1.8711465094543356E-2</v>
      </c>
      <c r="AE19" s="81">
        <f>IF($L19&lt;&gt;1,S19,IF(VLOOKUP($A19,'User Interface (Start Here!)'!$B$18:$N$28,AE$2+1,FALSE)&lt;&gt;100%,S19-VLOOKUP($A19,'User Interface (Start Here!)'!$B$18:$N$28,AE$2+1,FALSE)/'User Interface (Start Here!)'!$L$35*$M19*S19,S19-VLOOKUP($A19,'User Interface (Start Here!)'!$B$18:$N$28,AE$2+1,FALSE)*$M19*S19))</f>
        <v>9.4091125351792315E-3</v>
      </c>
      <c r="AF19" s="81">
        <f>IF($L19&lt;&gt;1,T19,IF(VLOOKUP($A19,'User Interface (Start Here!)'!$B$18:$N$28,AF$2+1,FALSE)&lt;&gt;100%,T19-VLOOKUP($A19,'User Interface (Start Here!)'!$B$18:$N$28,AF$2+1,FALSE)/'User Interface (Start Here!)'!$L$35*$M19*T19,T19-VLOOKUP($A19,'User Interface (Start Here!)'!$B$18:$N$28,AF$2+1,FALSE)*$M19*T19))</f>
        <v>8.647558041030845E-3</v>
      </c>
      <c r="AG19" s="81">
        <f>IF($L19&lt;&gt;1,U19,IF(VLOOKUP($A19,'User Interface (Start Here!)'!$B$18:$N$28,AG$2+1,FALSE)&lt;&gt;100%,U19-VLOOKUP($A19,'User Interface (Start Here!)'!$B$18:$N$28,AG$2+1,FALSE)/'User Interface (Start Here!)'!$L$35*$M19*U19,U19-VLOOKUP($A19,'User Interface (Start Here!)'!$B$18:$N$28,AG$2+1,FALSE)*$M19*U19))</f>
        <v>4.5764442966113872E-3</v>
      </c>
      <c r="AH19" s="81">
        <f>IF($L19&lt;&gt;1,V19,IF(VLOOKUP($A19,'User Interface (Start Here!)'!$B$18:$N$28,AH$2+1,FALSE)&lt;&gt;100%,V19-VLOOKUP($A19,'User Interface (Start Here!)'!$B$18:$N$28,AH$2+1,FALSE)/'User Interface (Start Here!)'!$L$35*$M19*V19,V19-VLOOKUP($A19,'User Interface (Start Here!)'!$B$18:$N$28,AH$2+1,FALSE)*$M19*V19))</f>
        <v>5.1102441756873673E-3</v>
      </c>
      <c r="AI19" s="83">
        <f>IF($L19&lt;&gt;1,W19,IF(VLOOKUP($A19,'User Interface (Start Here!)'!$B$18:$N$28,AI$2+1,FALSE)&lt;&gt;100%,W19-VLOOKUP($A19,'User Interface (Start Here!)'!$B$18:$N$28,AI$2+1,FALSE)/'User Interface (Start Here!)'!$L$35*$M19*W19,W19-VLOOKUP($A19,'User Interface (Start Here!)'!$B$18:$N$28,AI$2+1,FALSE)*$M19*W19))</f>
        <v>6.9251637645456887E-3</v>
      </c>
      <c r="AJ19" s="83">
        <f>IF($L19&lt;&gt;1,X19,IF(VLOOKUP($A19,'User Interface (Start Here!)'!$B$18:$N$28,AJ$2+1,FALSE)&lt;&gt;100%,X19-VLOOKUP($A19,'User Interface (Start Here!)'!$B$18:$N$28,AJ$2+1,FALSE)/'User Interface (Start Here!)'!$L$35*$M19*X19,X19-VLOOKUP($A19,'User Interface (Start Here!)'!$B$18:$N$28,AJ$2+1,FALSE)*$M19*X19))</f>
        <v>4.2348123740027638E-3</v>
      </c>
      <c r="AK19" s="83">
        <f>IF($L19&lt;&gt;1,Y19,IF(VLOOKUP($A19,'User Interface (Start Here!)'!$B$18:$N$28,AK$2+1,FALSE)&lt;&gt;100%,Y19-VLOOKUP($A19,'User Interface (Start Here!)'!$B$18:$N$28,AK$2+1,FALSE)/'User Interface (Start Here!)'!$L$35*$M19*Y19,Y19-VLOOKUP($A19,'User Interface (Start Here!)'!$B$18:$N$28,AK$2+1,FALSE)*$M19*Y19))</f>
        <v>2.2348421603980984E-3</v>
      </c>
      <c r="AL19" s="82">
        <f t="shared" si="7"/>
        <v>7.2369028939260685E-2</v>
      </c>
      <c r="AR19" t="s">
        <v>118</v>
      </c>
      <c r="AS19">
        <f>0.5*AS11</f>
        <v>0</v>
      </c>
      <c r="AT19">
        <f>AS19</f>
        <v>0</v>
      </c>
      <c r="AU19">
        <f>0.5*AT11</f>
        <v>833</v>
      </c>
      <c r="AV19">
        <f>AU19</f>
        <v>833</v>
      </c>
      <c r="AW19">
        <f>0.5*AU11</f>
        <v>2281</v>
      </c>
      <c r="AX19">
        <f>AW19</f>
        <v>2281</v>
      </c>
      <c r="AY19">
        <f>0.5*AV11</f>
        <v>4849</v>
      </c>
      <c r="AZ19">
        <f>AY19</f>
        <v>4849</v>
      </c>
      <c r="BA19">
        <f>0.5*AW11</f>
        <v>545.5</v>
      </c>
      <c r="BB19">
        <f>BA19</f>
        <v>545.5</v>
      </c>
      <c r="BC19">
        <f>0.5*AX11</f>
        <v>1517</v>
      </c>
      <c r="BD19">
        <f>BC19</f>
        <v>1517</v>
      </c>
      <c r="BE19">
        <f>SUM(AS19:BD19)</f>
        <v>20051</v>
      </c>
    </row>
    <row r="20" spans="1:57" ht="15.6">
      <c r="A20" s="72">
        <v>3277</v>
      </c>
      <c r="B20" s="60" t="s">
        <v>16</v>
      </c>
      <c r="C20" s="108">
        <v>16.333333333333332</v>
      </c>
      <c r="D20" s="109">
        <v>24.505876196498267</v>
      </c>
      <c r="E20" s="110">
        <f t="shared" si="4"/>
        <v>26.13568381193264</v>
      </c>
      <c r="F20" s="100">
        <v>40.604271710634677</v>
      </c>
      <c r="G20" s="100">
        <v>179.22048540521249</v>
      </c>
      <c r="H20" s="100">
        <v>39.292031070937007</v>
      </c>
      <c r="I20" s="101">
        <f t="shared" si="5"/>
        <v>40.839209529831599</v>
      </c>
      <c r="J20" s="65">
        <f t="shared" si="6"/>
        <v>4.060427171063468E-2</v>
      </c>
      <c r="K20" s="84">
        <f>(J20)*'User Interface (Start Here!)'!$L$8</f>
        <v>1.6241708684253873E-2</v>
      </c>
      <c r="L20" s="2">
        <f>IF(VLOOKUP(A20,'User Interface (Start Here!)'!$DO$2:$DP$73,2,FALSE)&lt;&gt;0,1,0)</f>
        <v>0</v>
      </c>
      <c r="M20" s="41">
        <f>IF(AND(L20=1,ISBLANK('User Interface (Start Here!)'!$L$14),ISBLANK('User Interface (Start Here!)'!$M$14),ISBLANK('User Interface (Start Here!)'!$N$14)),100%*'User Interface (Start Here!)'!$L$30,IF(L20=1,VLOOKUP(A20,'Bathymetric Closures'!$A$2:$C$57,3,FALSE)*'User Interface (Start Here!)'!$L$30,0%))</f>
        <v>0</v>
      </c>
      <c r="N20" s="79">
        <f t="shared" ref="N20:Y29" si="9">$K20*VLOOKUP($A20,$AR$24:$BD$50,N$2+1,FALSE)</f>
        <v>0</v>
      </c>
      <c r="O20" s="79">
        <f t="shared" si="9"/>
        <v>0</v>
      </c>
      <c r="P20" s="79">
        <f t="shared" si="9"/>
        <v>2.8177189185401414E-4</v>
      </c>
      <c r="Q20" s="79">
        <f t="shared" si="9"/>
        <v>1.7908359448837192E-3</v>
      </c>
      <c r="R20" s="79">
        <f t="shared" si="9"/>
        <v>2.1436931468407218E-3</v>
      </c>
      <c r="S20" s="79">
        <f t="shared" si="9"/>
        <v>1.7017651948751553E-3</v>
      </c>
      <c r="T20" s="79">
        <f t="shared" si="9"/>
        <v>1.8636341540253338E-3</v>
      </c>
      <c r="U20" s="79">
        <f t="shared" si="9"/>
        <v>5.3862110269601669E-3</v>
      </c>
      <c r="V20" s="79">
        <f t="shared" si="9"/>
        <v>1.1579197501113286E-3</v>
      </c>
      <c r="W20" s="79">
        <f t="shared" si="9"/>
        <v>9.9176854336458474E-4</v>
      </c>
      <c r="X20" s="79">
        <f t="shared" si="9"/>
        <v>8.1191414430883111E-4</v>
      </c>
      <c r="Y20" s="79">
        <f t="shared" si="9"/>
        <v>1.1219488703001779E-4</v>
      </c>
      <c r="Z20" s="81">
        <f>IF($L20&lt;&gt;1,N20,IF(VLOOKUP($A20,'User Interface (Start Here!)'!$B$18:$N$28,Z$2+1,FALSE)&lt;&gt;100%,N20-VLOOKUP($A20,'User Interface (Start Here!)'!$B$18:$N$28,Z$2+1,FALSE)/'User Interface (Start Here!)'!$L$35*$M20*N20,N20-VLOOKUP($A20,'User Interface (Start Here!)'!$B$18:$N$28,Z$2+1,FALSE)*$M20*N20))</f>
        <v>0</v>
      </c>
      <c r="AA20" s="81">
        <f>IF($L20&lt;&gt;1,O20,IF(VLOOKUP($A20,'User Interface (Start Here!)'!$B$18:$N$28,AA$2+1,FALSE)&lt;&gt;100%,O20-VLOOKUP($A20,'User Interface (Start Here!)'!$B$18:$N$28,AA$2+1,FALSE)/'User Interface (Start Here!)'!$L$35*$M20*O20,O20-VLOOKUP($A20,'User Interface (Start Here!)'!$B$18:$N$28,AA$2+1,FALSE)*$M20*O20))</f>
        <v>0</v>
      </c>
      <c r="AB20" s="81">
        <f>IF($L20&lt;&gt;1,P20,IF(VLOOKUP($A20,'User Interface (Start Here!)'!$B$18:$N$28,AB$2+1,FALSE)&lt;&gt;100%,P20-VLOOKUP($A20,'User Interface (Start Here!)'!$B$18:$N$28,AB$2+1,FALSE)/'User Interface (Start Here!)'!$L$35*$M20*P20,P20-VLOOKUP($A20,'User Interface (Start Here!)'!$B$18:$N$28,AB$2+1,FALSE)*$M20*P20))</f>
        <v>2.8177189185401414E-4</v>
      </c>
      <c r="AC20" s="81">
        <f>IF($L20&lt;&gt;1,Q20,IF(VLOOKUP($A20,'User Interface (Start Here!)'!$B$18:$N$28,AC$2+1,FALSE)&lt;&gt;100%,Q20-VLOOKUP($A20,'User Interface (Start Here!)'!$B$18:$N$28,AC$2+1,FALSE)/'User Interface (Start Here!)'!$L$35*$M20*Q20,Q20-VLOOKUP($A20,'User Interface (Start Here!)'!$B$18:$N$28,AC$2+1,FALSE)*$M20*Q20))</f>
        <v>1.7908359448837192E-3</v>
      </c>
      <c r="AD20" s="81">
        <f>IF($L20&lt;&gt;1,R20,IF(VLOOKUP($A20,'User Interface (Start Here!)'!$B$18:$N$28,AD$2+1,FALSE)&lt;&gt;100%,R20-VLOOKUP($A20,'User Interface (Start Here!)'!$B$18:$N$28,AD$2+1,FALSE)/'User Interface (Start Here!)'!$L$35*$M20*R20,R20-VLOOKUP($A20,'User Interface (Start Here!)'!$B$18:$N$28,AD$2+1,FALSE)*$M20*R20))</f>
        <v>2.1436931468407218E-3</v>
      </c>
      <c r="AE20" s="81">
        <f>IF($L20&lt;&gt;1,S20,IF(VLOOKUP($A20,'User Interface (Start Here!)'!$B$18:$N$28,AE$2+1,FALSE)&lt;&gt;100%,S20-VLOOKUP($A20,'User Interface (Start Here!)'!$B$18:$N$28,AE$2+1,FALSE)/'User Interface (Start Here!)'!$L$35*$M20*S20,S20-VLOOKUP($A20,'User Interface (Start Here!)'!$B$18:$N$28,AE$2+1,FALSE)*$M20*S20))</f>
        <v>1.7017651948751553E-3</v>
      </c>
      <c r="AF20" s="81">
        <f>IF($L20&lt;&gt;1,T20,IF(VLOOKUP($A20,'User Interface (Start Here!)'!$B$18:$N$28,AF$2+1,FALSE)&lt;&gt;100%,T20-VLOOKUP($A20,'User Interface (Start Here!)'!$B$18:$N$28,AF$2+1,FALSE)/'User Interface (Start Here!)'!$L$35*$M20*T20,T20-VLOOKUP($A20,'User Interface (Start Here!)'!$B$18:$N$28,AF$2+1,FALSE)*$M20*T20))</f>
        <v>1.8636341540253338E-3</v>
      </c>
      <c r="AG20" s="81">
        <f>IF($L20&lt;&gt;1,U20,IF(VLOOKUP($A20,'User Interface (Start Here!)'!$B$18:$N$28,AG$2+1,FALSE)&lt;&gt;100%,U20-VLOOKUP($A20,'User Interface (Start Here!)'!$B$18:$N$28,AG$2+1,FALSE)/'User Interface (Start Here!)'!$L$35*$M20*U20,U20-VLOOKUP($A20,'User Interface (Start Here!)'!$B$18:$N$28,AG$2+1,FALSE)*$M20*U20))</f>
        <v>5.3862110269601669E-3</v>
      </c>
      <c r="AH20" s="81">
        <f>IF($L20&lt;&gt;1,V20,IF(VLOOKUP($A20,'User Interface (Start Here!)'!$B$18:$N$28,AH$2+1,FALSE)&lt;&gt;100%,V20-VLOOKUP($A20,'User Interface (Start Here!)'!$B$18:$N$28,AH$2+1,FALSE)/'User Interface (Start Here!)'!$L$35*$M20*V20,V20-VLOOKUP($A20,'User Interface (Start Here!)'!$B$18:$N$28,AH$2+1,FALSE)*$M20*V20))</f>
        <v>1.1579197501113286E-3</v>
      </c>
      <c r="AI20" s="83">
        <f>IF($L20&lt;&gt;1,W20,IF(VLOOKUP($A20,'User Interface (Start Here!)'!$B$18:$N$28,AI$2+1,FALSE)&lt;&gt;100%,W20-VLOOKUP($A20,'User Interface (Start Here!)'!$B$18:$N$28,AI$2+1,FALSE)/'User Interface (Start Here!)'!$L$35*$M20*W20,W20-VLOOKUP($A20,'User Interface (Start Here!)'!$B$18:$N$28,AI$2+1,FALSE)*$M20*W20))</f>
        <v>9.9176854336458474E-4</v>
      </c>
      <c r="AJ20" s="83">
        <f>IF($L20&lt;&gt;1,X20,IF(VLOOKUP($A20,'User Interface (Start Here!)'!$B$18:$N$28,AJ$2+1,FALSE)&lt;&gt;100%,X20-VLOOKUP($A20,'User Interface (Start Here!)'!$B$18:$N$28,AJ$2+1,FALSE)/'User Interface (Start Here!)'!$L$35*$M20*X20,X20-VLOOKUP($A20,'User Interface (Start Here!)'!$B$18:$N$28,AJ$2+1,FALSE)*$M20*X20))</f>
        <v>8.1191414430883111E-4</v>
      </c>
      <c r="AK20" s="83">
        <f>IF($L20&lt;&gt;1,Y20,IF(VLOOKUP($A20,'User Interface (Start Here!)'!$B$18:$N$28,AK$2+1,FALSE)&lt;&gt;100%,Y20-VLOOKUP($A20,'User Interface (Start Here!)'!$B$18:$N$28,AK$2+1,FALSE)/'User Interface (Start Here!)'!$L$35*$M20*Y20,Y20-VLOOKUP($A20,'User Interface (Start Here!)'!$B$18:$N$28,AK$2+1,FALSE)*$M20*Y20))</f>
        <v>1.1219488703001779E-4</v>
      </c>
      <c r="AL20" s="82">
        <f t="shared" si="7"/>
        <v>1.6241708684253876E-2</v>
      </c>
      <c r="AR20" t="s">
        <v>24</v>
      </c>
      <c r="AS20">
        <f>0.5*AS12</f>
        <v>92022.5</v>
      </c>
      <c r="AT20">
        <f>AS20</f>
        <v>92022.5</v>
      </c>
      <c r="AU20">
        <f>0.5*AT12</f>
        <v>101955</v>
      </c>
      <c r="AV20">
        <f>AU20</f>
        <v>101955</v>
      </c>
      <c r="AW20">
        <f>0.5*AU12</f>
        <v>135420.5</v>
      </c>
      <c r="AX20">
        <f>AW20</f>
        <v>135420.5</v>
      </c>
      <c r="AY20">
        <f>0.5*AV12</f>
        <v>164285</v>
      </c>
      <c r="AZ20">
        <f>AY20</f>
        <v>164285</v>
      </c>
      <c r="BA20">
        <f>0.5*AW12</f>
        <v>76950.5</v>
      </c>
      <c r="BB20">
        <f>BA20</f>
        <v>76950.5</v>
      </c>
      <c r="BC20">
        <f>0.5*AX12</f>
        <v>96269</v>
      </c>
      <c r="BD20">
        <f>BC20</f>
        <v>96269</v>
      </c>
      <c r="BE20">
        <f>SUM(AS20:BD20)</f>
        <v>1333805</v>
      </c>
    </row>
    <row r="21" spans="1:57" ht="15.6">
      <c r="A21" s="72">
        <v>3278</v>
      </c>
      <c r="B21" s="60" t="s">
        <v>16</v>
      </c>
      <c r="C21" s="108">
        <v>1170.182288739348</v>
      </c>
      <c r="D21" s="109">
        <v>1755.6944262355989</v>
      </c>
      <c r="E21" s="110">
        <f t="shared" si="4"/>
        <v>1872.4600592335876</v>
      </c>
      <c r="F21" s="100">
        <v>1751.4606848204737</v>
      </c>
      <c r="G21" s="100">
        <v>203.95678525115682</v>
      </c>
      <c r="H21" s="100">
        <v>2815.030949865712</v>
      </c>
      <c r="I21" s="101">
        <f t="shared" si="5"/>
        <v>2925.8767149749469</v>
      </c>
      <c r="J21" s="65">
        <f t="shared" si="6"/>
        <v>1.7514606848204737</v>
      </c>
      <c r="K21" s="84">
        <f>(J21)*'User Interface (Start Here!)'!$L$8</f>
        <v>0.70058427392818956</v>
      </c>
      <c r="L21" s="2">
        <f>IF(VLOOKUP(A21,'User Interface (Start Here!)'!$DO$2:$DP$73,2,FALSE)&lt;&gt;0,1,0)</f>
        <v>1</v>
      </c>
      <c r="M21" s="41">
        <f>IF(AND(L21=1,ISBLANK('User Interface (Start Here!)'!$L$14),ISBLANK('User Interface (Start Here!)'!$M$14),ISBLANK('User Interface (Start Here!)'!$N$14)),100%*'User Interface (Start Here!)'!$L$30,IF(L21=1,VLOOKUP(A21,'Bathymetric Closures'!$A$2:$C$57,3,FALSE)*'User Interface (Start Here!)'!$L$30,0%))</f>
        <v>0.79957737321196343</v>
      </c>
      <c r="N21" s="79">
        <f t="shared" si="9"/>
        <v>0</v>
      </c>
      <c r="O21" s="79">
        <f t="shared" si="9"/>
        <v>0</v>
      </c>
      <c r="P21" s="79">
        <f t="shared" si="9"/>
        <v>3.1955350854810634E-3</v>
      </c>
      <c r="Q21" s="79">
        <f t="shared" si="9"/>
        <v>0.10571350089821613</v>
      </c>
      <c r="R21" s="79">
        <f t="shared" si="9"/>
        <v>7.4404765532582462E-2</v>
      </c>
      <c r="S21" s="79">
        <f t="shared" si="9"/>
        <v>0.13198485817991754</v>
      </c>
      <c r="T21" s="79">
        <f t="shared" si="9"/>
        <v>0.11774543061603618</v>
      </c>
      <c r="U21" s="79">
        <f t="shared" si="9"/>
        <v>9.8275407509360937E-2</v>
      </c>
      <c r="V21" s="79">
        <f t="shared" si="9"/>
        <v>5.7779218654989424E-2</v>
      </c>
      <c r="W21" s="79">
        <f t="shared" si="9"/>
        <v>0.11148555745160588</v>
      </c>
      <c r="X21" s="79">
        <f t="shared" si="9"/>
        <v>0</v>
      </c>
      <c r="Y21" s="79">
        <f t="shared" si="9"/>
        <v>0</v>
      </c>
      <c r="Z21" s="81">
        <f>IF($L21&lt;&gt;1,N21,IF(VLOOKUP($A21,'User Interface (Start Here!)'!$B$18:$N$28,Z$2+1,FALSE)&lt;&gt;100%,N21-VLOOKUP($A21,'User Interface (Start Here!)'!$B$18:$N$28,Z$2+1,FALSE)/'User Interface (Start Here!)'!$L$35*$M21*N21,N21-VLOOKUP($A21,'User Interface (Start Here!)'!$B$18:$N$28,Z$2+1,FALSE)*$M21*N21))</f>
        <v>0</v>
      </c>
      <c r="AA21" s="81">
        <f>IF($L21&lt;&gt;1,O21,IF(VLOOKUP($A21,'User Interface (Start Here!)'!$B$18:$N$28,AA$2+1,FALSE)&lt;&gt;100%,O21-VLOOKUP($A21,'User Interface (Start Here!)'!$B$18:$N$28,AA$2+1,FALSE)/'User Interface (Start Here!)'!$L$35*$M21*O21,O21-VLOOKUP($A21,'User Interface (Start Here!)'!$B$18:$N$28,AA$2+1,FALSE)*$M21*O21))</f>
        <v>0</v>
      </c>
      <c r="AB21" s="81">
        <f>IF($L21&lt;&gt;1,P21,IF(VLOOKUP($A21,'User Interface (Start Here!)'!$B$18:$N$28,AB$2+1,FALSE)&lt;&gt;100%,P21-VLOOKUP($A21,'User Interface (Start Here!)'!$B$18:$N$28,AB$2+1,FALSE)/'User Interface (Start Here!)'!$L$35*$M21*P21,P21-VLOOKUP($A21,'User Interface (Start Here!)'!$B$18:$N$28,AB$2+1,FALSE)*$M21*P21))</f>
        <v>6.4045753582544791E-4</v>
      </c>
      <c r="AC21" s="81">
        <f>IF($L21&lt;&gt;1,Q21,IF(VLOOKUP($A21,'User Interface (Start Here!)'!$B$18:$N$28,AC$2+1,FALSE)&lt;&gt;100%,Q21-VLOOKUP($A21,'User Interface (Start Here!)'!$B$18:$N$28,AC$2+1,FALSE)/'User Interface (Start Here!)'!$L$35*$M21*Q21,Q21-VLOOKUP($A21,'User Interface (Start Here!)'!$B$18:$N$28,AC$2+1,FALSE)*$M21*Q21))</f>
        <v>2.118737753697994E-2</v>
      </c>
      <c r="AD21" s="81">
        <f>IF($L21&lt;&gt;1,R21,IF(VLOOKUP($A21,'User Interface (Start Here!)'!$B$18:$N$28,AD$2+1,FALSE)&lt;&gt;100%,R21-VLOOKUP($A21,'User Interface (Start Here!)'!$B$18:$N$28,AD$2+1,FALSE)/'User Interface (Start Here!)'!$L$35*$M21*R21,R21-VLOOKUP($A21,'User Interface (Start Here!)'!$B$18:$N$28,AD$2+1,FALSE)*$M21*R21))</f>
        <v>1.4912398553588141E-2</v>
      </c>
      <c r="AE21" s="81">
        <f>IF($L21&lt;&gt;1,S21,IF(VLOOKUP($A21,'User Interface (Start Here!)'!$B$18:$N$28,AE$2+1,FALSE)&lt;&gt;100%,S21-VLOOKUP($A21,'User Interface (Start Here!)'!$B$18:$N$28,AE$2+1,FALSE)/'User Interface (Start Here!)'!$L$35*$M21*S21,S21-VLOOKUP($A21,'User Interface (Start Here!)'!$B$18:$N$28,AE$2+1,FALSE)*$M21*S21))</f>
        <v>2.6452751972665542E-2</v>
      </c>
      <c r="AF21" s="81">
        <f>IF($L21&lt;&gt;1,T21,IF(VLOOKUP($A21,'User Interface (Start Here!)'!$B$18:$N$28,AF$2+1,FALSE)&lt;&gt;100%,T21-VLOOKUP($A21,'User Interface (Start Here!)'!$B$18:$N$28,AF$2+1,FALSE)/'User Interface (Start Here!)'!$L$35*$M21*T21,T21-VLOOKUP($A21,'User Interface (Start Here!)'!$B$18:$N$28,AF$2+1,FALSE)*$M21*T21))</f>
        <v>2.3598848496354477E-2</v>
      </c>
      <c r="AG21" s="81">
        <f>IF($L21&lt;&gt;1,U21,IF(VLOOKUP($A21,'User Interface (Start Here!)'!$B$18:$N$28,AG$2+1,FALSE)&lt;&gt;100%,U21-VLOOKUP($A21,'User Interface (Start Here!)'!$B$18:$N$28,AG$2+1,FALSE)/'User Interface (Start Here!)'!$L$35*$M21*U21,U21-VLOOKUP($A21,'User Interface (Start Here!)'!$B$18:$N$28,AG$2+1,FALSE)*$M21*U21))</f>
        <v>1.9696615321690855E-2</v>
      </c>
      <c r="AH21" s="81">
        <f>IF($L21&lt;&gt;1,V21,IF(VLOOKUP($A21,'User Interface (Start Here!)'!$B$18:$N$28,AH$2+1,FALSE)&lt;&gt;100%,V21-VLOOKUP($A21,'User Interface (Start Here!)'!$B$18:$N$28,AH$2+1,FALSE)/'User Interface (Start Here!)'!$L$35*$M21*V21,V21-VLOOKUP($A21,'User Interface (Start Here!)'!$B$18:$N$28,AH$2+1,FALSE)*$M21*V21))</f>
        <v>1.1580262776593304E-2</v>
      </c>
      <c r="AI21" s="83">
        <f>IF($L21&lt;&gt;1,W21,IF(VLOOKUP($A21,'User Interface (Start Here!)'!$B$18:$N$28,AI$2+1,FALSE)&lt;&gt;100%,W21-VLOOKUP($A21,'User Interface (Start Here!)'!$B$18:$N$28,AI$2+1,FALSE)/'User Interface (Start Here!)'!$L$35*$M21*W21,W21-VLOOKUP($A21,'User Interface (Start Here!)'!$B$18:$N$28,AI$2+1,FALSE)*$M21*W21))</f>
        <v>2.234422827337941E-2</v>
      </c>
      <c r="AJ21" s="83">
        <f>IF($L21&lt;&gt;1,X21,IF(VLOOKUP($A21,'User Interface (Start Here!)'!$B$18:$N$28,AJ$2+1,FALSE)&lt;&gt;100%,X21-VLOOKUP($A21,'User Interface (Start Here!)'!$B$18:$N$28,AJ$2+1,FALSE)/'User Interface (Start Here!)'!$L$35*$M21*X21,X21-VLOOKUP($A21,'User Interface (Start Here!)'!$B$18:$N$28,AJ$2+1,FALSE)*$M21*X21))</f>
        <v>0</v>
      </c>
      <c r="AK21" s="83">
        <f>IF($L21&lt;&gt;1,Y21,IF(VLOOKUP($A21,'User Interface (Start Here!)'!$B$18:$N$28,AK$2+1,FALSE)&lt;&gt;100%,Y21-VLOOKUP($A21,'User Interface (Start Here!)'!$B$18:$N$28,AK$2+1,FALSE)/'User Interface (Start Here!)'!$L$35*$M21*Y21,Y21-VLOOKUP($A21,'User Interface (Start Here!)'!$B$18:$N$28,AK$2+1,FALSE)*$M21*Y21))</f>
        <v>0</v>
      </c>
      <c r="AL21" s="82">
        <f t="shared" si="7"/>
        <v>0.14041294046707714</v>
      </c>
    </row>
    <row r="22" spans="1:57" ht="15.6">
      <c r="A22" s="72">
        <v>3279</v>
      </c>
      <c r="B22" s="60" t="s">
        <v>16</v>
      </c>
      <c r="C22" s="108">
        <v>2390.4436700127176</v>
      </c>
      <c r="D22" s="109">
        <v>3586.525508083751</v>
      </c>
      <c r="E22" s="110">
        <f t="shared" si="4"/>
        <v>3825.0538732462182</v>
      </c>
      <c r="F22" s="100">
        <v>3500.8662661147259</v>
      </c>
      <c r="G22" s="100">
        <v>72.843876032729909</v>
      </c>
      <c r="H22" s="100">
        <v>5750.5338952325119</v>
      </c>
      <c r="I22" s="101">
        <f t="shared" si="5"/>
        <v>5976.9691780964686</v>
      </c>
      <c r="J22" s="65">
        <f t="shared" si="6"/>
        <v>3.5008662661147261</v>
      </c>
      <c r="K22" s="84">
        <f>(J22)*'User Interface (Start Here!)'!$L$8</f>
        <v>1.4003465064458904</v>
      </c>
      <c r="L22" s="2">
        <f>IF(VLOOKUP(A22,'User Interface (Start Here!)'!$DO$2:$DP$73,2,FALSE)&lt;&gt;0,1,0)</f>
        <v>1</v>
      </c>
      <c r="M22" s="41">
        <f>IF(AND(L22=1,ISBLANK('User Interface (Start Here!)'!$L$14),ISBLANK('User Interface (Start Here!)'!$M$14),ISBLANK('User Interface (Start Here!)'!$N$14)),100%*'User Interface (Start Here!)'!$L$30,IF(L22=1,VLOOKUP(A22,'Bathymetric Closures'!$A$2:$C$57,3,FALSE)*'User Interface (Start Here!)'!$L$30,0%))</f>
        <v>0.85327030099934176</v>
      </c>
      <c r="N22" s="79">
        <f t="shared" si="9"/>
        <v>0</v>
      </c>
      <c r="O22" s="79">
        <f t="shared" si="9"/>
        <v>0</v>
      </c>
      <c r="P22" s="79">
        <f t="shared" si="9"/>
        <v>8.1883938247156243E-3</v>
      </c>
      <c r="Q22" s="79">
        <f t="shared" si="9"/>
        <v>0.15737901483145811</v>
      </c>
      <c r="R22" s="79">
        <f t="shared" si="9"/>
        <v>0.18801569966114698</v>
      </c>
      <c r="S22" s="79">
        <f t="shared" si="9"/>
        <v>0.2456878454546306</v>
      </c>
      <c r="T22" s="79">
        <f t="shared" si="9"/>
        <v>0.23533382722247809</v>
      </c>
      <c r="U22" s="79">
        <f t="shared" si="9"/>
        <v>0.16355812675067513</v>
      </c>
      <c r="V22" s="79">
        <f t="shared" si="9"/>
        <v>7.3139903667327769E-2</v>
      </c>
      <c r="W22" s="79">
        <f t="shared" si="9"/>
        <v>0.10954170274494664</v>
      </c>
      <c r="X22" s="79">
        <f t="shared" si="9"/>
        <v>0.17619123912504842</v>
      </c>
      <c r="Y22" s="79">
        <f t="shared" si="9"/>
        <v>4.3310753163463001E-2</v>
      </c>
      <c r="Z22" s="81">
        <f>IF($L22&lt;&gt;1,N22,IF(VLOOKUP($A22,'User Interface (Start Here!)'!$B$18:$N$28,Z$2+1,FALSE)&lt;&gt;100%,N22-VLOOKUP($A22,'User Interface (Start Here!)'!$B$18:$N$28,Z$2+1,FALSE)/'User Interface (Start Here!)'!$L$35*$M22*N22,N22-VLOOKUP($A22,'User Interface (Start Here!)'!$B$18:$N$28,Z$2+1,FALSE)*$M22*N22))</f>
        <v>0</v>
      </c>
      <c r="AA22" s="81">
        <f>IF($L22&lt;&gt;1,O22,IF(VLOOKUP($A22,'User Interface (Start Here!)'!$B$18:$N$28,AA$2+1,FALSE)&lt;&gt;100%,O22-VLOOKUP($A22,'User Interface (Start Here!)'!$B$18:$N$28,AA$2+1,FALSE)/'User Interface (Start Here!)'!$L$35*$M22*O22,O22-VLOOKUP($A22,'User Interface (Start Here!)'!$B$18:$N$28,AA$2+1,FALSE)*$M22*O22))</f>
        <v>0</v>
      </c>
      <c r="AB22" s="81">
        <f>IF($L22&lt;&gt;1,P22,IF(VLOOKUP($A22,'User Interface (Start Here!)'!$B$18:$N$28,AB$2+1,FALSE)&lt;&gt;100%,P22-VLOOKUP($A22,'User Interface (Start Here!)'!$B$18:$N$28,AB$2+1,FALSE)/'User Interface (Start Here!)'!$L$35*$M22*P22,P22-VLOOKUP($A22,'User Interface (Start Here!)'!$B$18:$N$28,AB$2+1,FALSE)*$M22*P22))</f>
        <v>1.2014805611993721E-3</v>
      </c>
      <c r="AC22" s="81">
        <f>IF($L22&lt;&gt;1,Q22,IF(VLOOKUP($A22,'User Interface (Start Here!)'!$B$18:$N$28,AC$2+1,FALSE)&lt;&gt;100%,Q22-VLOOKUP($A22,'User Interface (Start Here!)'!$B$18:$N$28,AC$2+1,FALSE)/'User Interface (Start Here!)'!$L$35*$M22*Q22,Q22-VLOOKUP($A22,'User Interface (Start Here!)'!$B$18:$N$28,AC$2+1,FALSE)*$M22*Q22))</f>
        <v>2.3092175475239979E-2</v>
      </c>
      <c r="AD22" s="81">
        <f>IF($L22&lt;&gt;1,R22,IF(VLOOKUP($A22,'User Interface (Start Here!)'!$B$18:$N$28,AD$2+1,FALSE)&lt;&gt;100%,R22-VLOOKUP($A22,'User Interface (Start Here!)'!$B$18:$N$28,AD$2+1,FALSE)/'User Interface (Start Here!)'!$L$35*$M22*R22,R22-VLOOKUP($A22,'User Interface (Start Here!)'!$B$18:$N$28,AD$2+1,FALSE)*$M22*R22))</f>
        <v>2.7587487018678247E-2</v>
      </c>
      <c r="AE22" s="81">
        <f>IF($L22&lt;&gt;1,S22,IF(VLOOKUP($A22,'User Interface (Start Here!)'!$B$18:$N$28,AE$2+1,FALSE)&lt;&gt;100%,S22-VLOOKUP($A22,'User Interface (Start Here!)'!$B$18:$N$28,AE$2+1,FALSE)/'User Interface (Start Here!)'!$L$35*$M22*S22,S22-VLOOKUP($A22,'User Interface (Start Here!)'!$B$18:$N$28,AE$2+1,FALSE)*$M22*S22))</f>
        <v>3.6049703611678197E-2</v>
      </c>
      <c r="AF22" s="81">
        <f>IF($L22&lt;&gt;1,T22,IF(VLOOKUP($A22,'User Interface (Start Here!)'!$B$18:$N$28,AF$2+1,FALSE)&lt;&gt;100%,T22-VLOOKUP($A22,'User Interface (Start Here!)'!$B$18:$N$28,AF$2+1,FALSE)/'User Interface (Start Here!)'!$L$35*$M22*T22,T22-VLOOKUP($A22,'User Interface (Start Here!)'!$B$18:$N$28,AF$2+1,FALSE)*$M22*T22))</f>
        <v>3.4530461633027115E-2</v>
      </c>
      <c r="AG22" s="81">
        <f>IF($L22&lt;&gt;1,U22,IF(VLOOKUP($A22,'User Interface (Start Here!)'!$B$18:$N$28,AG$2+1,FALSE)&lt;&gt;100%,U22-VLOOKUP($A22,'User Interface (Start Here!)'!$B$18:$N$28,AG$2+1,FALSE)/'User Interface (Start Here!)'!$L$35*$M22*U22,U22-VLOOKUP($A22,'User Interface (Start Here!)'!$B$18:$N$28,AG$2+1,FALSE)*$M22*U22))</f>
        <v>2.399883470723807E-2</v>
      </c>
      <c r="AH22" s="81">
        <f>IF($L22&lt;&gt;1,V22,IF(VLOOKUP($A22,'User Interface (Start Here!)'!$B$18:$N$28,AH$2+1,FALSE)&lt;&gt;100%,V22-VLOOKUP($A22,'User Interface (Start Here!)'!$B$18:$N$28,AH$2+1,FALSE)/'User Interface (Start Here!)'!$L$35*$M22*V22,V22-VLOOKUP($A22,'User Interface (Start Here!)'!$B$18:$N$28,AH$2+1,FALSE)*$M22*V22))</f>
        <v>1.0731796050044144E-2</v>
      </c>
      <c r="AI22" s="83">
        <f>IF($L22&lt;&gt;1,W22,IF(VLOOKUP($A22,'User Interface (Start Here!)'!$B$18:$N$28,AI$2+1,FALSE)&lt;&gt;100%,W22-VLOOKUP($A22,'User Interface (Start Here!)'!$B$18:$N$28,AI$2+1,FALSE)/'User Interface (Start Here!)'!$L$35*$M22*W22,W22-VLOOKUP($A22,'User Interface (Start Here!)'!$B$18:$N$28,AI$2+1,FALSE)*$M22*W22))</f>
        <v>1.6073021071785598E-2</v>
      </c>
      <c r="AJ22" s="83">
        <f>IF($L22&lt;&gt;1,X22,IF(VLOOKUP($A22,'User Interface (Start Here!)'!$B$18:$N$28,AJ$2+1,FALSE)&lt;&gt;100%,X22-VLOOKUP($A22,'User Interface (Start Here!)'!$B$18:$N$28,AJ$2+1,FALSE)/'User Interface (Start Here!)'!$L$35*$M22*X22,X22-VLOOKUP($A22,'User Interface (Start Here!)'!$B$18:$N$28,AJ$2+1,FALSE)*$M22*X22))</f>
        <v>2.585248748337135E-2</v>
      </c>
      <c r="AK22" s="83">
        <f>IF($L22&lt;&gt;1,Y22,IF(VLOOKUP($A22,'User Interface (Start Here!)'!$B$18:$N$28,AK$2+1,FALSE)&lt;&gt;100%,Y22-VLOOKUP($A22,'User Interface (Start Here!)'!$B$18:$N$28,AK$2+1,FALSE)/'User Interface (Start Here!)'!$L$35*$M22*Y22,Y22-VLOOKUP($A22,'User Interface (Start Here!)'!$B$18:$N$28,AK$2+1,FALSE)*$M22*Y22))</f>
        <v>6.3549737751667362E-3</v>
      </c>
      <c r="AL22" s="82">
        <f t="shared" si="7"/>
        <v>0.20547242138742883</v>
      </c>
      <c r="AR22" s="140" t="s">
        <v>134</v>
      </c>
      <c r="AS22" s="76"/>
      <c r="AT22" s="76"/>
      <c r="AU22" s="76"/>
      <c r="AV22" s="76"/>
      <c r="AW22" s="76"/>
      <c r="AX22" s="76"/>
      <c r="AY22" s="76"/>
      <c r="AZ22" s="76"/>
      <c r="BA22" s="76"/>
      <c r="BB22" s="76"/>
      <c r="BC22" s="76"/>
      <c r="BD22" s="76"/>
      <c r="BE22" s="76"/>
    </row>
    <row r="23" spans="1:57" ht="15.6">
      <c r="A23" s="72">
        <v>3280</v>
      </c>
      <c r="B23" s="60" t="s">
        <v>16</v>
      </c>
      <c r="C23" s="108">
        <v>240.82791830310771</v>
      </c>
      <c r="D23" s="109">
        <v>361.32851942426669</v>
      </c>
      <c r="E23" s="110">
        <f t="shared" si="4"/>
        <v>385.35932607281438</v>
      </c>
      <c r="F23" s="100">
        <v>498.82149795820442</v>
      </c>
      <c r="G23" s="100">
        <v>61.085006779545232</v>
      </c>
      <c r="H23" s="100">
        <v>579.34396216621133</v>
      </c>
      <c r="I23" s="101">
        <f t="shared" si="5"/>
        <v>602.1564377273744</v>
      </c>
      <c r="J23" s="65">
        <f t="shared" si="6"/>
        <v>0.49882149795820441</v>
      </c>
      <c r="K23" s="84">
        <f>(J23)*'User Interface (Start Here!)'!$L$8</f>
        <v>0.19952859918328178</v>
      </c>
      <c r="L23" s="2">
        <f>IF(VLOOKUP(A23,'User Interface (Start Here!)'!$DO$2:$DP$73,2,FALSE)&lt;&gt;0,1,0)</f>
        <v>0</v>
      </c>
      <c r="M23" s="41">
        <f>IF(AND(L23=1,ISBLANK('User Interface (Start Here!)'!$L$14),ISBLANK('User Interface (Start Here!)'!$M$14),ISBLANK('User Interface (Start Here!)'!$N$14)),100%*'User Interface (Start Here!)'!$L$30,IF(L23=1,VLOOKUP(A23,'Bathymetric Closures'!$A$2:$C$57,3,FALSE)*'User Interface (Start Here!)'!$L$30,0%))</f>
        <v>0</v>
      </c>
      <c r="N23" s="79">
        <f t="shared" si="9"/>
        <v>0</v>
      </c>
      <c r="O23" s="79">
        <f t="shared" si="9"/>
        <v>0</v>
      </c>
      <c r="P23" s="79">
        <f t="shared" si="9"/>
        <v>0</v>
      </c>
      <c r="Q23" s="79">
        <f t="shared" si="9"/>
        <v>0</v>
      </c>
      <c r="R23" s="79">
        <f t="shared" si="9"/>
        <v>0</v>
      </c>
      <c r="S23" s="79">
        <f t="shared" si="9"/>
        <v>0</v>
      </c>
      <c r="T23" s="79">
        <f t="shared" si="9"/>
        <v>5.8851485502871857E-2</v>
      </c>
      <c r="U23" s="79">
        <f t="shared" si="9"/>
        <v>0.14067711368040992</v>
      </c>
      <c r="V23" s="79">
        <f t="shared" si="9"/>
        <v>0</v>
      </c>
      <c r="W23" s="79">
        <f t="shared" si="9"/>
        <v>0</v>
      </c>
      <c r="X23" s="79">
        <f t="shared" si="9"/>
        <v>0</v>
      </c>
      <c r="Y23" s="79">
        <f t="shared" si="9"/>
        <v>0</v>
      </c>
      <c r="Z23" s="81">
        <f>IF($L23&lt;&gt;1,N23,IF(VLOOKUP($A23,'User Interface (Start Here!)'!$B$18:$N$28,Z$2+1,FALSE)&lt;&gt;100%,N23-VLOOKUP($A23,'User Interface (Start Here!)'!$B$18:$N$28,Z$2+1,FALSE)/'User Interface (Start Here!)'!$L$35*$M23*N23,N23-VLOOKUP($A23,'User Interface (Start Here!)'!$B$18:$N$28,Z$2+1,FALSE)*$M23*N23))</f>
        <v>0</v>
      </c>
      <c r="AA23" s="81">
        <f>IF($L23&lt;&gt;1,O23,IF(VLOOKUP($A23,'User Interface (Start Here!)'!$B$18:$N$28,AA$2+1,FALSE)&lt;&gt;100%,O23-VLOOKUP($A23,'User Interface (Start Here!)'!$B$18:$N$28,AA$2+1,FALSE)/'User Interface (Start Here!)'!$L$35*$M23*O23,O23-VLOOKUP($A23,'User Interface (Start Here!)'!$B$18:$N$28,AA$2+1,FALSE)*$M23*O23))</f>
        <v>0</v>
      </c>
      <c r="AB23" s="81">
        <f>IF($L23&lt;&gt;1,P23,IF(VLOOKUP($A23,'User Interface (Start Here!)'!$B$18:$N$28,AB$2+1,FALSE)&lt;&gt;100%,P23-VLOOKUP($A23,'User Interface (Start Here!)'!$B$18:$N$28,AB$2+1,FALSE)/'User Interface (Start Here!)'!$L$35*$M23*P23,P23-VLOOKUP($A23,'User Interface (Start Here!)'!$B$18:$N$28,AB$2+1,FALSE)*$M23*P23))</f>
        <v>0</v>
      </c>
      <c r="AC23" s="81">
        <f>IF($L23&lt;&gt;1,Q23,IF(VLOOKUP($A23,'User Interface (Start Here!)'!$B$18:$N$28,AC$2+1,FALSE)&lt;&gt;100%,Q23-VLOOKUP($A23,'User Interface (Start Here!)'!$B$18:$N$28,AC$2+1,FALSE)/'User Interface (Start Here!)'!$L$35*$M23*Q23,Q23-VLOOKUP($A23,'User Interface (Start Here!)'!$B$18:$N$28,AC$2+1,FALSE)*$M23*Q23))</f>
        <v>0</v>
      </c>
      <c r="AD23" s="81">
        <f>IF($L23&lt;&gt;1,R23,IF(VLOOKUP($A23,'User Interface (Start Here!)'!$B$18:$N$28,AD$2+1,FALSE)&lt;&gt;100%,R23-VLOOKUP($A23,'User Interface (Start Here!)'!$B$18:$N$28,AD$2+1,FALSE)/'User Interface (Start Here!)'!$L$35*$M23*R23,R23-VLOOKUP($A23,'User Interface (Start Here!)'!$B$18:$N$28,AD$2+1,FALSE)*$M23*R23))</f>
        <v>0</v>
      </c>
      <c r="AE23" s="81">
        <f>IF($L23&lt;&gt;1,S23,IF(VLOOKUP($A23,'User Interface (Start Here!)'!$B$18:$N$28,AE$2+1,FALSE)&lt;&gt;100%,S23-VLOOKUP($A23,'User Interface (Start Here!)'!$B$18:$N$28,AE$2+1,FALSE)/'User Interface (Start Here!)'!$L$35*$M23*S23,S23-VLOOKUP($A23,'User Interface (Start Here!)'!$B$18:$N$28,AE$2+1,FALSE)*$M23*S23))</f>
        <v>0</v>
      </c>
      <c r="AF23" s="81">
        <f>IF($L23&lt;&gt;1,T23,IF(VLOOKUP($A23,'User Interface (Start Here!)'!$B$18:$N$28,AF$2+1,FALSE)&lt;&gt;100%,T23-VLOOKUP($A23,'User Interface (Start Here!)'!$B$18:$N$28,AF$2+1,FALSE)/'User Interface (Start Here!)'!$L$35*$M23*T23,T23-VLOOKUP($A23,'User Interface (Start Here!)'!$B$18:$N$28,AF$2+1,FALSE)*$M23*T23))</f>
        <v>5.8851485502871857E-2</v>
      </c>
      <c r="AG23" s="81">
        <f>IF($L23&lt;&gt;1,U23,IF(VLOOKUP($A23,'User Interface (Start Here!)'!$B$18:$N$28,AG$2+1,FALSE)&lt;&gt;100%,U23-VLOOKUP($A23,'User Interface (Start Here!)'!$B$18:$N$28,AG$2+1,FALSE)/'User Interface (Start Here!)'!$L$35*$M23*U23,U23-VLOOKUP($A23,'User Interface (Start Here!)'!$B$18:$N$28,AG$2+1,FALSE)*$M23*U23))</f>
        <v>0.14067711368040992</v>
      </c>
      <c r="AH23" s="81">
        <f>IF($L23&lt;&gt;1,V23,IF(VLOOKUP($A23,'User Interface (Start Here!)'!$B$18:$N$28,AH$2+1,FALSE)&lt;&gt;100%,V23-VLOOKUP($A23,'User Interface (Start Here!)'!$B$18:$N$28,AH$2+1,FALSE)/'User Interface (Start Here!)'!$L$35*$M23*V23,V23-VLOOKUP($A23,'User Interface (Start Here!)'!$B$18:$N$28,AH$2+1,FALSE)*$M23*V23))</f>
        <v>0</v>
      </c>
      <c r="AI23" s="83">
        <f>IF($L23&lt;&gt;1,W23,IF(VLOOKUP($A23,'User Interface (Start Here!)'!$B$18:$N$28,AI$2+1,FALSE)&lt;&gt;100%,W23-VLOOKUP($A23,'User Interface (Start Here!)'!$B$18:$N$28,AI$2+1,FALSE)/'User Interface (Start Here!)'!$L$35*$M23*W23,W23-VLOOKUP($A23,'User Interface (Start Here!)'!$B$18:$N$28,AI$2+1,FALSE)*$M23*W23))</f>
        <v>0</v>
      </c>
      <c r="AJ23" s="83">
        <f>IF($L23&lt;&gt;1,X23,IF(VLOOKUP($A23,'User Interface (Start Here!)'!$B$18:$N$28,AJ$2+1,FALSE)&lt;&gt;100%,X23-VLOOKUP($A23,'User Interface (Start Here!)'!$B$18:$N$28,AJ$2+1,FALSE)/'User Interface (Start Here!)'!$L$35*$M23*X23,X23-VLOOKUP($A23,'User Interface (Start Here!)'!$B$18:$N$28,AJ$2+1,FALSE)*$M23*X23))</f>
        <v>0</v>
      </c>
      <c r="AK23" s="83">
        <f>IF($L23&lt;&gt;1,Y23,IF(VLOOKUP($A23,'User Interface (Start Here!)'!$B$18:$N$28,AK$2+1,FALSE)&lt;&gt;100%,Y23-VLOOKUP($A23,'User Interface (Start Here!)'!$B$18:$N$28,AK$2+1,FALSE)/'User Interface (Start Here!)'!$L$35*$M23*Y23,Y23-VLOOKUP($A23,'User Interface (Start Here!)'!$B$18:$N$28,AK$2+1,FALSE)*$M23*Y23))</f>
        <v>0</v>
      </c>
      <c r="AL23" s="82">
        <f t="shared" si="7"/>
        <v>0.19952859918328178</v>
      </c>
      <c r="AR23" s="76" t="s">
        <v>121</v>
      </c>
      <c r="AS23" s="76">
        <v>1</v>
      </c>
      <c r="AT23" s="76">
        <v>2</v>
      </c>
      <c r="AU23" s="76">
        <v>3</v>
      </c>
      <c r="AV23" s="76">
        <v>4</v>
      </c>
      <c r="AW23" s="76">
        <v>5</v>
      </c>
      <c r="AX23" s="76">
        <v>6</v>
      </c>
      <c r="AY23" s="76">
        <v>7</v>
      </c>
      <c r="AZ23" s="76">
        <v>8</v>
      </c>
      <c r="BA23" s="76">
        <v>9</v>
      </c>
      <c r="BB23" s="76">
        <v>10</v>
      </c>
      <c r="BC23" s="76">
        <v>11</v>
      </c>
      <c r="BD23" s="76">
        <v>12</v>
      </c>
      <c r="BE23" s="76" t="s">
        <v>68</v>
      </c>
    </row>
    <row r="24" spans="1:57" ht="15.6">
      <c r="A24" s="72">
        <v>3377</v>
      </c>
      <c r="B24" s="60" t="s">
        <v>16</v>
      </c>
      <c r="C24" s="108">
        <v>72.37081906666667</v>
      </c>
      <c r="D24" s="109">
        <v>108.5822652420557</v>
      </c>
      <c r="E24" s="110">
        <f t="shared" si="4"/>
        <v>115.80372516348895</v>
      </c>
      <c r="F24" s="100">
        <v>185.49030821633798</v>
      </c>
      <c r="G24" s="100">
        <v>58.405180321520739</v>
      </c>
      <c r="H24" s="100">
        <v>174.09774314673223</v>
      </c>
      <c r="I24" s="101">
        <f t="shared" si="5"/>
        <v>180.95308430872237</v>
      </c>
      <c r="J24" s="65">
        <f t="shared" si="6"/>
        <v>0.18549030821633797</v>
      </c>
      <c r="K24" s="84">
        <f>(J24)*'User Interface (Start Here!)'!$L$8</f>
        <v>7.4196123286535187E-2</v>
      </c>
      <c r="L24" s="2">
        <f>IF(VLOOKUP(A24,'User Interface (Start Here!)'!$DO$2:$DP$73,2,FALSE)&lt;&gt;0,1,0)</f>
        <v>0</v>
      </c>
      <c r="M24" s="41">
        <f>IF(AND(L24=1,ISBLANK('User Interface (Start Here!)'!$L$14),ISBLANK('User Interface (Start Here!)'!$M$14),ISBLANK('User Interface (Start Here!)'!$N$14)),100%*'User Interface (Start Here!)'!$L$30,IF(L24=1,VLOOKUP(A24,'Bathymetric Closures'!$A$2:$C$57,3,FALSE)*'User Interface (Start Here!)'!$L$30,0%))</f>
        <v>0</v>
      </c>
      <c r="N24" s="79">
        <f t="shared" si="9"/>
        <v>0</v>
      </c>
      <c r="O24" s="79">
        <f t="shared" si="9"/>
        <v>0</v>
      </c>
      <c r="P24" s="79">
        <f t="shared" si="9"/>
        <v>0</v>
      </c>
      <c r="Q24" s="79">
        <f t="shared" si="9"/>
        <v>0</v>
      </c>
      <c r="R24" s="79">
        <f t="shared" si="9"/>
        <v>0</v>
      </c>
      <c r="S24" s="79">
        <f t="shared" si="9"/>
        <v>0</v>
      </c>
      <c r="T24" s="79">
        <f t="shared" si="9"/>
        <v>5.9097819588894561E-2</v>
      </c>
      <c r="U24" s="79">
        <f t="shared" si="9"/>
        <v>1.5098303697640628E-2</v>
      </c>
      <c r="V24" s="79">
        <f t="shared" si="9"/>
        <v>0</v>
      </c>
      <c r="W24" s="79">
        <f t="shared" si="9"/>
        <v>0</v>
      </c>
      <c r="X24" s="79">
        <f t="shared" si="9"/>
        <v>0</v>
      </c>
      <c r="Y24" s="79">
        <f t="shared" si="9"/>
        <v>0</v>
      </c>
      <c r="Z24" s="81">
        <f>IF($L24&lt;&gt;1,N24,IF(VLOOKUP($A24,'User Interface (Start Here!)'!$B$18:$N$28,Z$2+1,FALSE)&lt;&gt;100%,N24-VLOOKUP($A24,'User Interface (Start Here!)'!$B$18:$N$28,Z$2+1,FALSE)/'User Interface (Start Here!)'!$L$35*$M24*N24,N24-VLOOKUP($A24,'User Interface (Start Here!)'!$B$18:$N$28,Z$2+1,FALSE)*$M24*N24))</f>
        <v>0</v>
      </c>
      <c r="AA24" s="81">
        <f>IF($L24&lt;&gt;1,O24,IF(VLOOKUP($A24,'User Interface (Start Here!)'!$B$18:$N$28,AA$2+1,FALSE)&lt;&gt;100%,O24-VLOOKUP($A24,'User Interface (Start Here!)'!$B$18:$N$28,AA$2+1,FALSE)/'User Interface (Start Here!)'!$L$35*$M24*O24,O24-VLOOKUP($A24,'User Interface (Start Here!)'!$B$18:$N$28,AA$2+1,FALSE)*$M24*O24))</f>
        <v>0</v>
      </c>
      <c r="AB24" s="81">
        <f>IF($L24&lt;&gt;1,P24,IF(VLOOKUP($A24,'User Interface (Start Here!)'!$B$18:$N$28,AB$2+1,FALSE)&lt;&gt;100%,P24-VLOOKUP($A24,'User Interface (Start Here!)'!$B$18:$N$28,AB$2+1,FALSE)/'User Interface (Start Here!)'!$L$35*$M24*P24,P24-VLOOKUP($A24,'User Interface (Start Here!)'!$B$18:$N$28,AB$2+1,FALSE)*$M24*P24))</f>
        <v>0</v>
      </c>
      <c r="AC24" s="81">
        <f>IF($L24&lt;&gt;1,Q24,IF(VLOOKUP($A24,'User Interface (Start Here!)'!$B$18:$N$28,AC$2+1,FALSE)&lt;&gt;100%,Q24-VLOOKUP($A24,'User Interface (Start Here!)'!$B$18:$N$28,AC$2+1,FALSE)/'User Interface (Start Here!)'!$L$35*$M24*Q24,Q24-VLOOKUP($A24,'User Interface (Start Here!)'!$B$18:$N$28,AC$2+1,FALSE)*$M24*Q24))</f>
        <v>0</v>
      </c>
      <c r="AD24" s="81">
        <f>IF($L24&lt;&gt;1,R24,IF(VLOOKUP($A24,'User Interface (Start Here!)'!$B$18:$N$28,AD$2+1,FALSE)&lt;&gt;100%,R24-VLOOKUP($A24,'User Interface (Start Here!)'!$B$18:$N$28,AD$2+1,FALSE)/'User Interface (Start Here!)'!$L$35*$M24*R24,R24-VLOOKUP($A24,'User Interface (Start Here!)'!$B$18:$N$28,AD$2+1,FALSE)*$M24*R24))</f>
        <v>0</v>
      </c>
      <c r="AE24" s="81">
        <f>IF($L24&lt;&gt;1,S24,IF(VLOOKUP($A24,'User Interface (Start Here!)'!$B$18:$N$28,AE$2+1,FALSE)&lt;&gt;100%,S24-VLOOKUP($A24,'User Interface (Start Here!)'!$B$18:$N$28,AE$2+1,FALSE)/'User Interface (Start Here!)'!$L$35*$M24*S24,S24-VLOOKUP($A24,'User Interface (Start Here!)'!$B$18:$N$28,AE$2+1,FALSE)*$M24*S24))</f>
        <v>0</v>
      </c>
      <c r="AF24" s="81">
        <f>IF($L24&lt;&gt;1,T24,IF(VLOOKUP($A24,'User Interface (Start Here!)'!$B$18:$N$28,AF$2+1,FALSE)&lt;&gt;100%,T24-VLOOKUP($A24,'User Interface (Start Here!)'!$B$18:$N$28,AF$2+1,FALSE)/'User Interface (Start Here!)'!$L$35*$M24*T24,T24-VLOOKUP($A24,'User Interface (Start Here!)'!$B$18:$N$28,AF$2+1,FALSE)*$M24*T24))</f>
        <v>5.9097819588894561E-2</v>
      </c>
      <c r="AG24" s="81">
        <f>IF($L24&lt;&gt;1,U24,IF(VLOOKUP($A24,'User Interface (Start Here!)'!$B$18:$N$28,AG$2+1,FALSE)&lt;&gt;100%,U24-VLOOKUP($A24,'User Interface (Start Here!)'!$B$18:$N$28,AG$2+1,FALSE)/'User Interface (Start Here!)'!$L$35*$M24*U24,U24-VLOOKUP($A24,'User Interface (Start Here!)'!$B$18:$N$28,AG$2+1,FALSE)*$M24*U24))</f>
        <v>1.5098303697640628E-2</v>
      </c>
      <c r="AH24" s="81">
        <f>IF($L24&lt;&gt;1,V24,IF(VLOOKUP($A24,'User Interface (Start Here!)'!$B$18:$N$28,AH$2+1,FALSE)&lt;&gt;100%,V24-VLOOKUP($A24,'User Interface (Start Here!)'!$B$18:$N$28,AH$2+1,FALSE)/'User Interface (Start Here!)'!$L$35*$M24*V24,V24-VLOOKUP($A24,'User Interface (Start Here!)'!$B$18:$N$28,AH$2+1,FALSE)*$M24*V24))</f>
        <v>0</v>
      </c>
      <c r="AI24" s="83">
        <f>IF($L24&lt;&gt;1,W24,IF(VLOOKUP($A24,'User Interface (Start Here!)'!$B$18:$N$28,AI$2+1,FALSE)&lt;&gt;100%,W24-VLOOKUP($A24,'User Interface (Start Here!)'!$B$18:$N$28,AI$2+1,FALSE)/'User Interface (Start Here!)'!$L$35*$M24*W24,W24-VLOOKUP($A24,'User Interface (Start Here!)'!$B$18:$N$28,AI$2+1,FALSE)*$M24*W24))</f>
        <v>0</v>
      </c>
      <c r="AJ24" s="83">
        <f>IF($L24&lt;&gt;1,X24,IF(VLOOKUP($A24,'User Interface (Start Here!)'!$B$18:$N$28,AJ$2+1,FALSE)&lt;&gt;100%,X24-VLOOKUP($A24,'User Interface (Start Here!)'!$B$18:$N$28,AJ$2+1,FALSE)/'User Interface (Start Here!)'!$L$35*$M24*X24,X24-VLOOKUP($A24,'User Interface (Start Here!)'!$B$18:$N$28,AJ$2+1,FALSE)*$M24*X24))</f>
        <v>0</v>
      </c>
      <c r="AK24" s="83">
        <f>IF($L24&lt;&gt;1,Y24,IF(VLOOKUP($A24,'User Interface (Start Here!)'!$B$18:$N$28,AK$2+1,FALSE)&lt;&gt;100%,Y24-VLOOKUP($A24,'User Interface (Start Here!)'!$B$18:$N$28,AK$2+1,FALSE)/'User Interface (Start Here!)'!$L$35*$M24*Y24,Y24-VLOOKUP($A24,'User Interface (Start Here!)'!$B$18:$N$28,AK$2+1,FALSE)*$M24*Y24))</f>
        <v>0</v>
      </c>
      <c r="AL24" s="82">
        <f t="shared" si="7"/>
        <v>7.4196123286535187E-2</v>
      </c>
      <c r="AR24" s="130">
        <v>2480</v>
      </c>
      <c r="AS24" s="131">
        <v>9.0796328454477798E-2</v>
      </c>
      <c r="AT24" s="131">
        <v>0.37186802282312081</v>
      </c>
      <c r="AU24" s="131">
        <v>0.23468122054080873</v>
      </c>
      <c r="AV24" s="131">
        <v>6.3259737037955843E-2</v>
      </c>
      <c r="AW24" s="131">
        <v>5.7967419168113786E-2</v>
      </c>
      <c r="AX24" s="131">
        <v>4.0850078557843381E-2</v>
      </c>
      <c r="AY24" s="131">
        <v>3.5144298354419914E-2</v>
      </c>
      <c r="AZ24" s="131">
        <v>2.8446208550401059E-2</v>
      </c>
      <c r="BA24" s="131">
        <v>1.4471181675349375E-2</v>
      </c>
      <c r="BB24" s="131">
        <v>1.6621185809972711E-2</v>
      </c>
      <c r="BC24" s="131">
        <v>1.8771189944596048E-2</v>
      </c>
      <c r="BD24" s="132">
        <v>2.7123129082940543E-2</v>
      </c>
      <c r="BE24" s="77">
        <f>SUM(AS24:BD24)</f>
        <v>1</v>
      </c>
    </row>
    <row r="25" spans="1:57" ht="15.6">
      <c r="A25" s="73">
        <v>3378</v>
      </c>
      <c r="B25" s="61" t="s">
        <v>102</v>
      </c>
      <c r="C25" s="111">
        <v>2714.9804203283525</v>
      </c>
      <c r="D25" s="112">
        <v>4073.4473912132712</v>
      </c>
      <c r="E25" s="113">
        <f t="shared" si="4"/>
        <v>4344.3593768136616</v>
      </c>
      <c r="F25" s="100">
        <v>5908.2392302899389</v>
      </c>
      <c r="G25" s="100">
        <v>53.685705615763084</v>
      </c>
      <c r="H25" s="100">
        <v>6531.2507162771772</v>
      </c>
      <c r="I25" s="101">
        <f t="shared" si="5"/>
        <v>6788.4278115416237</v>
      </c>
      <c r="J25" s="65">
        <f t="shared" si="6"/>
        <v>5.9082392302899391</v>
      </c>
      <c r="K25" s="84">
        <f>(J25)*'User Interface (Start Here!)'!$L$8</f>
        <v>2.3632956921159756</v>
      </c>
      <c r="L25" s="2">
        <f>IF(VLOOKUP(A25,'User Interface (Start Here!)'!$DO$2:$DP$73,2,FALSE)&lt;&gt;0,1,0)</f>
        <v>0</v>
      </c>
      <c r="M25" s="41">
        <f>IF(AND(L25=1,ISBLANK('User Interface (Start Here!)'!$L$14),ISBLANK('User Interface (Start Here!)'!$M$14),ISBLANK('User Interface (Start Here!)'!$N$14)),100%*'User Interface (Start Here!)'!$L$30,IF(L25=1,VLOOKUP(A25,'Bathymetric Closures'!$A$2:$C$57,3,FALSE)*'User Interface (Start Here!)'!$L$30,0%))</f>
        <v>0</v>
      </c>
      <c r="N25" s="79">
        <f t="shared" si="9"/>
        <v>0</v>
      </c>
      <c r="O25" s="79">
        <f t="shared" si="9"/>
        <v>0</v>
      </c>
      <c r="P25" s="79">
        <f t="shared" si="9"/>
        <v>4.1000014907517188E-2</v>
      </c>
      <c r="Q25" s="79">
        <f t="shared" si="9"/>
        <v>0.26058064185902263</v>
      </c>
      <c r="R25" s="79">
        <f t="shared" si="9"/>
        <v>0.31192412557299554</v>
      </c>
      <c r="S25" s="79">
        <f t="shared" si="9"/>
        <v>0.24762015082442754</v>
      </c>
      <c r="T25" s="79">
        <f t="shared" si="9"/>
        <v>0.27117335087768207</v>
      </c>
      <c r="U25" s="79">
        <f t="shared" si="9"/>
        <v>0.78373584727469781</v>
      </c>
      <c r="V25" s="79">
        <f t="shared" si="9"/>
        <v>0.16848638344973627</v>
      </c>
      <c r="W25" s="79">
        <f t="shared" si="9"/>
        <v>0.14431008286597236</v>
      </c>
      <c r="X25" s="79">
        <f t="shared" si="9"/>
        <v>0.11813986058457841</v>
      </c>
      <c r="Y25" s="79">
        <f t="shared" si="9"/>
        <v>1.6325233899345749E-2</v>
      </c>
      <c r="Z25" s="81">
        <f>IF($L25&lt;&gt;1,N25,IF(VLOOKUP($A25,'User Interface (Start Here!)'!$B$18:$N$28,Z$2+1,FALSE)&lt;&gt;100%,N25-VLOOKUP($A25,'User Interface (Start Here!)'!$B$18:$N$28,Z$2+1,FALSE)/'User Interface (Start Here!)'!$L$35*$M25*N25,N25-VLOOKUP($A25,'User Interface (Start Here!)'!$B$18:$N$28,Z$2+1,FALSE)*$M25*N25))</f>
        <v>0</v>
      </c>
      <c r="AA25" s="81">
        <f>IF($L25&lt;&gt;1,O25,IF(VLOOKUP($A25,'User Interface (Start Here!)'!$B$18:$N$28,AA$2+1,FALSE)&lt;&gt;100%,O25-VLOOKUP($A25,'User Interface (Start Here!)'!$B$18:$N$28,AA$2+1,FALSE)/'User Interface (Start Here!)'!$L$35*$M25*O25,O25-VLOOKUP($A25,'User Interface (Start Here!)'!$B$18:$N$28,AA$2+1,FALSE)*$M25*O25))</f>
        <v>0</v>
      </c>
      <c r="AB25" s="81">
        <f>IF($L25&lt;&gt;1,P25,IF(VLOOKUP($A25,'User Interface (Start Here!)'!$B$18:$N$28,AB$2+1,FALSE)&lt;&gt;100%,P25-VLOOKUP($A25,'User Interface (Start Here!)'!$B$18:$N$28,AB$2+1,FALSE)/'User Interface (Start Here!)'!$L$35*$M25*P25,P25-VLOOKUP($A25,'User Interface (Start Here!)'!$B$18:$N$28,AB$2+1,FALSE)*$M25*P25))</f>
        <v>4.1000014907517188E-2</v>
      </c>
      <c r="AC25" s="81">
        <f>IF($L25&lt;&gt;1,Q25,IF(VLOOKUP($A25,'User Interface (Start Here!)'!$B$18:$N$28,AC$2+1,FALSE)&lt;&gt;100%,Q25-VLOOKUP($A25,'User Interface (Start Here!)'!$B$18:$N$28,AC$2+1,FALSE)/'User Interface (Start Here!)'!$L$35*$M25*Q25,Q25-VLOOKUP($A25,'User Interface (Start Here!)'!$B$18:$N$28,AC$2+1,FALSE)*$M25*Q25))</f>
        <v>0.26058064185902263</v>
      </c>
      <c r="AD25" s="81">
        <f>IF($L25&lt;&gt;1,R25,IF(VLOOKUP($A25,'User Interface (Start Here!)'!$B$18:$N$28,AD$2+1,FALSE)&lt;&gt;100%,R25-VLOOKUP($A25,'User Interface (Start Here!)'!$B$18:$N$28,AD$2+1,FALSE)/'User Interface (Start Here!)'!$L$35*$M25*R25,R25-VLOOKUP($A25,'User Interface (Start Here!)'!$B$18:$N$28,AD$2+1,FALSE)*$M25*R25))</f>
        <v>0.31192412557299554</v>
      </c>
      <c r="AE25" s="81">
        <f>IF($L25&lt;&gt;1,S25,IF(VLOOKUP($A25,'User Interface (Start Here!)'!$B$18:$N$28,AE$2+1,FALSE)&lt;&gt;100%,S25-VLOOKUP($A25,'User Interface (Start Here!)'!$B$18:$N$28,AE$2+1,FALSE)/'User Interface (Start Here!)'!$L$35*$M25*S25,S25-VLOOKUP($A25,'User Interface (Start Here!)'!$B$18:$N$28,AE$2+1,FALSE)*$M25*S25))</f>
        <v>0.24762015082442754</v>
      </c>
      <c r="AF25" s="81">
        <f>IF($L25&lt;&gt;1,T25,IF(VLOOKUP($A25,'User Interface (Start Here!)'!$B$18:$N$28,AF$2+1,FALSE)&lt;&gt;100%,T25-VLOOKUP($A25,'User Interface (Start Here!)'!$B$18:$N$28,AF$2+1,FALSE)/'User Interface (Start Here!)'!$L$35*$M25*T25,T25-VLOOKUP($A25,'User Interface (Start Here!)'!$B$18:$N$28,AF$2+1,FALSE)*$M25*T25))</f>
        <v>0.27117335087768207</v>
      </c>
      <c r="AG25" s="81">
        <f>IF($L25&lt;&gt;1,U25,IF(VLOOKUP($A25,'User Interface (Start Here!)'!$B$18:$N$28,AG$2+1,FALSE)&lt;&gt;100%,U25-VLOOKUP($A25,'User Interface (Start Here!)'!$B$18:$N$28,AG$2+1,FALSE)/'User Interface (Start Here!)'!$L$35*$M25*U25,U25-VLOOKUP($A25,'User Interface (Start Here!)'!$B$18:$N$28,AG$2+1,FALSE)*$M25*U25))</f>
        <v>0.78373584727469781</v>
      </c>
      <c r="AH25" s="81">
        <f>IF($L25&lt;&gt;1,V25,IF(VLOOKUP($A25,'User Interface (Start Here!)'!$B$18:$N$28,AH$2+1,FALSE)&lt;&gt;100%,V25-VLOOKUP($A25,'User Interface (Start Here!)'!$B$18:$N$28,AH$2+1,FALSE)/'User Interface (Start Here!)'!$L$35*$M25*V25,V25-VLOOKUP($A25,'User Interface (Start Here!)'!$B$18:$N$28,AH$2+1,FALSE)*$M25*V25))</f>
        <v>0.16848638344973627</v>
      </c>
      <c r="AI25" s="83">
        <f>IF($L25&lt;&gt;1,W25,IF(VLOOKUP($A25,'User Interface (Start Here!)'!$B$18:$N$28,AI$2+1,FALSE)&lt;&gt;100%,W25-VLOOKUP($A25,'User Interface (Start Here!)'!$B$18:$N$28,AI$2+1,FALSE)/'User Interface (Start Here!)'!$L$35*$M25*W25,W25-VLOOKUP($A25,'User Interface (Start Here!)'!$B$18:$N$28,AI$2+1,FALSE)*$M25*W25))</f>
        <v>0.14431008286597236</v>
      </c>
      <c r="AJ25" s="83">
        <f>IF($L25&lt;&gt;1,X25,IF(VLOOKUP($A25,'User Interface (Start Here!)'!$B$18:$N$28,AJ$2+1,FALSE)&lt;&gt;100%,X25-VLOOKUP($A25,'User Interface (Start Here!)'!$B$18:$N$28,AJ$2+1,FALSE)/'User Interface (Start Here!)'!$L$35*$M25*X25,X25-VLOOKUP($A25,'User Interface (Start Here!)'!$B$18:$N$28,AJ$2+1,FALSE)*$M25*X25))</f>
        <v>0.11813986058457841</v>
      </c>
      <c r="AK25" s="83">
        <f>IF($L25&lt;&gt;1,Y25,IF(VLOOKUP($A25,'User Interface (Start Here!)'!$B$18:$N$28,AK$2+1,FALSE)&lt;&gt;100%,Y25-VLOOKUP($A25,'User Interface (Start Here!)'!$B$18:$N$28,AK$2+1,FALSE)/'User Interface (Start Here!)'!$L$35*$M25*Y25,Y25-VLOOKUP($A25,'User Interface (Start Here!)'!$B$18:$N$28,AK$2+1,FALSE)*$M25*Y25))</f>
        <v>1.6325233899345749E-2</v>
      </c>
      <c r="AL25" s="82">
        <f t="shared" si="7"/>
        <v>2.3632956921159756</v>
      </c>
      <c r="AR25" s="133">
        <v>2481</v>
      </c>
      <c r="AS25" s="134">
        <v>0</v>
      </c>
      <c r="AT25" s="134">
        <v>0</v>
      </c>
      <c r="AU25" s="134">
        <v>0</v>
      </c>
      <c r="AV25" s="134">
        <v>0</v>
      </c>
      <c r="AW25" s="134">
        <v>0</v>
      </c>
      <c r="AX25" s="134">
        <v>0</v>
      </c>
      <c r="AY25" s="134">
        <v>0.83050847457627119</v>
      </c>
      <c r="AZ25" s="134">
        <v>0.16949152542372883</v>
      </c>
      <c r="BA25" s="134">
        <v>0</v>
      </c>
      <c r="BB25" s="134">
        <v>0</v>
      </c>
      <c r="BC25" s="134">
        <v>0</v>
      </c>
      <c r="BD25" s="135">
        <v>0</v>
      </c>
      <c r="BE25" s="77">
        <f>BE24</f>
        <v>1</v>
      </c>
    </row>
    <row r="26" spans="1:57" ht="15.6">
      <c r="A26" s="73">
        <v>3475</v>
      </c>
      <c r="B26" s="61" t="s">
        <v>102</v>
      </c>
      <c r="C26" s="111">
        <v>23.584529012116402</v>
      </c>
      <c r="D26" s="112">
        <v>35.385278456549756</v>
      </c>
      <c r="E26" s="113">
        <f t="shared" si="4"/>
        <v>37.738640394736308</v>
      </c>
      <c r="F26" s="100">
        <v>63.950626290346882</v>
      </c>
      <c r="G26" s="100">
        <v>51.179330004483838</v>
      </c>
      <c r="H26" s="100">
        <v>56.735757963519951</v>
      </c>
      <c r="I26" s="101">
        <f t="shared" si="5"/>
        <v>58.969807468666161</v>
      </c>
      <c r="J26" s="65">
        <f t="shared" si="6"/>
        <v>6.3950626290346882E-2</v>
      </c>
      <c r="K26" s="84">
        <f>(J26)*'User Interface (Start Here!)'!$L$8</f>
        <v>2.5580250516138756E-2</v>
      </c>
      <c r="L26" s="2">
        <f>IF(VLOOKUP(A26,'User Interface (Start Here!)'!$DO$2:$DP$73,2,FALSE)&lt;&gt;0,1,0)</f>
        <v>0</v>
      </c>
      <c r="M26" s="41">
        <f>IF(AND(L26=1,ISBLANK('User Interface (Start Here!)'!$L$14),ISBLANK('User Interface (Start Here!)'!$M$14),ISBLANK('User Interface (Start Here!)'!$N$14)),100%*'User Interface (Start Here!)'!$L$30,IF(L26=1,VLOOKUP(A26,'Bathymetric Closures'!$A$2:$C$57,3,FALSE)*'User Interface (Start Here!)'!$L$30,0%))</f>
        <v>0</v>
      </c>
      <c r="N26" s="79">
        <f t="shared" si="9"/>
        <v>0</v>
      </c>
      <c r="O26" s="79">
        <f t="shared" si="9"/>
        <v>0</v>
      </c>
      <c r="P26" s="79">
        <f t="shared" si="9"/>
        <v>0</v>
      </c>
      <c r="Q26" s="79">
        <f t="shared" si="9"/>
        <v>0</v>
      </c>
      <c r="R26" s="79">
        <f t="shared" si="9"/>
        <v>4.0761560082045525E-3</v>
      </c>
      <c r="S26" s="79">
        <f t="shared" si="9"/>
        <v>3.7663217450771107E-3</v>
      </c>
      <c r="T26" s="79">
        <f t="shared" si="9"/>
        <v>4.435629289334833E-3</v>
      </c>
      <c r="U26" s="79">
        <f t="shared" si="9"/>
        <v>0</v>
      </c>
      <c r="V26" s="79">
        <f t="shared" si="9"/>
        <v>8.8678426146424523E-3</v>
      </c>
      <c r="W26" s="79">
        <f t="shared" si="9"/>
        <v>4.4343008588798062E-3</v>
      </c>
      <c r="X26" s="79">
        <f t="shared" si="9"/>
        <v>0</v>
      </c>
      <c r="Y26" s="79">
        <f t="shared" si="9"/>
        <v>0</v>
      </c>
      <c r="Z26" s="81">
        <f>IF($L26&lt;&gt;1,N26,IF(VLOOKUP($A26,'User Interface (Start Here!)'!$B$18:$N$28,Z$2+1,FALSE)&lt;&gt;100%,N26-VLOOKUP($A26,'User Interface (Start Here!)'!$B$18:$N$28,Z$2+1,FALSE)/'User Interface (Start Here!)'!$L$35*$M26*N26,N26-VLOOKUP($A26,'User Interface (Start Here!)'!$B$18:$N$28,Z$2+1,FALSE)*$M26*N26))</f>
        <v>0</v>
      </c>
      <c r="AA26" s="81">
        <f>IF($L26&lt;&gt;1,O26,IF(VLOOKUP($A26,'User Interface (Start Here!)'!$B$18:$N$28,AA$2+1,FALSE)&lt;&gt;100%,O26-VLOOKUP($A26,'User Interface (Start Here!)'!$B$18:$N$28,AA$2+1,FALSE)/'User Interface (Start Here!)'!$L$35*$M26*O26,O26-VLOOKUP($A26,'User Interface (Start Here!)'!$B$18:$N$28,AA$2+1,FALSE)*$M26*O26))</f>
        <v>0</v>
      </c>
      <c r="AB26" s="81">
        <f>IF($L26&lt;&gt;1,P26,IF(VLOOKUP($A26,'User Interface (Start Here!)'!$B$18:$N$28,AB$2+1,FALSE)&lt;&gt;100%,P26-VLOOKUP($A26,'User Interface (Start Here!)'!$B$18:$N$28,AB$2+1,FALSE)/'User Interface (Start Here!)'!$L$35*$M26*P26,P26-VLOOKUP($A26,'User Interface (Start Here!)'!$B$18:$N$28,AB$2+1,FALSE)*$M26*P26))</f>
        <v>0</v>
      </c>
      <c r="AC26" s="81">
        <f>IF($L26&lt;&gt;1,Q26,IF(VLOOKUP($A26,'User Interface (Start Here!)'!$B$18:$N$28,AC$2+1,FALSE)&lt;&gt;100%,Q26-VLOOKUP($A26,'User Interface (Start Here!)'!$B$18:$N$28,AC$2+1,FALSE)/'User Interface (Start Here!)'!$L$35*$M26*Q26,Q26-VLOOKUP($A26,'User Interface (Start Here!)'!$B$18:$N$28,AC$2+1,FALSE)*$M26*Q26))</f>
        <v>0</v>
      </c>
      <c r="AD26" s="81">
        <f>IF($L26&lt;&gt;1,R26,IF(VLOOKUP($A26,'User Interface (Start Here!)'!$B$18:$N$28,AD$2+1,FALSE)&lt;&gt;100%,R26-VLOOKUP($A26,'User Interface (Start Here!)'!$B$18:$N$28,AD$2+1,FALSE)/'User Interface (Start Here!)'!$L$35*$M26*R26,R26-VLOOKUP($A26,'User Interface (Start Here!)'!$B$18:$N$28,AD$2+1,FALSE)*$M26*R26))</f>
        <v>4.0761560082045525E-3</v>
      </c>
      <c r="AE26" s="81">
        <f>IF($L26&lt;&gt;1,S26,IF(VLOOKUP($A26,'User Interface (Start Here!)'!$B$18:$N$28,AE$2+1,FALSE)&lt;&gt;100%,S26-VLOOKUP($A26,'User Interface (Start Here!)'!$B$18:$N$28,AE$2+1,FALSE)/'User Interface (Start Here!)'!$L$35*$M26*S26,S26-VLOOKUP($A26,'User Interface (Start Here!)'!$B$18:$N$28,AE$2+1,FALSE)*$M26*S26))</f>
        <v>3.7663217450771107E-3</v>
      </c>
      <c r="AF26" s="81">
        <f>IF($L26&lt;&gt;1,T26,IF(VLOOKUP($A26,'User Interface (Start Here!)'!$B$18:$N$28,AF$2+1,FALSE)&lt;&gt;100%,T26-VLOOKUP($A26,'User Interface (Start Here!)'!$B$18:$N$28,AF$2+1,FALSE)/'User Interface (Start Here!)'!$L$35*$M26*T26,T26-VLOOKUP($A26,'User Interface (Start Here!)'!$B$18:$N$28,AF$2+1,FALSE)*$M26*T26))</f>
        <v>4.435629289334833E-3</v>
      </c>
      <c r="AG26" s="81">
        <f>IF($L26&lt;&gt;1,U26,IF(VLOOKUP($A26,'User Interface (Start Here!)'!$B$18:$N$28,AG$2+1,FALSE)&lt;&gt;100%,U26-VLOOKUP($A26,'User Interface (Start Here!)'!$B$18:$N$28,AG$2+1,FALSE)/'User Interface (Start Here!)'!$L$35*$M26*U26,U26-VLOOKUP($A26,'User Interface (Start Here!)'!$B$18:$N$28,AG$2+1,FALSE)*$M26*U26))</f>
        <v>0</v>
      </c>
      <c r="AH26" s="81">
        <f>IF($L26&lt;&gt;1,V26,IF(VLOOKUP($A26,'User Interface (Start Here!)'!$B$18:$N$28,AH$2+1,FALSE)&lt;&gt;100%,V26-VLOOKUP($A26,'User Interface (Start Here!)'!$B$18:$N$28,AH$2+1,FALSE)/'User Interface (Start Here!)'!$L$35*$M26*V26,V26-VLOOKUP($A26,'User Interface (Start Here!)'!$B$18:$N$28,AH$2+1,FALSE)*$M26*V26))</f>
        <v>8.8678426146424523E-3</v>
      </c>
      <c r="AI26" s="83">
        <f>IF($L26&lt;&gt;1,W26,IF(VLOOKUP($A26,'User Interface (Start Here!)'!$B$18:$N$28,AI$2+1,FALSE)&lt;&gt;100%,W26-VLOOKUP($A26,'User Interface (Start Here!)'!$B$18:$N$28,AI$2+1,FALSE)/'User Interface (Start Here!)'!$L$35*$M26*W26,W26-VLOOKUP($A26,'User Interface (Start Here!)'!$B$18:$N$28,AI$2+1,FALSE)*$M26*W26))</f>
        <v>4.4343008588798062E-3</v>
      </c>
      <c r="AJ26" s="83">
        <f>IF($L26&lt;&gt;1,X26,IF(VLOOKUP($A26,'User Interface (Start Here!)'!$B$18:$N$28,AJ$2+1,FALSE)&lt;&gt;100%,X26-VLOOKUP($A26,'User Interface (Start Here!)'!$B$18:$N$28,AJ$2+1,FALSE)/'User Interface (Start Here!)'!$L$35*$M26*X26,X26-VLOOKUP($A26,'User Interface (Start Here!)'!$B$18:$N$28,AJ$2+1,FALSE)*$M26*X26))</f>
        <v>0</v>
      </c>
      <c r="AK26" s="83">
        <f>IF($L26&lt;&gt;1,Y26,IF(VLOOKUP($A26,'User Interface (Start Here!)'!$B$18:$N$28,AK$2+1,FALSE)&lt;&gt;100%,Y26-VLOOKUP($A26,'User Interface (Start Here!)'!$B$18:$N$28,AK$2+1,FALSE)/'User Interface (Start Here!)'!$L$35*$M26*Y26,Y26-VLOOKUP($A26,'User Interface (Start Here!)'!$B$18:$N$28,AK$2+1,FALSE)*$M26*Y26))</f>
        <v>0</v>
      </c>
      <c r="AL26" s="82">
        <f t="shared" si="7"/>
        <v>2.5580250516138756E-2</v>
      </c>
      <c r="AR26" s="133">
        <v>2482</v>
      </c>
      <c r="AS26" s="134">
        <v>4.4750383233364208E-2</v>
      </c>
      <c r="AT26" s="134">
        <v>3.4869022144327341E-2</v>
      </c>
      <c r="AU26" s="134">
        <v>5.9743263527730149E-2</v>
      </c>
      <c r="AV26" s="134">
        <v>7.4098653783010587E-2</v>
      </c>
      <c r="AW26" s="134">
        <v>0.27959708809257766</v>
      </c>
      <c r="AX26" s="134">
        <v>9.8542888668751175E-2</v>
      </c>
      <c r="AY26" s="134">
        <v>0.13279786046254877</v>
      </c>
      <c r="AZ26" s="134">
        <v>7.2237054694903435E-2</v>
      </c>
      <c r="BA26" s="134">
        <v>4.2768060062431092E-2</v>
      </c>
      <c r="BB26" s="134">
        <v>9.0899179559631421E-2</v>
      </c>
      <c r="BC26" s="134">
        <v>5.2830551363957139E-2</v>
      </c>
      <c r="BD26" s="135">
        <v>1.6865994406767029E-2</v>
      </c>
      <c r="BE26" s="77">
        <f>SUM(AS26:BD26)</f>
        <v>0.99999999999999989</v>
      </c>
    </row>
    <row r="27" spans="1:57" ht="15.6">
      <c r="A27" s="73">
        <v>3476</v>
      </c>
      <c r="B27" s="61" t="s">
        <v>102</v>
      </c>
      <c r="C27" s="111">
        <v>470.5433798767321</v>
      </c>
      <c r="D27" s="112">
        <v>705.98435585761536</v>
      </c>
      <c r="E27" s="113">
        <f t="shared" si="4"/>
        <v>752.9371222197783</v>
      </c>
      <c r="F27" s="100">
        <v>1057.074905441312</v>
      </c>
      <c r="G27" s="100">
        <v>40.448180164834007</v>
      </c>
      <c r="H27" s="100">
        <v>1131.9554144289962</v>
      </c>
      <c r="I27" s="101">
        <f t="shared" si="5"/>
        <v>1176.5277357343475</v>
      </c>
      <c r="J27" s="65">
        <f t="shared" si="6"/>
        <v>1.057074905441312</v>
      </c>
      <c r="K27" s="84">
        <f>(J27)*'User Interface (Start Here!)'!$L$8</f>
        <v>0.4228299621765248</v>
      </c>
      <c r="L27" s="2">
        <f>IF(VLOOKUP(A27,'User Interface (Start Here!)'!$DO$2:$DP$73,2,FALSE)&lt;&gt;0,1,0)</f>
        <v>0</v>
      </c>
      <c r="M27" s="41">
        <f>IF(AND(L27=1,ISBLANK('User Interface (Start Here!)'!$L$14),ISBLANK('User Interface (Start Here!)'!$M$14),ISBLANK('User Interface (Start Here!)'!$N$14)),100%*'User Interface (Start Here!)'!$L$30,IF(L27=1,VLOOKUP(A27,'Bathymetric Closures'!$A$2:$C$57,3,FALSE)*'User Interface (Start Here!)'!$L$30,0%))</f>
        <v>0</v>
      </c>
      <c r="N27" s="79">
        <f t="shared" si="9"/>
        <v>3.6557654387734805E-2</v>
      </c>
      <c r="O27" s="79">
        <f t="shared" si="9"/>
        <v>0</v>
      </c>
      <c r="P27" s="79">
        <f t="shared" si="9"/>
        <v>3.0248959021821814E-2</v>
      </c>
      <c r="Q27" s="79">
        <f t="shared" si="9"/>
        <v>0</v>
      </c>
      <c r="R27" s="79">
        <f t="shared" si="9"/>
        <v>0.13440483157396602</v>
      </c>
      <c r="S27" s="79">
        <f t="shared" si="9"/>
        <v>0.12338980508206085</v>
      </c>
      <c r="T27" s="79">
        <f t="shared" si="9"/>
        <v>1.7797605770317419E-2</v>
      </c>
      <c r="U27" s="79">
        <f t="shared" si="9"/>
        <v>3.3451400399442349E-3</v>
      </c>
      <c r="V27" s="79">
        <f t="shared" si="9"/>
        <v>0</v>
      </c>
      <c r="W27" s="79">
        <f t="shared" si="9"/>
        <v>4.6976661009860157E-2</v>
      </c>
      <c r="X27" s="79">
        <f t="shared" si="9"/>
        <v>3.0109305290819465E-2</v>
      </c>
      <c r="Y27" s="79">
        <f t="shared" si="9"/>
        <v>0</v>
      </c>
      <c r="Z27" s="81">
        <f>IF($L27&lt;&gt;1,N27,IF(VLOOKUP($A27,'User Interface (Start Here!)'!$B$18:$N$28,Z$2+1,FALSE)&lt;&gt;100%,N27-VLOOKUP($A27,'User Interface (Start Here!)'!$B$18:$N$28,Z$2+1,FALSE)/'User Interface (Start Here!)'!$L$35*$M27*N27,N27-VLOOKUP($A27,'User Interface (Start Here!)'!$B$18:$N$28,Z$2+1,FALSE)*$M27*N27))</f>
        <v>3.6557654387734805E-2</v>
      </c>
      <c r="AA27" s="81">
        <f>IF($L27&lt;&gt;1,O27,IF(VLOOKUP($A27,'User Interface (Start Here!)'!$B$18:$N$28,AA$2+1,FALSE)&lt;&gt;100%,O27-VLOOKUP($A27,'User Interface (Start Here!)'!$B$18:$N$28,AA$2+1,FALSE)/'User Interface (Start Here!)'!$L$35*$M27*O27,O27-VLOOKUP($A27,'User Interface (Start Here!)'!$B$18:$N$28,AA$2+1,FALSE)*$M27*O27))</f>
        <v>0</v>
      </c>
      <c r="AB27" s="81">
        <f>IF($L27&lt;&gt;1,P27,IF(VLOOKUP($A27,'User Interface (Start Here!)'!$B$18:$N$28,AB$2+1,FALSE)&lt;&gt;100%,P27-VLOOKUP($A27,'User Interface (Start Here!)'!$B$18:$N$28,AB$2+1,FALSE)/'User Interface (Start Here!)'!$L$35*$M27*P27,P27-VLOOKUP($A27,'User Interface (Start Here!)'!$B$18:$N$28,AB$2+1,FALSE)*$M27*P27))</f>
        <v>3.0248959021821814E-2</v>
      </c>
      <c r="AC27" s="81">
        <f>IF($L27&lt;&gt;1,Q27,IF(VLOOKUP($A27,'User Interface (Start Here!)'!$B$18:$N$28,AC$2+1,FALSE)&lt;&gt;100%,Q27-VLOOKUP($A27,'User Interface (Start Here!)'!$B$18:$N$28,AC$2+1,FALSE)/'User Interface (Start Here!)'!$L$35*$M27*Q27,Q27-VLOOKUP($A27,'User Interface (Start Here!)'!$B$18:$N$28,AC$2+1,FALSE)*$M27*Q27))</f>
        <v>0</v>
      </c>
      <c r="AD27" s="81">
        <f>IF($L27&lt;&gt;1,R27,IF(VLOOKUP($A27,'User Interface (Start Here!)'!$B$18:$N$28,AD$2+1,FALSE)&lt;&gt;100%,R27-VLOOKUP($A27,'User Interface (Start Here!)'!$B$18:$N$28,AD$2+1,FALSE)/'User Interface (Start Here!)'!$L$35*$M27*R27,R27-VLOOKUP($A27,'User Interface (Start Here!)'!$B$18:$N$28,AD$2+1,FALSE)*$M27*R27))</f>
        <v>0.13440483157396602</v>
      </c>
      <c r="AE27" s="81">
        <f>IF($L27&lt;&gt;1,S27,IF(VLOOKUP($A27,'User Interface (Start Here!)'!$B$18:$N$28,AE$2+1,FALSE)&lt;&gt;100%,S27-VLOOKUP($A27,'User Interface (Start Here!)'!$B$18:$N$28,AE$2+1,FALSE)/'User Interface (Start Here!)'!$L$35*$M27*S27,S27-VLOOKUP($A27,'User Interface (Start Here!)'!$B$18:$N$28,AE$2+1,FALSE)*$M27*S27))</f>
        <v>0.12338980508206085</v>
      </c>
      <c r="AF27" s="81">
        <f>IF($L27&lt;&gt;1,T27,IF(VLOOKUP($A27,'User Interface (Start Here!)'!$B$18:$N$28,AF$2+1,FALSE)&lt;&gt;100%,T27-VLOOKUP($A27,'User Interface (Start Here!)'!$B$18:$N$28,AF$2+1,FALSE)/'User Interface (Start Here!)'!$L$35*$M27*T27,T27-VLOOKUP($A27,'User Interface (Start Here!)'!$B$18:$N$28,AF$2+1,FALSE)*$M27*T27))</f>
        <v>1.7797605770317419E-2</v>
      </c>
      <c r="AG27" s="81">
        <f>IF($L27&lt;&gt;1,U27,IF(VLOOKUP($A27,'User Interface (Start Here!)'!$B$18:$N$28,AG$2+1,FALSE)&lt;&gt;100%,U27-VLOOKUP($A27,'User Interface (Start Here!)'!$B$18:$N$28,AG$2+1,FALSE)/'User Interface (Start Here!)'!$L$35*$M27*U27,U27-VLOOKUP($A27,'User Interface (Start Here!)'!$B$18:$N$28,AG$2+1,FALSE)*$M27*U27))</f>
        <v>3.3451400399442349E-3</v>
      </c>
      <c r="AH27" s="81">
        <f>IF($L27&lt;&gt;1,V27,IF(VLOOKUP($A27,'User Interface (Start Here!)'!$B$18:$N$28,AH$2+1,FALSE)&lt;&gt;100%,V27-VLOOKUP($A27,'User Interface (Start Here!)'!$B$18:$N$28,AH$2+1,FALSE)/'User Interface (Start Here!)'!$L$35*$M27*V27,V27-VLOOKUP($A27,'User Interface (Start Here!)'!$B$18:$N$28,AH$2+1,FALSE)*$M27*V27))</f>
        <v>0</v>
      </c>
      <c r="AI27" s="83">
        <f>IF($L27&lt;&gt;1,W27,IF(VLOOKUP($A27,'User Interface (Start Here!)'!$B$18:$N$28,AI$2+1,FALSE)&lt;&gt;100%,W27-VLOOKUP($A27,'User Interface (Start Here!)'!$B$18:$N$28,AI$2+1,FALSE)/'User Interface (Start Here!)'!$L$35*$M27*W27,W27-VLOOKUP($A27,'User Interface (Start Here!)'!$B$18:$N$28,AI$2+1,FALSE)*$M27*W27))</f>
        <v>4.6976661009860157E-2</v>
      </c>
      <c r="AJ27" s="83">
        <f>IF($L27&lt;&gt;1,X27,IF(VLOOKUP($A27,'User Interface (Start Here!)'!$B$18:$N$28,AJ$2+1,FALSE)&lt;&gt;100%,X27-VLOOKUP($A27,'User Interface (Start Here!)'!$B$18:$N$28,AJ$2+1,FALSE)/'User Interface (Start Here!)'!$L$35*$M27*X27,X27-VLOOKUP($A27,'User Interface (Start Here!)'!$B$18:$N$28,AJ$2+1,FALSE)*$M27*X27))</f>
        <v>3.0109305290819465E-2</v>
      </c>
      <c r="AK27" s="83">
        <f>IF($L27&lt;&gt;1,Y27,IF(VLOOKUP($A27,'User Interface (Start Here!)'!$B$18:$N$28,AK$2+1,FALSE)&lt;&gt;100%,Y27-VLOOKUP($A27,'User Interface (Start Here!)'!$B$18:$N$28,AK$2+1,FALSE)/'User Interface (Start Here!)'!$L$35*$M27*Y27,Y27-VLOOKUP($A27,'User Interface (Start Here!)'!$B$18:$N$28,AK$2+1,FALSE)*$M27*Y27))</f>
        <v>0</v>
      </c>
      <c r="AL27" s="82">
        <f t="shared" si="7"/>
        <v>0.42282996217652474</v>
      </c>
      <c r="AR27" s="133">
        <v>2579</v>
      </c>
      <c r="AS27" s="136">
        <v>9.0796328454477798E-2</v>
      </c>
      <c r="AT27" s="136">
        <v>0.37186802282312081</v>
      </c>
      <c r="AU27" s="136">
        <v>0.23468122054080873</v>
      </c>
      <c r="AV27" s="136">
        <v>6.3259737037955843E-2</v>
      </c>
      <c r="AW27" s="136">
        <v>5.7967419168113786E-2</v>
      </c>
      <c r="AX27" s="136">
        <v>4.0850078557843381E-2</v>
      </c>
      <c r="AY27" s="136">
        <v>3.5144298354419914E-2</v>
      </c>
      <c r="AZ27" s="136">
        <v>2.8446208550401059E-2</v>
      </c>
      <c r="BA27" s="136">
        <v>1.4471181675349375E-2</v>
      </c>
      <c r="BB27" s="136">
        <v>1.6621185809972711E-2</v>
      </c>
      <c r="BC27" s="136">
        <v>1.8771189944596048E-2</v>
      </c>
      <c r="BD27" s="137">
        <v>2.7123129082940543E-2</v>
      </c>
      <c r="BE27" s="77">
        <f>SUM(AS27:BD27)</f>
        <v>1</v>
      </c>
    </row>
    <row r="28" spans="1:57" ht="15.6">
      <c r="A28" s="73">
        <v>3477</v>
      </c>
      <c r="B28" s="61" t="s">
        <v>102</v>
      </c>
      <c r="C28" s="111">
        <v>14.333333333333334</v>
      </c>
      <c r="D28" s="112">
        <v>21.505156662233173</v>
      </c>
      <c r="E28" s="113">
        <f t="shared" si="4"/>
        <v>22.935395998226603</v>
      </c>
      <c r="F28" s="100">
        <v>38.865547962567383</v>
      </c>
      <c r="G28" s="100">
        <v>35.49534177730331</v>
      </c>
      <c r="H28" s="100">
        <v>34.480761960210025</v>
      </c>
      <c r="I28" s="101">
        <f t="shared" si="5"/>
        <v>35.838489995566505</v>
      </c>
      <c r="J28" s="65">
        <f t="shared" si="6"/>
        <v>3.886554796256738E-2</v>
      </c>
      <c r="K28" s="84">
        <f>(J28)*'User Interface (Start Here!)'!$L$8</f>
        <v>1.5546219185026952E-2</v>
      </c>
      <c r="L28" s="2">
        <f>IF(VLOOKUP(A28,'User Interface (Start Here!)'!$DO$2:$DP$73,2,FALSE)&lt;&gt;0,1,0)</f>
        <v>0</v>
      </c>
      <c r="M28" s="41">
        <f>IF(AND(L28=1,ISBLANK('User Interface (Start Here!)'!$L$14),ISBLANK('User Interface (Start Here!)'!$M$14),ISBLANK('User Interface (Start Here!)'!$N$14)),100%*'User Interface (Start Here!)'!$L$30,IF(L28=1,VLOOKUP(A28,'Bathymetric Closures'!$A$2:$C$57,3,FALSE)*'User Interface (Start Here!)'!$L$30,0%))</f>
        <v>0</v>
      </c>
      <c r="N28" s="79">
        <f t="shared" si="9"/>
        <v>4.7707974218601229E-4</v>
      </c>
      <c r="O28" s="79">
        <f t="shared" si="9"/>
        <v>9.8706153555726673E-5</v>
      </c>
      <c r="P28" s="79">
        <f t="shared" si="9"/>
        <v>7.649726900568818E-4</v>
      </c>
      <c r="Q28" s="79">
        <f t="shared" si="9"/>
        <v>3.7014807583397505E-4</v>
      </c>
      <c r="R28" s="79">
        <f t="shared" si="9"/>
        <v>3.2655285801352911E-3</v>
      </c>
      <c r="S28" s="79">
        <f t="shared" si="9"/>
        <v>4.8695035754158494E-3</v>
      </c>
      <c r="T28" s="79">
        <f t="shared" si="9"/>
        <v>3.0516652474312164E-3</v>
      </c>
      <c r="U28" s="79">
        <f t="shared" si="9"/>
        <v>3.8659910142659618E-4</v>
      </c>
      <c r="V28" s="79">
        <f t="shared" si="9"/>
        <v>1.0857676891129935E-3</v>
      </c>
      <c r="W28" s="79">
        <f t="shared" si="9"/>
        <v>9.0480640759416119E-4</v>
      </c>
      <c r="X28" s="79">
        <f t="shared" si="9"/>
        <v>2.7144192227824838E-4</v>
      </c>
      <c r="Y28" s="79">
        <f t="shared" si="9"/>
        <v>0</v>
      </c>
      <c r="Z28" s="81">
        <f>IF($L28&lt;&gt;1,N28,IF(VLOOKUP($A28,'User Interface (Start Here!)'!$B$18:$N$28,Z$2+1,FALSE)&lt;&gt;100%,N28-VLOOKUP($A28,'User Interface (Start Here!)'!$B$18:$N$28,Z$2+1,FALSE)/'User Interface (Start Here!)'!$L$35*$M28*N28,N28-VLOOKUP($A28,'User Interface (Start Here!)'!$B$18:$N$28,Z$2+1,FALSE)*$M28*N28))</f>
        <v>4.7707974218601229E-4</v>
      </c>
      <c r="AA28" s="81">
        <f>IF($L28&lt;&gt;1,O28,IF(VLOOKUP($A28,'User Interface (Start Here!)'!$B$18:$N$28,AA$2+1,FALSE)&lt;&gt;100%,O28-VLOOKUP($A28,'User Interface (Start Here!)'!$B$18:$N$28,AA$2+1,FALSE)/'User Interface (Start Here!)'!$L$35*$M28*O28,O28-VLOOKUP($A28,'User Interface (Start Here!)'!$B$18:$N$28,AA$2+1,FALSE)*$M28*O28))</f>
        <v>9.8706153555726673E-5</v>
      </c>
      <c r="AB28" s="81">
        <f>IF($L28&lt;&gt;1,P28,IF(VLOOKUP($A28,'User Interface (Start Here!)'!$B$18:$N$28,AB$2+1,FALSE)&lt;&gt;100%,P28-VLOOKUP($A28,'User Interface (Start Here!)'!$B$18:$N$28,AB$2+1,FALSE)/'User Interface (Start Here!)'!$L$35*$M28*P28,P28-VLOOKUP($A28,'User Interface (Start Here!)'!$B$18:$N$28,AB$2+1,FALSE)*$M28*P28))</f>
        <v>7.649726900568818E-4</v>
      </c>
      <c r="AC28" s="81">
        <f>IF($L28&lt;&gt;1,Q28,IF(VLOOKUP($A28,'User Interface (Start Here!)'!$B$18:$N$28,AC$2+1,FALSE)&lt;&gt;100%,Q28-VLOOKUP($A28,'User Interface (Start Here!)'!$B$18:$N$28,AC$2+1,FALSE)/'User Interface (Start Here!)'!$L$35*$M28*Q28,Q28-VLOOKUP($A28,'User Interface (Start Here!)'!$B$18:$N$28,AC$2+1,FALSE)*$M28*Q28))</f>
        <v>3.7014807583397505E-4</v>
      </c>
      <c r="AD28" s="81">
        <f>IF($L28&lt;&gt;1,R28,IF(VLOOKUP($A28,'User Interface (Start Here!)'!$B$18:$N$28,AD$2+1,FALSE)&lt;&gt;100%,R28-VLOOKUP($A28,'User Interface (Start Here!)'!$B$18:$N$28,AD$2+1,FALSE)/'User Interface (Start Here!)'!$L$35*$M28*R28,R28-VLOOKUP($A28,'User Interface (Start Here!)'!$B$18:$N$28,AD$2+1,FALSE)*$M28*R28))</f>
        <v>3.2655285801352911E-3</v>
      </c>
      <c r="AE28" s="81">
        <f>IF($L28&lt;&gt;1,S28,IF(VLOOKUP($A28,'User Interface (Start Here!)'!$B$18:$N$28,AE$2+1,FALSE)&lt;&gt;100%,S28-VLOOKUP($A28,'User Interface (Start Here!)'!$B$18:$N$28,AE$2+1,FALSE)/'User Interface (Start Here!)'!$L$35*$M28*S28,S28-VLOOKUP($A28,'User Interface (Start Here!)'!$B$18:$N$28,AE$2+1,FALSE)*$M28*S28))</f>
        <v>4.8695035754158494E-3</v>
      </c>
      <c r="AF28" s="81">
        <f>IF($L28&lt;&gt;1,T28,IF(VLOOKUP($A28,'User Interface (Start Here!)'!$B$18:$N$28,AF$2+1,FALSE)&lt;&gt;100%,T28-VLOOKUP($A28,'User Interface (Start Here!)'!$B$18:$N$28,AF$2+1,FALSE)/'User Interface (Start Here!)'!$L$35*$M28*T28,T28-VLOOKUP($A28,'User Interface (Start Here!)'!$B$18:$N$28,AF$2+1,FALSE)*$M28*T28))</f>
        <v>3.0516652474312164E-3</v>
      </c>
      <c r="AG28" s="81">
        <f>IF($L28&lt;&gt;1,U28,IF(VLOOKUP($A28,'User Interface (Start Here!)'!$B$18:$N$28,AG$2+1,FALSE)&lt;&gt;100%,U28-VLOOKUP($A28,'User Interface (Start Here!)'!$B$18:$N$28,AG$2+1,FALSE)/'User Interface (Start Here!)'!$L$35*$M28*U28,U28-VLOOKUP($A28,'User Interface (Start Here!)'!$B$18:$N$28,AG$2+1,FALSE)*$M28*U28))</f>
        <v>3.8659910142659618E-4</v>
      </c>
      <c r="AH28" s="81">
        <f>IF($L28&lt;&gt;1,V28,IF(VLOOKUP($A28,'User Interface (Start Here!)'!$B$18:$N$28,AH$2+1,FALSE)&lt;&gt;100%,V28-VLOOKUP($A28,'User Interface (Start Here!)'!$B$18:$N$28,AH$2+1,FALSE)/'User Interface (Start Here!)'!$L$35*$M28*V28,V28-VLOOKUP($A28,'User Interface (Start Here!)'!$B$18:$N$28,AH$2+1,FALSE)*$M28*V28))</f>
        <v>1.0857676891129935E-3</v>
      </c>
      <c r="AI28" s="83">
        <f>IF($L28&lt;&gt;1,W28,IF(VLOOKUP($A28,'User Interface (Start Here!)'!$B$18:$N$28,AI$2+1,FALSE)&lt;&gt;100%,W28-VLOOKUP($A28,'User Interface (Start Here!)'!$B$18:$N$28,AI$2+1,FALSE)/'User Interface (Start Here!)'!$L$35*$M28*W28,W28-VLOOKUP($A28,'User Interface (Start Here!)'!$B$18:$N$28,AI$2+1,FALSE)*$M28*W28))</f>
        <v>9.0480640759416119E-4</v>
      </c>
      <c r="AJ28" s="83">
        <f>IF($L28&lt;&gt;1,X28,IF(VLOOKUP($A28,'User Interface (Start Here!)'!$B$18:$N$28,AJ$2+1,FALSE)&lt;&gt;100%,X28-VLOOKUP($A28,'User Interface (Start Here!)'!$B$18:$N$28,AJ$2+1,FALSE)/'User Interface (Start Here!)'!$L$35*$M28*X28,X28-VLOOKUP($A28,'User Interface (Start Here!)'!$B$18:$N$28,AJ$2+1,FALSE)*$M28*X28))</f>
        <v>2.7144192227824838E-4</v>
      </c>
      <c r="AK28" s="83">
        <f>IF($L28&lt;&gt;1,Y28,IF(VLOOKUP($A28,'User Interface (Start Here!)'!$B$18:$N$28,AK$2+1,FALSE)&lt;&gt;100%,Y28-VLOOKUP($A28,'User Interface (Start Here!)'!$B$18:$N$28,AK$2+1,FALSE)/'User Interface (Start Here!)'!$L$35*$M28*Y28,Y28-VLOOKUP($A28,'User Interface (Start Here!)'!$B$18:$N$28,AK$2+1,FALSE)*$M28*Y28))</f>
        <v>0</v>
      </c>
      <c r="AL28" s="82">
        <f t="shared" si="7"/>
        <v>1.554621918502695E-2</v>
      </c>
      <c r="AR28" s="133">
        <v>2580</v>
      </c>
      <c r="AS28" s="134">
        <v>0</v>
      </c>
      <c r="AT28" s="134">
        <v>0.7144190387307513</v>
      </c>
      <c r="AU28" s="134">
        <v>0.14279048063462435</v>
      </c>
      <c r="AV28" s="134">
        <v>0</v>
      </c>
      <c r="AW28" s="134">
        <v>0</v>
      </c>
      <c r="AX28" s="134">
        <v>0.14279048063462435</v>
      </c>
      <c r="AY28" s="134">
        <v>0</v>
      </c>
      <c r="AZ28" s="134">
        <v>0</v>
      </c>
      <c r="BA28" s="134">
        <v>0</v>
      </c>
      <c r="BB28" s="134">
        <v>0</v>
      </c>
      <c r="BC28" s="134">
        <v>0</v>
      </c>
      <c r="BD28" s="135">
        <v>0</v>
      </c>
      <c r="BE28" s="77">
        <f>SUM(AS28:BD28)</f>
        <v>1</v>
      </c>
    </row>
    <row r="29" spans="1:57" ht="16.2" thickBot="1">
      <c r="A29" s="74">
        <v>3575</v>
      </c>
      <c r="B29" s="62" t="s">
        <v>102</v>
      </c>
      <c r="C29" s="111">
        <v>46.044916049206343</v>
      </c>
      <c r="D29" s="112">
        <v>69.083939521224906</v>
      </c>
      <c r="E29" s="113">
        <f t="shared" si="4"/>
        <v>73.678491857696315</v>
      </c>
      <c r="F29" s="100">
        <v>124.85308556810359</v>
      </c>
      <c r="G29" s="100">
        <v>4.9528383875306945</v>
      </c>
      <c r="H29" s="100">
        <v>110.76724114678173</v>
      </c>
      <c r="I29" s="101">
        <f t="shared" si="5"/>
        <v>115.12885557043126</v>
      </c>
      <c r="J29" s="65">
        <f t="shared" si="6"/>
        <v>0.12485308556810359</v>
      </c>
      <c r="K29" s="84">
        <f>(J29)*'User Interface (Start Here!)'!$L$8</f>
        <v>4.9941234227241442E-2</v>
      </c>
      <c r="L29" s="2">
        <f>IF(VLOOKUP(A29,'User Interface (Start Here!)'!$DO$2:$DP$73,2,FALSE)&lt;&gt;0,1,0)</f>
        <v>0</v>
      </c>
      <c r="M29" s="41">
        <f>IF(AND(L29=1,ISBLANK('User Interface (Start Here!)'!$L$14),ISBLANK('User Interface (Start Here!)'!$M$14),ISBLANK('User Interface (Start Here!)'!$N$14)),100%*'User Interface (Start Here!)'!$L$30,IF(L29=1,VLOOKUP(A29,'Bathymetric Closures'!$A$2:$C$57,3,FALSE)*'User Interface (Start Here!)'!$L$30,0%))</f>
        <v>0</v>
      </c>
      <c r="N29" s="79">
        <f t="shared" si="9"/>
        <v>0</v>
      </c>
      <c r="O29" s="79">
        <f t="shared" si="9"/>
        <v>0</v>
      </c>
      <c r="P29" s="79">
        <f t="shared" si="9"/>
        <v>1.1756609526988102E-2</v>
      </c>
      <c r="Q29" s="79">
        <f t="shared" si="9"/>
        <v>0</v>
      </c>
      <c r="R29" s="79">
        <f t="shared" si="9"/>
        <v>0</v>
      </c>
      <c r="S29" s="79">
        <f t="shared" si="9"/>
        <v>1.2226873908067626E-2</v>
      </c>
      <c r="T29" s="79">
        <f t="shared" si="9"/>
        <v>8.189605317061548E-3</v>
      </c>
      <c r="U29" s="79">
        <f t="shared" si="9"/>
        <v>8.8999233089231342E-3</v>
      </c>
      <c r="V29" s="79">
        <f t="shared" si="9"/>
        <v>4.433921307321227E-3</v>
      </c>
      <c r="W29" s="79">
        <f t="shared" si="9"/>
        <v>4.4343008588798062E-3</v>
      </c>
      <c r="X29" s="79">
        <f t="shared" si="9"/>
        <v>0</v>
      </c>
      <c r="Y29" s="79">
        <f t="shared" si="9"/>
        <v>0</v>
      </c>
      <c r="Z29" s="81">
        <f>IF($L29&lt;&gt;1,N29,IF(VLOOKUP($A29,'User Interface (Start Here!)'!$B$18:$N$28,Z$2+1,FALSE)&lt;&gt;100%,N29-VLOOKUP($A29,'User Interface (Start Here!)'!$B$18:$N$28,Z$2+1,FALSE)/'User Interface (Start Here!)'!$L$35*$M29*N29,N29-VLOOKUP($A29,'User Interface (Start Here!)'!$B$18:$N$28,Z$2+1,FALSE)*$M29*N29))</f>
        <v>0</v>
      </c>
      <c r="AA29" s="81">
        <f>IF($L29&lt;&gt;1,O29,IF(VLOOKUP($A29,'User Interface (Start Here!)'!$B$18:$N$28,AA$2+1,FALSE)&lt;&gt;100%,O29-VLOOKUP($A29,'User Interface (Start Here!)'!$B$18:$N$28,AA$2+1,FALSE)/'User Interface (Start Here!)'!$L$35*$M29*O29,O29-VLOOKUP($A29,'User Interface (Start Here!)'!$B$18:$N$28,AA$2+1,FALSE)*$M29*O29))</f>
        <v>0</v>
      </c>
      <c r="AB29" s="81">
        <f>IF($L29&lt;&gt;1,P29,IF(VLOOKUP($A29,'User Interface (Start Here!)'!$B$18:$N$28,AB$2+1,FALSE)&lt;&gt;100%,P29-VLOOKUP($A29,'User Interface (Start Here!)'!$B$18:$N$28,AB$2+1,FALSE)/'User Interface (Start Here!)'!$L$35*$M29*P29,P29-VLOOKUP($A29,'User Interface (Start Here!)'!$B$18:$N$28,AB$2+1,FALSE)*$M29*P29))</f>
        <v>1.1756609526988102E-2</v>
      </c>
      <c r="AC29" s="81">
        <f>IF($L29&lt;&gt;1,Q29,IF(VLOOKUP($A29,'User Interface (Start Here!)'!$B$18:$N$28,AC$2+1,FALSE)&lt;&gt;100%,Q29-VLOOKUP($A29,'User Interface (Start Here!)'!$B$18:$N$28,AC$2+1,FALSE)/'User Interface (Start Here!)'!$L$35*$M29*Q29,Q29-VLOOKUP($A29,'User Interface (Start Here!)'!$B$18:$N$28,AC$2+1,FALSE)*$M29*Q29))</f>
        <v>0</v>
      </c>
      <c r="AD29" s="81">
        <f>IF($L29&lt;&gt;1,R29,IF(VLOOKUP($A29,'User Interface (Start Here!)'!$B$18:$N$28,AD$2+1,FALSE)&lt;&gt;100%,R29-VLOOKUP($A29,'User Interface (Start Here!)'!$B$18:$N$28,AD$2+1,FALSE)/'User Interface (Start Here!)'!$L$35*$M29*R29,R29-VLOOKUP($A29,'User Interface (Start Here!)'!$B$18:$N$28,AD$2+1,FALSE)*$M29*R29))</f>
        <v>0</v>
      </c>
      <c r="AE29" s="81">
        <f>IF($L29&lt;&gt;1,S29,IF(VLOOKUP($A29,'User Interface (Start Here!)'!$B$18:$N$28,AE$2+1,FALSE)&lt;&gt;100%,S29-VLOOKUP($A29,'User Interface (Start Here!)'!$B$18:$N$28,AE$2+1,FALSE)/'User Interface (Start Here!)'!$L$35*$M29*S29,S29-VLOOKUP($A29,'User Interface (Start Here!)'!$B$18:$N$28,AE$2+1,FALSE)*$M29*S29))</f>
        <v>1.2226873908067626E-2</v>
      </c>
      <c r="AF29" s="81">
        <f>IF($L29&lt;&gt;1,T29,IF(VLOOKUP($A29,'User Interface (Start Here!)'!$B$18:$N$28,AF$2+1,FALSE)&lt;&gt;100%,T29-VLOOKUP($A29,'User Interface (Start Here!)'!$B$18:$N$28,AF$2+1,FALSE)/'User Interface (Start Here!)'!$L$35*$M29*T29,T29-VLOOKUP($A29,'User Interface (Start Here!)'!$B$18:$N$28,AF$2+1,FALSE)*$M29*T29))</f>
        <v>8.189605317061548E-3</v>
      </c>
      <c r="AG29" s="81">
        <f>IF($L29&lt;&gt;1,U29,IF(VLOOKUP($A29,'User Interface (Start Here!)'!$B$18:$N$28,AG$2+1,FALSE)&lt;&gt;100%,U29-VLOOKUP($A29,'User Interface (Start Here!)'!$B$18:$N$28,AG$2+1,FALSE)/'User Interface (Start Here!)'!$L$35*$M29*U29,U29-VLOOKUP($A29,'User Interface (Start Here!)'!$B$18:$N$28,AG$2+1,FALSE)*$M29*U29))</f>
        <v>8.8999233089231342E-3</v>
      </c>
      <c r="AH29" s="81">
        <f>IF($L29&lt;&gt;1,V29,IF(VLOOKUP($A29,'User Interface (Start Here!)'!$B$18:$N$28,AH$2+1,FALSE)&lt;&gt;100%,V29-VLOOKUP($A29,'User Interface (Start Here!)'!$B$18:$N$28,AH$2+1,FALSE)/'User Interface (Start Here!)'!$L$35*$M29*V29,V29-VLOOKUP($A29,'User Interface (Start Here!)'!$B$18:$N$28,AH$2+1,FALSE)*$M29*V29))</f>
        <v>4.433921307321227E-3</v>
      </c>
      <c r="AI29" s="83">
        <f>IF($L29&lt;&gt;1,W29,IF(VLOOKUP($A29,'User Interface (Start Here!)'!$B$18:$N$28,AI$2+1,FALSE)&lt;&gt;100%,W29-VLOOKUP($A29,'User Interface (Start Here!)'!$B$18:$N$28,AI$2+1,FALSE)/'User Interface (Start Here!)'!$L$35*$M29*W29,W29-VLOOKUP($A29,'User Interface (Start Here!)'!$B$18:$N$28,AI$2+1,FALSE)*$M29*W29))</f>
        <v>4.4343008588798062E-3</v>
      </c>
      <c r="AJ29" s="83">
        <f>IF($L29&lt;&gt;1,X29,IF(VLOOKUP($A29,'User Interface (Start Here!)'!$B$18:$N$28,AJ$2+1,FALSE)&lt;&gt;100%,X29-VLOOKUP($A29,'User Interface (Start Here!)'!$B$18:$N$28,AJ$2+1,FALSE)/'User Interface (Start Here!)'!$L$35*$M29*X29,X29-VLOOKUP($A29,'User Interface (Start Here!)'!$B$18:$N$28,AJ$2+1,FALSE)*$M29*X29))</f>
        <v>0</v>
      </c>
      <c r="AK29" s="83">
        <f>IF($L29&lt;&gt;1,Y29,IF(VLOOKUP($A29,'User Interface (Start Here!)'!$B$18:$N$28,AK$2+1,FALSE)&lt;&gt;100%,Y29-VLOOKUP($A29,'User Interface (Start Here!)'!$B$18:$N$28,AK$2+1,FALSE)/'User Interface (Start Here!)'!$L$35*$M29*Y29,Y29-VLOOKUP($A29,'User Interface (Start Here!)'!$B$18:$N$28,AK$2+1,FALSE)*$M29*Y29))</f>
        <v>0</v>
      </c>
      <c r="AL29" s="82">
        <f t="shared" si="7"/>
        <v>4.9941234227241435E-2</v>
      </c>
      <c r="AR29" s="133">
        <v>2679</v>
      </c>
      <c r="AS29" s="136">
        <v>9.0796328454477798E-2</v>
      </c>
      <c r="AT29" s="136">
        <v>0.37186802282312081</v>
      </c>
      <c r="AU29" s="136">
        <v>0.23468122054080873</v>
      </c>
      <c r="AV29" s="136">
        <v>6.3259737037955843E-2</v>
      </c>
      <c r="AW29" s="136">
        <v>5.7967419168113786E-2</v>
      </c>
      <c r="AX29" s="136">
        <v>4.0850078557843381E-2</v>
      </c>
      <c r="AY29" s="136">
        <v>3.5144298354419914E-2</v>
      </c>
      <c r="AZ29" s="136">
        <v>2.8446208550401059E-2</v>
      </c>
      <c r="BA29" s="136">
        <v>1.4471181675349375E-2</v>
      </c>
      <c r="BB29" s="136">
        <v>1.6621185809972711E-2</v>
      </c>
      <c r="BC29" s="136">
        <v>1.8771189944596048E-2</v>
      </c>
      <c r="BD29" s="137">
        <v>2.7123129082940543E-2</v>
      </c>
      <c r="BE29" s="77">
        <f t="shared" ref="BE29:BE50" si="10">SUM(AS29:BD29)</f>
        <v>1</v>
      </c>
    </row>
    <row r="30" spans="1:57" ht="16.8" thickTop="1" thickBot="1">
      <c r="C30" s="114">
        <f>SUM(C3:C29)</f>
        <v>45863.019051407042</v>
      </c>
      <c r="D30" s="115">
        <f t="shared" ref="D30:K30" si="11">SUM(D3:D29)</f>
        <v>68811.028583964609</v>
      </c>
      <c r="E30" s="116">
        <f t="shared" si="11"/>
        <v>73387.430484992889</v>
      </c>
      <c r="F30" s="117">
        <f t="shared" si="11"/>
        <v>88752.567785535022</v>
      </c>
      <c r="G30" s="118">
        <f t="shared" si="11"/>
        <v>104784.04340538023</v>
      </c>
      <c r="H30" s="118">
        <f t="shared" si="11"/>
        <v>110329.66344335882</v>
      </c>
      <c r="I30" s="119">
        <f t="shared" si="11"/>
        <v>114674.04763537168</v>
      </c>
      <c r="J30" s="86">
        <f t="shared" si="11"/>
        <v>88.752567785535035</v>
      </c>
      <c r="K30" s="85">
        <f t="shared" si="11"/>
        <v>35.501027114214004</v>
      </c>
      <c r="AL30" s="87">
        <f>SUM(AL2:AL29)</f>
        <v>11.315262495483166</v>
      </c>
      <c r="AR30" s="133">
        <v>2680</v>
      </c>
      <c r="AS30" s="136">
        <v>9.0796328454477798E-2</v>
      </c>
      <c r="AT30" s="136">
        <v>0.37186802282312081</v>
      </c>
      <c r="AU30" s="136">
        <v>0.23468122054080873</v>
      </c>
      <c r="AV30" s="136">
        <v>6.3259737037955843E-2</v>
      </c>
      <c r="AW30" s="136">
        <v>5.7967419168113786E-2</v>
      </c>
      <c r="AX30" s="136">
        <v>4.0850078557843381E-2</v>
      </c>
      <c r="AY30" s="136">
        <v>3.5144298354419914E-2</v>
      </c>
      <c r="AZ30" s="136">
        <v>2.8446208550401059E-2</v>
      </c>
      <c r="BA30" s="136">
        <v>1.4471181675349375E-2</v>
      </c>
      <c r="BB30" s="136">
        <v>1.6621185809972711E-2</v>
      </c>
      <c r="BC30" s="136">
        <v>1.8771189944596048E-2</v>
      </c>
      <c r="BD30" s="137">
        <v>2.7123129082940543E-2</v>
      </c>
      <c r="BE30" s="77">
        <f t="shared" si="10"/>
        <v>1</v>
      </c>
    </row>
    <row r="31" spans="1:57" ht="13.8" thickTop="1">
      <c r="AR31" s="133">
        <v>2779</v>
      </c>
      <c r="AS31" s="136">
        <v>9.0796328454477798E-2</v>
      </c>
      <c r="AT31" s="136">
        <v>0.37186802282312081</v>
      </c>
      <c r="AU31" s="136">
        <v>0.23468122054080873</v>
      </c>
      <c r="AV31" s="136">
        <v>6.3259737037955843E-2</v>
      </c>
      <c r="AW31" s="136">
        <v>5.7967419168113786E-2</v>
      </c>
      <c r="AX31" s="136">
        <v>4.0850078557843381E-2</v>
      </c>
      <c r="AY31" s="136">
        <v>3.5144298354419914E-2</v>
      </c>
      <c r="AZ31" s="136">
        <v>2.8446208550401059E-2</v>
      </c>
      <c r="BA31" s="136">
        <v>1.4471181675349375E-2</v>
      </c>
      <c r="BB31" s="136">
        <v>1.6621185809972711E-2</v>
      </c>
      <c r="BC31" s="136">
        <v>1.8771189944596048E-2</v>
      </c>
      <c r="BD31" s="137">
        <v>2.7123129082940543E-2</v>
      </c>
      <c r="BE31" s="77">
        <f t="shared" si="10"/>
        <v>1</v>
      </c>
    </row>
    <row r="32" spans="1:57">
      <c r="AR32" s="133">
        <v>2780</v>
      </c>
      <c r="AS32" s="136">
        <v>9.0796328454477798E-2</v>
      </c>
      <c r="AT32" s="136">
        <v>0.37186802282312081</v>
      </c>
      <c r="AU32" s="136">
        <v>0.23468122054080873</v>
      </c>
      <c r="AV32" s="136">
        <v>6.3259737037955843E-2</v>
      </c>
      <c r="AW32" s="136">
        <v>5.7967419168113786E-2</v>
      </c>
      <c r="AX32" s="136">
        <v>4.0850078557843381E-2</v>
      </c>
      <c r="AY32" s="136">
        <v>3.5144298354419914E-2</v>
      </c>
      <c r="AZ32" s="136">
        <v>2.8446208550401059E-2</v>
      </c>
      <c r="BA32" s="136">
        <v>1.4471181675349375E-2</v>
      </c>
      <c r="BB32" s="136">
        <v>1.6621185809972711E-2</v>
      </c>
      <c r="BC32" s="136">
        <v>1.8771189944596048E-2</v>
      </c>
      <c r="BD32" s="137">
        <v>2.7123129082940543E-2</v>
      </c>
      <c r="BE32" s="77">
        <f t="shared" si="10"/>
        <v>1</v>
      </c>
    </row>
    <row r="33" spans="44:57">
      <c r="AR33" s="133">
        <v>2879</v>
      </c>
      <c r="AS33" s="136">
        <v>9.0796328454477798E-2</v>
      </c>
      <c r="AT33" s="136">
        <v>0.37186802282312081</v>
      </c>
      <c r="AU33" s="136">
        <v>0.23468122054080873</v>
      </c>
      <c r="AV33" s="136">
        <v>6.3259737037955843E-2</v>
      </c>
      <c r="AW33" s="136">
        <v>5.7967419168113786E-2</v>
      </c>
      <c r="AX33" s="136">
        <v>4.0850078557843381E-2</v>
      </c>
      <c r="AY33" s="136">
        <v>3.5144298354419914E-2</v>
      </c>
      <c r="AZ33" s="136">
        <v>2.8446208550401059E-2</v>
      </c>
      <c r="BA33" s="136">
        <v>1.4471181675349375E-2</v>
      </c>
      <c r="BB33" s="136">
        <v>1.6621185809972711E-2</v>
      </c>
      <c r="BC33" s="136">
        <v>1.8771189944596048E-2</v>
      </c>
      <c r="BD33" s="137">
        <v>2.7123129082940543E-2</v>
      </c>
      <c r="BE33" s="77">
        <f t="shared" si="10"/>
        <v>1</v>
      </c>
    </row>
    <row r="34" spans="44:57">
      <c r="AR34" s="133">
        <v>2880</v>
      </c>
      <c r="AS34" s="134">
        <v>0.10691644476863023</v>
      </c>
      <c r="AT34" s="134">
        <v>0.1688673130376592</v>
      </c>
      <c r="AU34" s="134">
        <v>0.19001318423573507</v>
      </c>
      <c r="AV34" s="134">
        <v>0.12482398920831636</v>
      </c>
      <c r="AW34" s="134">
        <v>9.5166753508147683E-2</v>
      </c>
      <c r="AX34" s="134">
        <v>5.6946517805024612E-2</v>
      </c>
      <c r="AY34" s="134">
        <v>3.4343196405977529E-2</v>
      </c>
      <c r="AZ34" s="134">
        <v>2.8750507349993404E-2</v>
      </c>
      <c r="BA34" s="134">
        <v>3.942969393621968E-2</v>
      </c>
      <c r="BB34" s="134">
        <v>5.0613285582235532E-2</v>
      </c>
      <c r="BC34" s="134">
        <v>5.6462735447744744E-2</v>
      </c>
      <c r="BD34" s="135">
        <v>4.7666378714315984E-2</v>
      </c>
      <c r="BE34" s="77">
        <f t="shared" si="10"/>
        <v>0.99999999999999989</v>
      </c>
    </row>
    <row r="35" spans="44:57">
      <c r="AR35" s="133">
        <v>2980</v>
      </c>
      <c r="AS35" s="134">
        <v>5.7094237063978925E-2</v>
      </c>
      <c r="AT35" s="134">
        <v>4.8917763269684625E-2</v>
      </c>
      <c r="AU35" s="134">
        <v>0.11297168137256682</v>
      </c>
      <c r="AV35" s="134">
        <v>0.11794582664490837</v>
      </c>
      <c r="AW35" s="134">
        <v>0.11217524684003911</v>
      </c>
      <c r="AX35" s="134">
        <v>9.093228178123694E-2</v>
      </c>
      <c r="AY35" s="134">
        <v>6.8524636251177579E-2</v>
      </c>
      <c r="AZ35" s="134">
        <v>4.6413981741636155E-2</v>
      </c>
      <c r="BA35" s="134">
        <v>6.5830267198338635E-2</v>
      </c>
      <c r="BB35" s="134">
        <v>9.0792654484647059E-2</v>
      </c>
      <c r="BC35" s="134">
        <v>0.11152160853468521</v>
      </c>
      <c r="BD35" s="135">
        <v>7.6879814817100767E-2</v>
      </c>
      <c r="BE35" s="77">
        <f t="shared" si="10"/>
        <v>1</v>
      </c>
    </row>
    <row r="36" spans="44:57">
      <c r="AR36" s="133">
        <v>2981</v>
      </c>
      <c r="AS36" s="134">
        <v>0</v>
      </c>
      <c r="AT36" s="134">
        <v>7.5152892412161026E-2</v>
      </c>
      <c r="AU36" s="134">
        <v>2.0599518316543098E-2</v>
      </c>
      <c r="AV36" s="134">
        <v>0.25421190714175451</v>
      </c>
      <c r="AW36" s="134">
        <v>0.11086268885343328</v>
      </c>
      <c r="AX36" s="134">
        <v>1.306208247128113E-2</v>
      </c>
      <c r="AY36" s="134">
        <v>0.10629799654953243</v>
      </c>
      <c r="AZ36" s="134">
        <v>0.18242254067720023</v>
      </c>
      <c r="BA36" s="134">
        <v>9.1056382581044579E-2</v>
      </c>
      <c r="BB36" s="134">
        <v>0</v>
      </c>
      <c r="BC36" s="134">
        <v>0.14633399099704977</v>
      </c>
      <c r="BD36" s="135">
        <v>0</v>
      </c>
      <c r="BE36" s="77">
        <f t="shared" si="10"/>
        <v>1</v>
      </c>
    </row>
    <row r="37" spans="44:57">
      <c r="AR37" s="133">
        <v>3080</v>
      </c>
      <c r="AS37" s="134">
        <v>4.4784946096288442E-2</v>
      </c>
      <c r="AT37" s="134">
        <v>3.9456678484066435E-2</v>
      </c>
      <c r="AU37" s="134">
        <v>4.5424099918642616E-2</v>
      </c>
      <c r="AV37" s="134">
        <v>0.10733780800208391</v>
      </c>
      <c r="AW37" s="134">
        <v>0.2054415158335805</v>
      </c>
      <c r="AX37" s="134">
        <v>0.11963364040496789</v>
      </c>
      <c r="AY37" s="134">
        <v>0.10045125412402302</v>
      </c>
      <c r="AZ37" s="134">
        <v>9.4660914967259577E-2</v>
      </c>
      <c r="BA37" s="134">
        <v>5.5021463255707066E-2</v>
      </c>
      <c r="BB37" s="134">
        <v>4.3376835150679416E-2</v>
      </c>
      <c r="BC37" s="134">
        <v>5.211802520715797E-2</v>
      </c>
      <c r="BD37" s="135">
        <v>9.2292818555543235E-2</v>
      </c>
      <c r="BE37" s="77">
        <f t="shared" si="10"/>
        <v>1.0000000000000002</v>
      </c>
    </row>
    <row r="38" spans="44:57">
      <c r="AR38" s="133">
        <v>3081</v>
      </c>
      <c r="AS38" s="134">
        <v>1.7204948491970423E-3</v>
      </c>
      <c r="AT38" s="134">
        <v>8.3474920930692101E-3</v>
      </c>
      <c r="AU38" s="134">
        <v>0.11133271666370616</v>
      </c>
      <c r="AV38" s="134">
        <v>0.15164441086944447</v>
      </c>
      <c r="AW38" s="134">
        <v>0.13742236218499423</v>
      </c>
      <c r="AX38" s="134">
        <v>7.1755677698267115E-2</v>
      </c>
      <c r="AY38" s="134">
        <v>0.11246843622202049</v>
      </c>
      <c r="AZ38" s="134">
        <v>5.2659545671619672E-2</v>
      </c>
      <c r="BA38" s="134">
        <v>5.1403808631242297E-2</v>
      </c>
      <c r="BB38" s="134">
        <v>3.2477396981104585E-2</v>
      </c>
      <c r="BC38" s="134">
        <v>0.11785293851450215</v>
      </c>
      <c r="BD38" s="135">
        <v>0.15091471962083247</v>
      </c>
      <c r="BE38" s="77">
        <f t="shared" si="10"/>
        <v>1</v>
      </c>
    </row>
    <row r="39" spans="44:57">
      <c r="AR39" s="133">
        <v>3179</v>
      </c>
      <c r="AS39" s="136">
        <v>0</v>
      </c>
      <c r="AT39" s="136">
        <v>2.4193548387096774E-2</v>
      </c>
      <c r="AU39" s="136">
        <v>4.7993705743509051E-2</v>
      </c>
      <c r="AV39" s="136">
        <v>0.10080645161290322</v>
      </c>
      <c r="AW39" s="136">
        <v>0.25855625491738787</v>
      </c>
      <c r="AX39" s="136">
        <v>0.13001573564122737</v>
      </c>
      <c r="AY39" s="136">
        <v>0.11949252557041699</v>
      </c>
      <c r="AZ39" s="136">
        <v>6.3237608182533434E-2</v>
      </c>
      <c r="BA39" s="136">
        <v>7.0613690007867824E-2</v>
      </c>
      <c r="BB39" s="136">
        <v>9.5692368214004717E-2</v>
      </c>
      <c r="BC39" s="136">
        <v>5.8516915814319434E-2</v>
      </c>
      <c r="BD39" s="137">
        <v>3.088119590873328E-2</v>
      </c>
      <c r="BE39" s="77">
        <f t="shared" si="10"/>
        <v>1</v>
      </c>
    </row>
    <row r="40" spans="44:57">
      <c r="AR40" s="133">
        <v>3180</v>
      </c>
      <c r="AS40" s="136">
        <v>0</v>
      </c>
      <c r="AT40" s="136">
        <v>2.4193548387096774E-2</v>
      </c>
      <c r="AU40" s="136">
        <v>4.7993705743509051E-2</v>
      </c>
      <c r="AV40" s="136">
        <v>0.10080645161290322</v>
      </c>
      <c r="AW40" s="136">
        <v>0.25855625491738787</v>
      </c>
      <c r="AX40" s="136">
        <v>0.13001573564122737</v>
      </c>
      <c r="AY40" s="136">
        <v>0.11949252557041699</v>
      </c>
      <c r="AZ40" s="136">
        <v>6.3237608182533434E-2</v>
      </c>
      <c r="BA40" s="136">
        <v>7.0613690007867824E-2</v>
      </c>
      <c r="BB40" s="136">
        <v>9.5692368214004717E-2</v>
      </c>
      <c r="BC40" s="136">
        <v>5.8516915814319434E-2</v>
      </c>
      <c r="BD40" s="137">
        <v>3.088119590873328E-2</v>
      </c>
      <c r="BE40" s="77">
        <f t="shared" si="10"/>
        <v>1</v>
      </c>
    </row>
    <row r="41" spans="44:57">
      <c r="AR41" s="133">
        <v>3277</v>
      </c>
      <c r="AS41" s="136">
        <v>0</v>
      </c>
      <c r="AT41" s="136">
        <v>0</v>
      </c>
      <c r="AU41" s="136">
        <v>1.7348660620122337E-2</v>
      </c>
      <c r="AV41" s="136">
        <v>0.110261548196583</v>
      </c>
      <c r="AW41" s="136">
        <v>0.13198692259017086</v>
      </c>
      <c r="AX41" s="136">
        <v>0.10477747310693947</v>
      </c>
      <c r="AY41" s="136">
        <v>0.11474372495254166</v>
      </c>
      <c r="AZ41" s="136">
        <v>0.33162834844969413</v>
      </c>
      <c r="BA41" s="136">
        <v>7.1292976165365951E-2</v>
      </c>
      <c r="BB41" s="136">
        <v>6.1063066863530899E-2</v>
      </c>
      <c r="BC41" s="136">
        <v>4.9989453701750688E-2</v>
      </c>
      <c r="BD41" s="137">
        <v>6.9078253533009911E-3</v>
      </c>
      <c r="BE41" s="77">
        <f t="shared" si="10"/>
        <v>1</v>
      </c>
    </row>
    <row r="42" spans="44:57">
      <c r="AR42" s="133">
        <v>3278</v>
      </c>
      <c r="AS42" s="134">
        <v>0</v>
      </c>
      <c r="AT42" s="134">
        <v>0</v>
      </c>
      <c r="AU42" s="134">
        <v>4.5612429573442127E-3</v>
      </c>
      <c r="AV42" s="134">
        <v>0.15089333979119812</v>
      </c>
      <c r="AW42" s="134">
        <v>0.10620387625230795</v>
      </c>
      <c r="AX42" s="134">
        <v>0.1883925504634523</v>
      </c>
      <c r="AY42" s="134">
        <v>0.16806747595950916</v>
      </c>
      <c r="AZ42" s="134">
        <v>0.14027635384723786</v>
      </c>
      <c r="BA42" s="134">
        <v>8.2472902697373188E-2</v>
      </c>
      <c r="BB42" s="134">
        <v>0.15913225803157727</v>
      </c>
      <c r="BC42" s="134">
        <v>0</v>
      </c>
      <c r="BD42" s="135">
        <v>0</v>
      </c>
      <c r="BE42" s="77">
        <f t="shared" si="10"/>
        <v>1</v>
      </c>
    </row>
    <row r="43" spans="44:57">
      <c r="AR43" s="133">
        <v>3279</v>
      </c>
      <c r="AS43" s="134">
        <v>0</v>
      </c>
      <c r="AT43" s="134">
        <v>0</v>
      </c>
      <c r="AU43" s="134">
        <v>5.8474054721627039E-3</v>
      </c>
      <c r="AV43" s="134">
        <v>0.11238576602793078</v>
      </c>
      <c r="AW43" s="134">
        <v>0.13426369744609487</v>
      </c>
      <c r="AX43" s="134">
        <v>0.17544789402031047</v>
      </c>
      <c r="AY43" s="134">
        <v>0.1680539967352512</v>
      </c>
      <c r="AZ43" s="134">
        <v>0.11679832527007132</v>
      </c>
      <c r="BA43" s="134">
        <v>5.222986120268077E-2</v>
      </c>
      <c r="BB43" s="134">
        <v>7.8224712412762631E-2</v>
      </c>
      <c r="BC43" s="134">
        <v>0.12581974412334956</v>
      </c>
      <c r="BD43" s="135">
        <v>3.0928597289385629E-2</v>
      </c>
      <c r="BE43" s="77">
        <f t="shared" si="10"/>
        <v>0.99999999999999978</v>
      </c>
    </row>
    <row r="44" spans="44:57">
      <c r="AR44" s="133">
        <v>3280</v>
      </c>
      <c r="AS44" s="134">
        <v>0</v>
      </c>
      <c r="AT44" s="134">
        <v>0</v>
      </c>
      <c r="AU44" s="134">
        <v>0</v>
      </c>
      <c r="AV44" s="134">
        <v>0</v>
      </c>
      <c r="AW44" s="134">
        <v>0</v>
      </c>
      <c r="AX44" s="134">
        <v>0</v>
      </c>
      <c r="AY44" s="134">
        <v>0.2949526320726204</v>
      </c>
      <c r="AZ44" s="134">
        <v>0.70504736792737954</v>
      </c>
      <c r="BA44" s="134">
        <v>0</v>
      </c>
      <c r="BB44" s="134">
        <v>0</v>
      </c>
      <c r="BC44" s="134">
        <v>0</v>
      </c>
      <c r="BD44" s="135">
        <v>0</v>
      </c>
      <c r="BE44" s="77">
        <f t="shared" si="10"/>
        <v>1</v>
      </c>
    </row>
    <row r="45" spans="44:57">
      <c r="AR45" s="133">
        <v>3377</v>
      </c>
      <c r="AS45" s="134">
        <v>0</v>
      </c>
      <c r="AT45" s="134">
        <v>0</v>
      </c>
      <c r="AU45" s="134">
        <v>0</v>
      </c>
      <c r="AV45" s="134">
        <v>0</v>
      </c>
      <c r="AW45" s="134">
        <v>0</v>
      </c>
      <c r="AX45" s="134">
        <v>0</v>
      </c>
      <c r="AY45" s="134">
        <v>0.79650818629252285</v>
      </c>
      <c r="AZ45" s="134">
        <v>0.20349181370747718</v>
      </c>
      <c r="BA45" s="134">
        <v>0</v>
      </c>
      <c r="BB45" s="134">
        <v>0</v>
      </c>
      <c r="BC45" s="134">
        <v>0</v>
      </c>
      <c r="BD45" s="135">
        <v>0</v>
      </c>
      <c r="BE45" s="77">
        <f t="shared" si="10"/>
        <v>1</v>
      </c>
    </row>
    <row r="46" spans="44:57">
      <c r="AR46" s="133">
        <v>3378</v>
      </c>
      <c r="AS46" s="136">
        <v>0</v>
      </c>
      <c r="AT46" s="136">
        <v>0</v>
      </c>
      <c r="AU46" s="136">
        <v>1.7348660620122337E-2</v>
      </c>
      <c r="AV46" s="136">
        <v>0.110261548196583</v>
      </c>
      <c r="AW46" s="136">
        <v>0.13198692259017086</v>
      </c>
      <c r="AX46" s="136">
        <v>0.10477747310693947</v>
      </c>
      <c r="AY46" s="136">
        <v>0.11474372495254166</v>
      </c>
      <c r="AZ46" s="136">
        <v>0.33162834844969413</v>
      </c>
      <c r="BA46" s="136">
        <v>7.1292976165365951E-2</v>
      </c>
      <c r="BB46" s="136">
        <v>6.1063066863530899E-2</v>
      </c>
      <c r="BC46" s="136">
        <v>4.9989453701750688E-2</v>
      </c>
      <c r="BD46" s="137">
        <v>6.9078253533009911E-3</v>
      </c>
      <c r="BE46" s="77">
        <f t="shared" si="10"/>
        <v>1</v>
      </c>
    </row>
    <row r="47" spans="44:57">
      <c r="AR47" s="133">
        <v>3475</v>
      </c>
      <c r="AS47" s="134">
        <v>0</v>
      </c>
      <c r="AT47" s="134">
        <v>0</v>
      </c>
      <c r="AU47" s="134">
        <v>0</v>
      </c>
      <c r="AV47" s="134">
        <v>0</v>
      </c>
      <c r="AW47" s="134">
        <v>0.15934777517651275</v>
      </c>
      <c r="AX47" s="134">
        <v>0.14723553010948476</v>
      </c>
      <c r="AY47" s="134">
        <v>0.17340054142692482</v>
      </c>
      <c r="AZ47" s="134">
        <v>0</v>
      </c>
      <c r="BA47" s="134">
        <v>0.34666754373838793</v>
      </c>
      <c r="BB47" s="134">
        <v>0.17334860954868972</v>
      </c>
      <c r="BC47" s="134">
        <v>0</v>
      </c>
      <c r="BD47" s="135">
        <v>0</v>
      </c>
      <c r="BE47" s="77">
        <f t="shared" si="10"/>
        <v>1</v>
      </c>
    </row>
    <row r="48" spans="44:57">
      <c r="AR48" s="133">
        <v>3476</v>
      </c>
      <c r="AS48" s="134">
        <v>8.6459469900272978E-2</v>
      </c>
      <c r="AT48" s="134">
        <v>0</v>
      </c>
      <c r="AU48" s="134">
        <v>7.1539298838035878E-2</v>
      </c>
      <c r="AV48" s="134">
        <v>0</v>
      </c>
      <c r="AW48" s="134">
        <v>0.31786969608803206</v>
      </c>
      <c r="AX48" s="134">
        <v>0.2918189724467718</v>
      </c>
      <c r="AY48" s="134">
        <v>4.2091638158052766E-2</v>
      </c>
      <c r="AZ48" s="134">
        <v>7.9113126769093343E-3</v>
      </c>
      <c r="BA48" s="134">
        <v>0</v>
      </c>
      <c r="BB48" s="134">
        <v>0.1111005964857527</v>
      </c>
      <c r="BC48" s="134">
        <v>7.1209015406172443E-2</v>
      </c>
      <c r="BD48" s="135">
        <v>0</v>
      </c>
      <c r="BE48" s="77">
        <f t="shared" si="10"/>
        <v>0.99999999999999989</v>
      </c>
    </row>
    <row r="49" spans="44:57">
      <c r="AR49" s="133">
        <v>3477</v>
      </c>
      <c r="AS49" s="136">
        <v>3.0687830687830688E-2</v>
      </c>
      <c r="AT49" s="136">
        <v>6.3492063492063492E-3</v>
      </c>
      <c r="AU49" s="136">
        <v>4.9206349206349205E-2</v>
      </c>
      <c r="AV49" s="136">
        <v>2.3809523809523808E-2</v>
      </c>
      <c r="AW49" s="136">
        <v>0.21005291005291005</v>
      </c>
      <c r="AX49" s="136">
        <v>0.31322751322751324</v>
      </c>
      <c r="AY49" s="136">
        <v>0.1962962962962963</v>
      </c>
      <c r="AZ49" s="136">
        <v>2.4867724867724868E-2</v>
      </c>
      <c r="BA49" s="136">
        <v>6.9841269841269843E-2</v>
      </c>
      <c r="BB49" s="136">
        <v>5.8201058201058198E-2</v>
      </c>
      <c r="BC49" s="136">
        <v>1.7460317460317461E-2</v>
      </c>
      <c r="BD49" s="137">
        <v>0</v>
      </c>
      <c r="BE49" s="77">
        <f t="shared" si="10"/>
        <v>0.99999999999999989</v>
      </c>
    </row>
    <row r="50" spans="44:57">
      <c r="AR50" s="133">
        <v>3575</v>
      </c>
      <c r="AS50" s="138">
        <v>0</v>
      </c>
      <c r="AT50" s="138">
        <v>0</v>
      </c>
      <c r="AU50" s="138">
        <v>0.23540887022321977</v>
      </c>
      <c r="AV50" s="138">
        <v>0</v>
      </c>
      <c r="AW50" s="138">
        <v>0</v>
      </c>
      <c r="AX50" s="138">
        <v>0.24482522503214857</v>
      </c>
      <c r="AY50" s="138">
        <v>0.16398484025840043</v>
      </c>
      <c r="AZ50" s="138">
        <v>0.17820791669719074</v>
      </c>
      <c r="BA50" s="138">
        <v>8.8782773912757171E-2</v>
      </c>
      <c r="BB50" s="138">
        <v>8.8790373876283343E-2</v>
      </c>
      <c r="BC50" s="138">
        <v>0</v>
      </c>
      <c r="BD50" s="139">
        <v>0</v>
      </c>
      <c r="BE50" s="77">
        <f t="shared" si="10"/>
        <v>0.99999999999999989</v>
      </c>
    </row>
  </sheetData>
  <mergeCells count="3">
    <mergeCell ref="C1:E1"/>
    <mergeCell ref="N1:Y1"/>
    <mergeCell ref="Z1:AK1"/>
  </mergeCells>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5" enableFormatConditionsCalculation="0">
    <tabColor indexed="57"/>
  </sheetPr>
  <dimension ref="A1:BT368"/>
  <sheetViews>
    <sheetView topLeftCell="W130" zoomScale="40" zoomScaleNormal="40" workbookViewId="0">
      <selection activeCell="BG343" sqref="BG343"/>
    </sheetView>
  </sheetViews>
  <sheetFormatPr defaultRowHeight="15.6"/>
  <cols>
    <col min="1" max="2" width="8.88671875" style="145"/>
    <col min="3" max="3" width="27" style="194" bestFit="1" customWidth="1"/>
    <col min="4" max="4" width="29.6640625" style="194" bestFit="1" customWidth="1"/>
    <col min="5" max="5" width="8.88671875" style="145"/>
    <col min="6" max="14" width="8.88671875" style="318"/>
    <col min="15" max="16" width="9" style="318" bestFit="1" customWidth="1"/>
    <col min="17" max="17" width="8.88671875" style="318"/>
    <col min="18" max="18" width="11.33203125" style="411" bestFit="1" customWidth="1"/>
    <col min="19" max="19" width="22.5546875" style="318" bestFit="1" customWidth="1"/>
    <col min="20" max="20" width="23.109375" style="318" bestFit="1" customWidth="1"/>
    <col min="21" max="21" width="8.6640625" style="318" bestFit="1" customWidth="1"/>
    <col min="22" max="22" width="8.88671875" style="318"/>
    <col min="23" max="23" width="11.33203125" style="318" bestFit="1" customWidth="1"/>
    <col min="24" max="24" width="19.6640625" style="318" bestFit="1" customWidth="1"/>
    <col min="25" max="25" width="14.6640625" style="318" bestFit="1" customWidth="1"/>
    <col min="26" max="29" width="8.88671875" style="318"/>
    <col min="30" max="30" width="11.33203125" style="318" bestFit="1" customWidth="1"/>
    <col min="31" max="31" width="19.6640625" style="318" bestFit="1" customWidth="1"/>
    <col min="32" max="32" width="14.6640625" style="318" bestFit="1" customWidth="1"/>
    <col min="33" max="33" width="8.88671875" style="318"/>
    <col min="34" max="34" width="15.44140625" style="318" bestFit="1" customWidth="1"/>
    <col min="35" max="35" width="8.88671875" style="318"/>
    <col min="36" max="36" width="9" style="318" bestFit="1" customWidth="1"/>
    <col min="37" max="37" width="12" style="318" bestFit="1" customWidth="1"/>
    <col min="38" max="39" width="8.88671875" style="145"/>
    <col min="40" max="40" width="15.44140625" style="145" bestFit="1" customWidth="1"/>
    <col min="41" max="41" width="12" style="145" bestFit="1" customWidth="1"/>
    <col min="42" max="50" width="15.33203125" style="145" customWidth="1"/>
    <col min="51" max="59" width="8.88671875" style="145"/>
    <col min="60" max="60" width="6.5546875" style="196" bestFit="1" customWidth="1"/>
    <col min="61" max="61" width="11.21875" style="196" bestFit="1" customWidth="1"/>
    <col min="62" max="62" width="16.88671875" style="196" bestFit="1" customWidth="1"/>
    <col min="63" max="63" width="12.21875" style="196" bestFit="1" customWidth="1"/>
    <col min="64" max="64" width="10.77734375" style="196" bestFit="1" customWidth="1"/>
    <col min="65" max="67" width="8.88671875" style="145"/>
    <col min="68" max="69" width="9" style="145" bestFit="1" customWidth="1"/>
    <col min="70" max="16384" width="8.88671875" style="145"/>
  </cols>
  <sheetData>
    <row r="1" spans="1:72" ht="16.2" thickBot="1">
      <c r="A1" s="197" t="s">
        <v>255</v>
      </c>
      <c r="B1" s="197"/>
      <c r="C1" s="141"/>
      <c r="D1" s="141"/>
      <c r="E1" s="143"/>
      <c r="F1" s="143"/>
      <c r="G1" s="406"/>
      <c r="H1" s="407"/>
      <c r="I1" s="407"/>
      <c r="J1" s="407"/>
      <c r="K1" s="407"/>
      <c r="L1" s="407"/>
      <c r="M1" s="407"/>
      <c r="N1" s="143"/>
      <c r="O1" s="143"/>
      <c r="P1" s="143"/>
      <c r="Q1" s="143"/>
      <c r="R1" s="387" t="s">
        <v>130</v>
      </c>
      <c r="S1" s="205" t="s">
        <v>131</v>
      </c>
      <c r="T1" s="205" t="s">
        <v>132</v>
      </c>
      <c r="U1" s="205" t="s">
        <v>133</v>
      </c>
      <c r="V1" s="143"/>
      <c r="W1" s="388" t="s">
        <v>188</v>
      </c>
      <c r="X1" s="389" t="s">
        <v>136</v>
      </c>
      <c r="Y1" s="389" t="s">
        <v>137</v>
      </c>
      <c r="Z1" s="146"/>
      <c r="AA1" s="279"/>
      <c r="AB1" s="279"/>
      <c r="AC1" s="279"/>
      <c r="AD1" s="390" t="s">
        <v>188</v>
      </c>
      <c r="AE1" s="391" t="s">
        <v>136</v>
      </c>
      <c r="AF1" s="391" t="s">
        <v>137</v>
      </c>
      <c r="AG1" s="392"/>
      <c r="AH1" s="392"/>
      <c r="AI1" s="392"/>
      <c r="AJ1" s="392"/>
      <c r="AK1" s="380"/>
      <c r="AL1" s="143"/>
      <c r="AM1" s="143"/>
      <c r="AN1" s="143"/>
      <c r="AO1" s="143"/>
      <c r="AP1" s="143"/>
      <c r="AQ1" s="143"/>
      <c r="AR1" s="143"/>
      <c r="AS1" s="143"/>
      <c r="AT1" s="143"/>
      <c r="AU1" s="143"/>
      <c r="AV1" s="143"/>
      <c r="AW1" s="143"/>
      <c r="AX1" s="143"/>
      <c r="AY1" s="143"/>
      <c r="AZ1" s="143"/>
      <c r="BA1" s="143"/>
      <c r="BB1" s="143"/>
      <c r="BC1" s="143"/>
      <c r="BD1" s="143"/>
      <c r="BE1" s="143"/>
      <c r="BF1" s="143"/>
      <c r="BG1" s="146"/>
      <c r="BH1" s="296" t="s">
        <v>1</v>
      </c>
      <c r="BI1" s="296" t="s">
        <v>70</v>
      </c>
      <c r="BJ1" s="296" t="s">
        <v>234</v>
      </c>
      <c r="BK1" s="296" t="s">
        <v>235</v>
      </c>
      <c r="BL1" s="296" t="s">
        <v>236</v>
      </c>
      <c r="BM1" s="143"/>
      <c r="BN1" s="143"/>
      <c r="BO1" s="143"/>
      <c r="BP1" s="205">
        <v>0.19589999999999999</v>
      </c>
      <c r="BQ1" s="205">
        <v>0.82189999999999996</v>
      </c>
      <c r="BR1" s="143"/>
      <c r="BS1" s="143"/>
      <c r="BT1" s="143"/>
    </row>
    <row r="2" spans="1:72" ht="16.8" thickTop="1" thickBot="1">
      <c r="A2" s="201" t="s">
        <v>1</v>
      </c>
      <c r="B2" s="141" t="s">
        <v>70</v>
      </c>
      <c r="C2" s="202" t="s">
        <v>71</v>
      </c>
      <c r="D2" s="202" t="s">
        <v>72</v>
      </c>
      <c r="E2" s="143"/>
      <c r="F2" s="143"/>
      <c r="G2" s="205"/>
      <c r="H2" s="205"/>
      <c r="I2" s="143"/>
      <c r="J2" s="143"/>
      <c r="K2" s="143"/>
      <c r="L2" s="143"/>
      <c r="M2" s="143"/>
      <c r="N2" s="143"/>
      <c r="O2" s="143"/>
      <c r="P2" s="143"/>
      <c r="Q2" s="143"/>
      <c r="R2" s="387">
        <v>2679</v>
      </c>
      <c r="S2" s="205">
        <v>2754372467.6399999</v>
      </c>
      <c r="T2" s="205">
        <v>240892761.87200001</v>
      </c>
      <c r="U2" s="393">
        <v>8.7458310269272199E-2</v>
      </c>
      <c r="V2" s="394"/>
      <c r="W2" s="390" t="s">
        <v>200</v>
      </c>
      <c r="X2" s="391">
        <v>0.87191210849400003</v>
      </c>
      <c r="Y2" s="391">
        <v>1</v>
      </c>
      <c r="Z2" s="146"/>
      <c r="AA2" s="279"/>
      <c r="AB2" s="279"/>
      <c r="AC2" s="279"/>
      <c r="AD2" s="390" t="s">
        <v>189</v>
      </c>
      <c r="AE2" s="391">
        <v>0.42853607751099998</v>
      </c>
      <c r="AF2" s="391">
        <v>1</v>
      </c>
      <c r="AG2" s="392"/>
      <c r="AH2" s="392"/>
      <c r="AI2" s="392"/>
      <c r="AJ2" s="392"/>
      <c r="AK2" s="380"/>
      <c r="AL2" s="143"/>
      <c r="AM2" s="143"/>
      <c r="AN2" s="143"/>
      <c r="AO2" s="143"/>
      <c r="AP2" s="143"/>
      <c r="AQ2" s="143"/>
      <c r="AR2" s="143"/>
      <c r="AS2" s="143"/>
      <c r="AT2" s="143"/>
      <c r="AU2" s="143"/>
      <c r="AV2" s="143"/>
      <c r="AW2" s="143"/>
      <c r="AX2" s="143"/>
      <c r="AY2" s="143"/>
      <c r="AZ2" s="143"/>
      <c r="BA2" s="143"/>
      <c r="BB2" s="143"/>
      <c r="BC2" s="143"/>
      <c r="BD2" s="143"/>
      <c r="BE2" s="143"/>
      <c r="BF2" s="143"/>
      <c r="BG2" s="146"/>
      <c r="BH2" s="296">
        <v>2479</v>
      </c>
      <c r="BI2" s="408">
        <v>0</v>
      </c>
      <c r="BJ2" s="408">
        <f>BI2</f>
        <v>0</v>
      </c>
      <c r="BK2" s="409">
        <f>IF(BI2&gt;0,$BQ$1+$BP$1*BI2,0)</f>
        <v>0</v>
      </c>
      <c r="BL2" s="409">
        <f>VLOOKUP(BH2,$AM$81:$AQ$135,5,FALSE)</f>
        <v>0</v>
      </c>
      <c r="BM2" s="143"/>
      <c r="BN2" s="143"/>
      <c r="BO2" s="143"/>
      <c r="BP2" s="143"/>
      <c r="BQ2" s="143"/>
      <c r="BR2" s="143"/>
      <c r="BS2" s="143"/>
      <c r="BT2" s="143"/>
    </row>
    <row r="3" spans="1:72" ht="16.2" thickTop="1">
      <c r="A3" s="141">
        <v>2479</v>
      </c>
      <c r="B3" s="203">
        <f>IF(NOT(ISBLANK('User Interface (Start Here!)'!$L$14)),IF(ISNUMBER(VLOOKUP($A3,$R$2:$U$24,4,FALSE)),VLOOKUP($A3,$R$2:$U$24,4,FALSE),0),IF(NOT(ISBLANK('User Interface (Start Here!)'!$M$14)),IF(ISNUMBER(VLOOKUP('Bathymetric Closures'!$A3,'Bathymetric Closures'!$AM$145:$AN$226,2,FALSE)),VLOOKUP('Bathymetric Closures'!$A3,'Bathymetric Closures'!$AM$145:$AN$226,2,FALSE)/100,0),IF(NOT(ISBLANK('User Interface (Start Here!)'!$N$14)),IF(ISNUMBER(VLOOKUP('Bathymetric Closures'!$A3,'Bathymetric Closures'!$AM$260:$AN$341,2,FALSE)),VLOOKUP('Bathymetric Closures'!$A3,'Bathymetric Closures'!$AM$260:$AN$341,2,FALSE)/100,0))))</f>
        <v>0</v>
      </c>
      <c r="C3" s="204">
        <f>IF(NOT(ISBLANK('User Interface (Start Here!)'!$M$14)),VLOOKUP('Bathymetric Closures'!$A3,'Bathymetric Closures'!$AM$146:$AQ$201,5,FALSE),IF(NOT(ISBLANK('User Interface (Start Here!)'!$N$14)),VLOOKUP('Bathymetric Closures'!$A3,'Bathymetric Closures'!$AM$260:$AQ$330,5,FALSE),IF(OR('User Interface (Start Here!)'!$L$32="m",'User Interface (Start Here!)'!$L$32="M"),VLOOKUP('Bathymetric Closures'!$A3,'Bathymetric Closures'!$BH:$BL,4,FALSE),IF(OR('User Interface (Start Here!)'!$L$32="L",'User Interface (Start Here!)'!$L$32="l"),VLOOKUP('Bathymetric Closures'!$A3,'Bathymetric Closures'!$BH$1:$BL$56,5,FALSE),VLOOKUP('Bathymetric Closures'!$A3,'Bathymetric Closures'!$BH$1:$BL$56,3,FALSE)))))</f>
        <v>0</v>
      </c>
      <c r="D3" s="204">
        <f>1-C3</f>
        <v>1</v>
      </c>
      <c r="E3" s="143"/>
      <c r="F3" s="143"/>
      <c r="G3" s="205"/>
      <c r="H3" s="205"/>
      <c r="I3" s="143"/>
      <c r="J3" s="143"/>
      <c r="K3" s="143"/>
      <c r="L3" s="143"/>
      <c r="M3" s="143"/>
      <c r="N3" s="143"/>
      <c r="O3" s="143"/>
      <c r="P3" s="143"/>
      <c r="Q3" s="143"/>
      <c r="R3" s="387">
        <v>2680</v>
      </c>
      <c r="S3" s="205">
        <v>445063184.68099999</v>
      </c>
      <c r="T3" s="205">
        <v>78620972.454820007</v>
      </c>
      <c r="U3" s="393">
        <v>0.17665126022762759</v>
      </c>
      <c r="V3" s="394"/>
      <c r="W3" s="390" t="s">
        <v>201</v>
      </c>
      <c r="X3" s="391">
        <v>0.39808551834599998</v>
      </c>
      <c r="Y3" s="391">
        <v>1</v>
      </c>
      <c r="Z3" s="146"/>
      <c r="AA3" s="395"/>
      <c r="AB3" s="395"/>
      <c r="AC3" s="279"/>
      <c r="AD3" s="390" t="s">
        <v>190</v>
      </c>
      <c r="AE3" s="391">
        <v>0.39750429695900003</v>
      </c>
      <c r="AF3" s="391">
        <v>1</v>
      </c>
      <c r="AG3" s="392"/>
      <c r="AH3" s="392"/>
      <c r="AI3" s="392"/>
      <c r="AJ3" s="392"/>
      <c r="AK3" s="380"/>
      <c r="AL3" s="143"/>
      <c r="AM3" s="143"/>
      <c r="AN3" s="143"/>
      <c r="AO3" s="143"/>
      <c r="AP3" s="143"/>
      <c r="AQ3" s="143"/>
      <c r="AR3" s="143"/>
      <c r="AS3" s="143"/>
      <c r="AT3" s="143"/>
      <c r="AU3" s="143"/>
      <c r="AV3" s="143"/>
      <c r="AW3" s="143"/>
      <c r="AX3" s="143"/>
      <c r="AY3" s="143"/>
      <c r="AZ3" s="143"/>
      <c r="BA3" s="143"/>
      <c r="BB3" s="143"/>
      <c r="BC3" s="143"/>
      <c r="BD3" s="143"/>
      <c r="BE3" s="143"/>
      <c r="BF3" s="143"/>
      <c r="BG3" s="146"/>
      <c r="BH3" s="296">
        <v>2480</v>
      </c>
      <c r="BI3" s="408">
        <v>0</v>
      </c>
      <c r="BJ3" s="408">
        <f t="shared" ref="BJ3:BJ56" si="0">BI3</f>
        <v>0</v>
      </c>
      <c r="BK3" s="409">
        <f t="shared" ref="BK3:BK56" si="1">IF(BI3&gt;0,$BQ$1+$BP$1*BI3,0)</f>
        <v>0</v>
      </c>
      <c r="BL3" s="409">
        <f t="shared" ref="BL3:BL56" si="2">VLOOKUP(BH3,$AM$81:$AQ$135,5,FALSE)</f>
        <v>0</v>
      </c>
      <c r="BM3" s="143"/>
      <c r="BN3" s="143"/>
      <c r="BO3" s="143"/>
      <c r="BP3" s="143"/>
      <c r="BQ3" s="143"/>
      <c r="BR3" s="143"/>
      <c r="BS3" s="143"/>
      <c r="BT3" s="143"/>
    </row>
    <row r="4" spans="1:72">
      <c r="A4" s="141">
        <v>2480</v>
      </c>
      <c r="B4" s="203">
        <f>IF(NOT(ISBLANK('User Interface (Start Here!)'!$L$14)),IF(ISNUMBER(VLOOKUP($A4,$R$2:$U$24,4,FALSE)),VLOOKUP($A4,$R$2:$U$24,4,FALSE),0),IF(NOT(ISBLANK('User Interface (Start Here!)'!$M$14)),IF(ISNUMBER(VLOOKUP('Bathymetric Closures'!$A4,'Bathymetric Closures'!$AM$145:$AN$226,2,FALSE)),VLOOKUP('Bathymetric Closures'!$A4,'Bathymetric Closures'!$AM$145:$AN$226,2,FALSE)/100,0),IF(NOT(ISBLANK('User Interface (Start Here!)'!$N$14)),IF(ISNUMBER(VLOOKUP('Bathymetric Closures'!$A4,'Bathymetric Closures'!$AM$260:$AN$341,2,FALSE)),VLOOKUP('Bathymetric Closures'!$A4,'Bathymetric Closures'!$AM$260:$AN$341,2,FALSE)/100,0))))</f>
        <v>2.5243249034900002E-2</v>
      </c>
      <c r="C4" s="204">
        <f>IF(NOT(ISBLANK('User Interface (Start Here!)'!$M$14)),VLOOKUP('Bathymetric Closures'!$A4,'Bathymetric Closures'!$AM$146:$AQ$201,5,FALSE),IF(NOT(ISBLANK('User Interface (Start Here!)'!$N$14)),VLOOKUP('Bathymetric Closures'!$A4,'Bathymetric Closures'!$AM$260:$AQ$330,5,FALSE),IF(OR('User Interface (Start Here!)'!$L$32="m",'User Interface (Start Here!)'!$L$32="M"),VLOOKUP('Bathymetric Closures'!$A4,'Bathymetric Closures'!$BH:$BL,4,FALSE),IF(OR('User Interface (Start Here!)'!$L$32="L",'User Interface (Start Here!)'!$L$32="l"),VLOOKUP('Bathymetric Closures'!$A4,'Bathymetric Closures'!$BH$1:$BL$56,5,FALSE),VLOOKUP('Bathymetric Closures'!$A4,'Bathymetric Closures'!$BH$1:$BL$56,3,FALSE)))))</f>
        <v>0.24161849710982658</v>
      </c>
      <c r="D4" s="204">
        <f t="shared" ref="D4:D57" si="3">1-C4</f>
        <v>0.75838150289017348</v>
      </c>
      <c r="E4" s="143"/>
      <c r="F4" s="143"/>
      <c r="G4" s="143"/>
      <c r="H4" s="143"/>
      <c r="I4" s="143"/>
      <c r="J4" s="143"/>
      <c r="K4" s="143"/>
      <c r="L4" s="143"/>
      <c r="M4" s="143"/>
      <c r="N4" s="143"/>
      <c r="O4" s="143"/>
      <c r="P4" s="143"/>
      <c r="Q4" s="143"/>
      <c r="R4" s="387">
        <v>2779</v>
      </c>
      <c r="S4" s="205">
        <v>5472803574.3199997</v>
      </c>
      <c r="T4" s="205">
        <v>463297310.977</v>
      </c>
      <c r="U4" s="393">
        <v>8.4654474564175283E-2</v>
      </c>
      <c r="V4" s="394"/>
      <c r="W4" s="390" t="s">
        <v>203</v>
      </c>
      <c r="X4" s="391">
        <v>0.304457269935</v>
      </c>
      <c r="Y4" s="391">
        <v>1</v>
      </c>
      <c r="Z4" s="146"/>
      <c r="AA4" s="396"/>
      <c r="AB4" s="396"/>
      <c r="AC4" s="279"/>
      <c r="AD4" s="390" t="s">
        <v>191</v>
      </c>
      <c r="AE4" s="391">
        <v>0.52766279675500005</v>
      </c>
      <c r="AF4" s="391">
        <v>1</v>
      </c>
      <c r="AG4" s="392"/>
      <c r="AH4" s="392"/>
      <c r="AI4" s="392"/>
      <c r="AJ4" s="392"/>
      <c r="AK4" s="380"/>
      <c r="AL4" s="143"/>
      <c r="AM4" s="143"/>
      <c r="AN4" s="143"/>
      <c r="AO4" s="143"/>
      <c r="AP4" s="143"/>
      <c r="AQ4" s="143"/>
      <c r="AR4" s="143"/>
      <c r="AS4" s="143"/>
      <c r="AT4" s="143"/>
      <c r="AU4" s="143"/>
      <c r="AV4" s="143"/>
      <c r="AW4" s="143"/>
      <c r="AX4" s="143"/>
      <c r="AY4" s="143"/>
      <c r="AZ4" s="143"/>
      <c r="BA4" s="143"/>
      <c r="BB4" s="143"/>
      <c r="BC4" s="143"/>
      <c r="BD4" s="143"/>
      <c r="BE4" s="143"/>
      <c r="BF4" s="143"/>
      <c r="BG4" s="146"/>
      <c r="BH4" s="296">
        <v>2481</v>
      </c>
      <c r="BI4" s="408">
        <v>0</v>
      </c>
      <c r="BJ4" s="408">
        <f t="shared" si="0"/>
        <v>0</v>
      </c>
      <c r="BK4" s="409">
        <f t="shared" si="1"/>
        <v>0</v>
      </c>
      <c r="BL4" s="409">
        <f t="shared" si="2"/>
        <v>0</v>
      </c>
      <c r="BM4" s="143"/>
      <c r="BN4" s="143"/>
      <c r="BO4" s="143"/>
      <c r="BP4" s="143"/>
      <c r="BQ4" s="143"/>
      <c r="BR4" s="143"/>
      <c r="BS4" s="143"/>
      <c r="BT4" s="143"/>
    </row>
    <row r="5" spans="1:72">
      <c r="A5" s="141">
        <v>2481</v>
      </c>
      <c r="B5" s="203">
        <f>IF(NOT(ISBLANK('User Interface (Start Here!)'!$L$14)),IF(ISNUMBER(VLOOKUP($A5,$R$2:$U$24,4,FALSE)),VLOOKUP($A5,$R$2:$U$24,4,FALSE),0),IF(NOT(ISBLANK('User Interface (Start Here!)'!$M$14)),IF(ISNUMBER(VLOOKUP('Bathymetric Closures'!$A5,'Bathymetric Closures'!$AM$145:$AN$226,2,FALSE)),VLOOKUP('Bathymetric Closures'!$A5,'Bathymetric Closures'!$AM$145:$AN$226,2,FALSE)/100,0),IF(NOT(ISBLANK('User Interface (Start Here!)'!$N$14)),IF(ISNUMBER(VLOOKUP('Bathymetric Closures'!$A5,'Bathymetric Closures'!$AM$260:$AN$341,2,FALSE)),VLOOKUP('Bathymetric Closures'!$A5,'Bathymetric Closures'!$AM$260:$AN$341,2,FALSE)/100,0))))</f>
        <v>3.1771455588299996E-2</v>
      </c>
      <c r="C5" s="204">
        <f>IF(NOT(ISBLANK('User Interface (Start Here!)'!$M$14)),VLOOKUP('Bathymetric Closures'!$A5,'Bathymetric Closures'!$AM$146:$AQ$201,5,FALSE),IF(NOT(ISBLANK('User Interface (Start Here!)'!$N$14)),VLOOKUP('Bathymetric Closures'!$A5,'Bathymetric Closures'!$AM$260:$AQ$330,5,FALSE),IF(OR('User Interface (Start Here!)'!$L$32="m",'User Interface (Start Here!)'!$L$32="M"),VLOOKUP('Bathymetric Closures'!$A5,'Bathymetric Closures'!$BH:$BL,4,FALSE),IF(OR('User Interface (Start Here!)'!$L$32="L",'User Interface (Start Here!)'!$L$32="l"),VLOOKUP('Bathymetric Closures'!$A5,'Bathymetric Closures'!$BH$1:$BL$56,5,FALSE),VLOOKUP('Bathymetric Closures'!$A5,'Bathymetric Closures'!$BH$1:$BL$56,3,FALSE)))))</f>
        <v>0.33176100628930816</v>
      </c>
      <c r="D5" s="204">
        <f t="shared" si="3"/>
        <v>0.66823899371069184</v>
      </c>
      <c r="E5" s="143"/>
      <c r="F5" s="143"/>
      <c r="G5" s="143"/>
      <c r="H5" s="143"/>
      <c r="I5" s="143"/>
      <c r="J5" s="143"/>
      <c r="K5" s="143"/>
      <c r="L5" s="143"/>
      <c r="M5" s="143"/>
      <c r="N5" s="143"/>
      <c r="O5" s="143"/>
      <c r="P5" s="143"/>
      <c r="Q5" s="143"/>
      <c r="R5" s="387">
        <v>2780</v>
      </c>
      <c r="S5" s="205">
        <v>2917772518.947</v>
      </c>
      <c r="T5" s="205">
        <v>1219897431.461</v>
      </c>
      <c r="U5" s="393">
        <v>0.41809202860723732</v>
      </c>
      <c r="V5" s="394"/>
      <c r="W5" s="390" t="s">
        <v>204</v>
      </c>
      <c r="X5" s="391">
        <v>0.42556976225699999</v>
      </c>
      <c r="Y5" s="391">
        <v>0.61538461538461542</v>
      </c>
      <c r="Z5" s="146"/>
      <c r="AA5" s="396"/>
      <c r="AB5" s="396"/>
      <c r="AC5" s="279"/>
      <c r="AD5" s="390" t="s">
        <v>192</v>
      </c>
      <c r="AE5" s="391">
        <v>0.416284212825</v>
      </c>
      <c r="AF5" s="391">
        <v>1</v>
      </c>
      <c r="AG5" s="392"/>
      <c r="AH5" s="392"/>
      <c r="AI5" s="392"/>
      <c r="AJ5" s="392"/>
      <c r="AK5" s="380"/>
      <c r="AL5" s="143"/>
      <c r="AM5" s="143"/>
      <c r="AN5" s="143"/>
      <c r="AO5" s="143"/>
      <c r="AP5" s="143"/>
      <c r="AQ5" s="143"/>
      <c r="AR5" s="143"/>
      <c r="AS5" s="143"/>
      <c r="AT5" s="143"/>
      <c r="AU5" s="143"/>
      <c r="AV5" s="143"/>
      <c r="AW5" s="143"/>
      <c r="AX5" s="143"/>
      <c r="AY5" s="143"/>
      <c r="AZ5" s="143"/>
      <c r="BA5" s="143"/>
      <c r="BB5" s="143"/>
      <c r="BC5" s="143"/>
      <c r="BD5" s="143"/>
      <c r="BE5" s="143"/>
      <c r="BF5" s="143"/>
      <c r="BG5" s="146"/>
      <c r="BH5" s="296">
        <v>2482</v>
      </c>
      <c r="BI5" s="408">
        <v>0</v>
      </c>
      <c r="BJ5" s="408">
        <f t="shared" si="0"/>
        <v>0</v>
      </c>
      <c r="BK5" s="409">
        <f t="shared" si="1"/>
        <v>0</v>
      </c>
      <c r="BL5" s="409">
        <f t="shared" si="2"/>
        <v>0</v>
      </c>
      <c r="BM5" s="143"/>
      <c r="BN5" s="143"/>
      <c r="BO5" s="143"/>
      <c r="BP5" s="143"/>
      <c r="BQ5" s="143"/>
      <c r="BR5" s="143"/>
      <c r="BS5" s="143"/>
      <c r="BT5" s="143"/>
    </row>
    <row r="6" spans="1:72">
      <c r="A6" s="141">
        <v>2482</v>
      </c>
      <c r="B6" s="203">
        <f>IF(NOT(ISBLANK('User Interface (Start Here!)'!$L$14)),IF(ISNUMBER(VLOOKUP($A6,$R$2:$U$24,4,FALSE)),VLOOKUP($A6,$R$2:$U$24,4,FALSE),0),IF(NOT(ISBLANK('User Interface (Start Here!)'!$M$14)),IF(ISNUMBER(VLOOKUP('Bathymetric Closures'!$A6,'Bathymetric Closures'!$AM$145:$AN$226,2,FALSE)),VLOOKUP('Bathymetric Closures'!$A6,'Bathymetric Closures'!$AM$145:$AN$226,2,FALSE)/100,0),IF(NOT(ISBLANK('User Interface (Start Here!)'!$N$14)),IF(ISNUMBER(VLOOKUP('Bathymetric Closures'!$A6,'Bathymetric Closures'!$AM$260:$AN$341,2,FALSE)),VLOOKUP('Bathymetric Closures'!$A6,'Bathymetric Closures'!$AM$260:$AN$341,2,FALSE)/100,0))))</f>
        <v>0.158181919107</v>
      </c>
      <c r="C6" s="204">
        <f>IF(NOT(ISBLANK('User Interface (Start Here!)'!$M$14)),VLOOKUP('Bathymetric Closures'!$A6,'Bathymetric Closures'!$AM$146:$AQ$201,5,FALSE),IF(NOT(ISBLANK('User Interface (Start Here!)'!$N$14)),VLOOKUP('Bathymetric Closures'!$A6,'Bathymetric Closures'!$AM$260:$AQ$330,5,FALSE),IF(OR('User Interface (Start Here!)'!$L$32="m",'User Interface (Start Here!)'!$L$32="M"),VLOOKUP('Bathymetric Closures'!$A6,'Bathymetric Closures'!$BH:$BL,4,FALSE),IF(OR('User Interface (Start Here!)'!$L$32="L",'User Interface (Start Here!)'!$L$32="l"),VLOOKUP('Bathymetric Closures'!$A6,'Bathymetric Closures'!$BH$1:$BL$56,5,FALSE),VLOOKUP('Bathymetric Closures'!$A6,'Bathymetric Closures'!$BH$1:$BL$56,3,FALSE)))))</f>
        <v>0.24208345664397751</v>
      </c>
      <c r="D6" s="204">
        <f t="shared" si="3"/>
        <v>0.75791654335602243</v>
      </c>
      <c r="E6" s="143"/>
      <c r="F6" s="143"/>
      <c r="G6" s="143"/>
      <c r="H6" s="143"/>
      <c r="I6" s="143"/>
      <c r="J6" s="143"/>
      <c r="K6" s="143"/>
      <c r="L6" s="143"/>
      <c r="M6" s="143"/>
      <c r="N6" s="143"/>
      <c r="O6" s="143"/>
      <c r="P6" s="143"/>
      <c r="Q6" s="143"/>
      <c r="R6" s="387">
        <v>2880</v>
      </c>
      <c r="S6" s="205">
        <v>5334209282.5100002</v>
      </c>
      <c r="T6" s="205">
        <v>2614523923.4400001</v>
      </c>
      <c r="U6" s="393">
        <v>0.49014273437163336</v>
      </c>
      <c r="V6" s="394"/>
      <c r="W6" s="390" t="s">
        <v>205</v>
      </c>
      <c r="X6" s="391">
        <v>0.798484877102</v>
      </c>
      <c r="Y6" s="391">
        <v>0.9859154929577465</v>
      </c>
      <c r="Z6" s="146"/>
      <c r="AA6" s="396"/>
      <c r="AB6" s="396"/>
      <c r="AC6" s="279"/>
      <c r="AD6" s="390" t="s">
        <v>193</v>
      </c>
      <c r="AE6" s="391">
        <v>0.52639809807000004</v>
      </c>
      <c r="AF6" s="391">
        <v>1</v>
      </c>
      <c r="AG6" s="392"/>
      <c r="AH6" s="392"/>
      <c r="AI6" s="392"/>
      <c r="AJ6" s="392"/>
      <c r="AK6" s="380"/>
      <c r="AL6" s="143"/>
      <c r="AM6" s="143"/>
      <c r="AN6" s="143"/>
      <c r="AO6" s="143"/>
      <c r="AP6" s="143"/>
      <c r="AQ6" s="143"/>
      <c r="AR6" s="143"/>
      <c r="AS6" s="143"/>
      <c r="AT6" s="143"/>
      <c r="AU6" s="143"/>
      <c r="AV6" s="143"/>
      <c r="AW6" s="143"/>
      <c r="AX6" s="143"/>
      <c r="AY6" s="143"/>
      <c r="AZ6" s="143"/>
      <c r="BA6" s="143"/>
      <c r="BB6" s="143"/>
      <c r="BC6" s="143"/>
      <c r="BD6" s="143"/>
      <c r="BE6" s="143"/>
      <c r="BF6" s="143"/>
      <c r="BG6" s="146"/>
      <c r="BH6" s="296">
        <v>2579</v>
      </c>
      <c r="BI6" s="408">
        <v>0</v>
      </c>
      <c r="BJ6" s="408">
        <f t="shared" si="0"/>
        <v>0</v>
      </c>
      <c r="BK6" s="409">
        <f t="shared" si="1"/>
        <v>0</v>
      </c>
      <c r="BL6" s="409">
        <f t="shared" si="2"/>
        <v>0</v>
      </c>
      <c r="BM6" s="143"/>
      <c r="BN6" s="143"/>
      <c r="BO6" s="143"/>
      <c r="BP6" s="143"/>
      <c r="BQ6" s="143"/>
      <c r="BR6" s="143"/>
      <c r="BS6" s="143"/>
      <c r="BT6" s="143"/>
    </row>
    <row r="7" spans="1:72">
      <c r="A7" s="141">
        <v>2579</v>
      </c>
      <c r="B7" s="203">
        <f>IF(NOT(ISBLANK('User Interface (Start Here!)'!$L$14)),IF(ISNUMBER(VLOOKUP($A7,$R$2:$U$24,4,FALSE)),VLOOKUP($A7,$R$2:$U$24,4,FALSE),0),IF(NOT(ISBLANK('User Interface (Start Here!)'!$M$14)),IF(ISNUMBER(VLOOKUP('Bathymetric Closures'!$A7,'Bathymetric Closures'!$AM$145:$AN$226,2,FALSE)),VLOOKUP('Bathymetric Closures'!$A7,'Bathymetric Closures'!$AM$145:$AN$226,2,FALSE)/100,0),IF(NOT(ISBLANK('User Interface (Start Here!)'!$N$14)),IF(ISNUMBER(VLOOKUP('Bathymetric Closures'!$A7,'Bathymetric Closures'!$AM$260:$AN$341,2,FALSE)),VLOOKUP('Bathymetric Closures'!$A7,'Bathymetric Closures'!$AM$260:$AN$341,2,FALSE)/100,0))))</f>
        <v>0</v>
      </c>
      <c r="C7" s="204">
        <f>IF(NOT(ISBLANK('User Interface (Start Here!)'!$M$14)),VLOOKUP('Bathymetric Closures'!$A7,'Bathymetric Closures'!$AM$146:$AQ$201,5,FALSE),IF(NOT(ISBLANK('User Interface (Start Here!)'!$N$14)),VLOOKUP('Bathymetric Closures'!$A7,'Bathymetric Closures'!$AM$260:$AQ$330,5,FALSE),IF(OR('User Interface (Start Here!)'!$L$32="m",'User Interface (Start Here!)'!$L$32="M"),VLOOKUP('Bathymetric Closures'!$A7,'Bathymetric Closures'!$BH:$BL,4,FALSE),IF(OR('User Interface (Start Here!)'!$L$32="L",'User Interface (Start Here!)'!$L$32="l"),VLOOKUP('Bathymetric Closures'!$A7,'Bathymetric Closures'!$BH$1:$BL$56,5,FALSE),VLOOKUP('Bathymetric Closures'!$A7,'Bathymetric Closures'!$BH$1:$BL$56,3,FALSE)))))</f>
        <v>0</v>
      </c>
      <c r="D7" s="204">
        <f t="shared" si="3"/>
        <v>1</v>
      </c>
      <c r="E7" s="143"/>
      <c r="F7" s="143"/>
      <c r="G7" s="143"/>
      <c r="H7" s="143"/>
      <c r="I7" s="143"/>
      <c r="J7" s="143"/>
      <c r="K7" s="143"/>
      <c r="L7" s="143"/>
      <c r="M7" s="143"/>
      <c r="N7" s="143"/>
      <c r="O7" s="143"/>
      <c r="P7" s="143"/>
      <c r="Q7" s="143"/>
      <c r="R7" s="387">
        <v>2980</v>
      </c>
      <c r="S7" s="205">
        <v>10511725673.719999</v>
      </c>
      <c r="T7" s="205">
        <v>4585759815.4629993</v>
      </c>
      <c r="U7" s="393">
        <v>0.43625185414871492</v>
      </c>
      <c r="V7" s="394"/>
      <c r="W7" s="390" t="s">
        <v>210</v>
      </c>
      <c r="X7" s="391">
        <v>0.62063380691199999</v>
      </c>
      <c r="Y7" s="391">
        <v>1</v>
      </c>
      <c r="Z7" s="146"/>
      <c r="AA7" s="396"/>
      <c r="AB7" s="396"/>
      <c r="AC7" s="279"/>
      <c r="AD7" s="390" t="s">
        <v>194</v>
      </c>
      <c r="AE7" s="391">
        <v>0.92920214507800003</v>
      </c>
      <c r="AF7" s="391">
        <v>1</v>
      </c>
      <c r="AG7" s="392"/>
      <c r="AH7" s="392"/>
      <c r="AI7" s="392"/>
      <c r="AJ7" s="392"/>
      <c r="AK7" s="380"/>
      <c r="AL7" s="143"/>
      <c r="AM7" s="143"/>
      <c r="AN7" s="143"/>
      <c r="AO7" s="143"/>
      <c r="AP7" s="143"/>
      <c r="AQ7" s="143"/>
      <c r="AR7" s="143"/>
      <c r="AS7" s="143"/>
      <c r="AT7" s="143"/>
      <c r="AU7" s="143"/>
      <c r="AV7" s="143"/>
      <c r="AW7" s="143"/>
      <c r="AX7" s="143"/>
      <c r="AY7" s="143"/>
      <c r="AZ7" s="143"/>
      <c r="BA7" s="143"/>
      <c r="BB7" s="143"/>
      <c r="BC7" s="143"/>
      <c r="BD7" s="143"/>
      <c r="BE7" s="143"/>
      <c r="BF7" s="143"/>
      <c r="BG7" s="146"/>
      <c r="BH7" s="296">
        <v>2580</v>
      </c>
      <c r="BI7" s="408">
        <v>0</v>
      </c>
      <c r="BJ7" s="408">
        <f t="shared" si="0"/>
        <v>0</v>
      </c>
      <c r="BK7" s="409">
        <f t="shared" si="1"/>
        <v>0</v>
      </c>
      <c r="BL7" s="409">
        <f t="shared" si="2"/>
        <v>0</v>
      </c>
      <c r="BM7" s="143"/>
      <c r="BN7" s="143"/>
      <c r="BO7" s="143"/>
      <c r="BP7" s="143"/>
      <c r="BQ7" s="143"/>
      <c r="BR7" s="143"/>
      <c r="BS7" s="143"/>
      <c r="BT7" s="143"/>
    </row>
    <row r="8" spans="1:72">
      <c r="A8" s="141">
        <v>2580</v>
      </c>
      <c r="B8" s="203">
        <f>IF(NOT(ISBLANK('User Interface (Start Here!)'!$L$14)),IF(ISNUMBER(VLOOKUP($A8,$R$2:$U$24,4,FALSE)),VLOOKUP($A8,$R$2:$U$24,4,FALSE),0),IF(NOT(ISBLANK('User Interface (Start Here!)'!$M$14)),IF(ISNUMBER(VLOOKUP('Bathymetric Closures'!$A8,'Bathymetric Closures'!$AM$145:$AN$226,2,FALSE)),VLOOKUP('Bathymetric Closures'!$A8,'Bathymetric Closures'!$AM$145:$AN$226,2,FALSE)/100,0),IF(NOT(ISBLANK('User Interface (Start Here!)'!$N$14)),IF(ISNUMBER(VLOOKUP('Bathymetric Closures'!$A8,'Bathymetric Closures'!$AM$260:$AN$341,2,FALSE)),VLOOKUP('Bathymetric Closures'!$A8,'Bathymetric Closures'!$AM$260:$AN$341,2,FALSE)/100,0))))</f>
        <v>9.2040794180799995E-2</v>
      </c>
      <c r="C8" s="204">
        <f>IF(NOT(ISBLANK('User Interface (Start Here!)'!$M$14)),VLOOKUP('Bathymetric Closures'!$A8,'Bathymetric Closures'!$AM$146:$AQ$201,5,FALSE),IF(NOT(ISBLANK('User Interface (Start Here!)'!$N$14)),VLOOKUP('Bathymetric Closures'!$A8,'Bathymetric Closures'!$AM$260:$AQ$330,5,FALSE),IF(OR('User Interface (Start Here!)'!$L$32="m",'User Interface (Start Here!)'!$L$32="M"),VLOOKUP('Bathymetric Closures'!$A8,'Bathymetric Closures'!$BH:$BL,4,FALSE),IF(OR('User Interface (Start Here!)'!$L$32="L",'User Interface (Start Here!)'!$L$32="l"),VLOOKUP('Bathymetric Closures'!$A8,'Bathymetric Closures'!$BH$1:$BL$56,5,FALSE),VLOOKUP('Bathymetric Closures'!$A8,'Bathymetric Closures'!$BH$1:$BL$56,3,FALSE)))))</f>
        <v>0.72257607926397738</v>
      </c>
      <c r="D8" s="204">
        <f t="shared" si="3"/>
        <v>0.27742392073602262</v>
      </c>
      <c r="E8" s="143"/>
      <c r="F8" s="143"/>
      <c r="G8" s="143"/>
      <c r="H8" s="143"/>
      <c r="I8" s="143"/>
      <c r="J8" s="143"/>
      <c r="K8" s="143"/>
      <c r="L8" s="143"/>
      <c r="M8" s="143"/>
      <c r="N8" s="143"/>
      <c r="O8" s="143"/>
      <c r="P8" s="143"/>
      <c r="Q8" s="143"/>
      <c r="R8" s="387">
        <v>3079</v>
      </c>
      <c r="S8" s="205">
        <v>2652796029.8099999</v>
      </c>
      <c r="T8" s="205">
        <v>51736075.3116</v>
      </c>
      <c r="U8" s="393">
        <v>1.9502470122177266E-2</v>
      </c>
      <c r="V8" s="394"/>
      <c r="W8" s="388"/>
      <c r="X8" s="389"/>
      <c r="Y8" s="389"/>
      <c r="Z8" s="146"/>
      <c r="AA8" s="396"/>
      <c r="AB8" s="396"/>
      <c r="AC8" s="279"/>
      <c r="AD8" s="390" t="s">
        <v>195</v>
      </c>
      <c r="AE8" s="391">
        <v>0.62162964446799995</v>
      </c>
      <c r="AF8" s="391">
        <v>1</v>
      </c>
      <c r="AG8" s="392"/>
      <c r="AH8" s="392"/>
      <c r="AI8" s="392"/>
      <c r="AJ8" s="392"/>
      <c r="AK8" s="380"/>
      <c r="AL8" s="143"/>
      <c r="AM8" s="143"/>
      <c r="AN8" s="143"/>
      <c r="AO8" s="143"/>
      <c r="AP8" s="143"/>
      <c r="AQ8" s="143"/>
      <c r="AR8" s="143"/>
      <c r="AS8" s="143"/>
      <c r="AT8" s="143"/>
      <c r="AU8" s="143"/>
      <c r="AV8" s="143"/>
      <c r="AW8" s="143"/>
      <c r="AX8" s="143"/>
      <c r="AY8" s="143"/>
      <c r="AZ8" s="143"/>
      <c r="BA8" s="143"/>
      <c r="BB8" s="143"/>
      <c r="BC8" s="143"/>
      <c r="BD8" s="143"/>
      <c r="BE8" s="143"/>
      <c r="BF8" s="143"/>
      <c r="BG8" s="146"/>
      <c r="BH8" s="296">
        <v>2674</v>
      </c>
      <c r="BI8" s="408">
        <v>0</v>
      </c>
      <c r="BJ8" s="408">
        <f t="shared" si="0"/>
        <v>0</v>
      </c>
      <c r="BK8" s="409">
        <f t="shared" si="1"/>
        <v>0</v>
      </c>
      <c r="BL8" s="409">
        <f t="shared" si="2"/>
        <v>0</v>
      </c>
      <c r="BM8" s="143"/>
      <c r="BN8" s="143"/>
      <c r="BO8" s="143"/>
      <c r="BP8" s="143"/>
      <c r="BQ8" s="143"/>
      <c r="BR8" s="143"/>
      <c r="BS8" s="143"/>
      <c r="BT8" s="143"/>
    </row>
    <row r="9" spans="1:72">
      <c r="A9" s="141">
        <v>2674</v>
      </c>
      <c r="B9" s="203">
        <f>IF(NOT(ISBLANK('User Interface (Start Here!)'!$L$14)),IF(ISNUMBER(VLOOKUP($A9,$R$2:$U$24,4,FALSE)),VLOOKUP($A9,$R$2:$U$24,4,FALSE),0),IF(NOT(ISBLANK('User Interface (Start Here!)'!$M$14)),IF(ISNUMBER(VLOOKUP('Bathymetric Closures'!$A9,'Bathymetric Closures'!$AM$145:$AN$226,2,FALSE)),VLOOKUP('Bathymetric Closures'!$A9,'Bathymetric Closures'!$AM$145:$AN$226,2,FALSE)/100,0),IF(NOT(ISBLANK('User Interface (Start Here!)'!$N$14)),IF(ISNUMBER(VLOOKUP('Bathymetric Closures'!$A9,'Bathymetric Closures'!$AM$260:$AN$341,2,FALSE)),VLOOKUP('Bathymetric Closures'!$A9,'Bathymetric Closures'!$AM$260:$AN$341,2,FALSE)/100,0))))</f>
        <v>0</v>
      </c>
      <c r="C9" s="204">
        <f>IF(NOT(ISBLANK('User Interface (Start Here!)'!$M$14)),VLOOKUP('Bathymetric Closures'!$A9,'Bathymetric Closures'!$AM$146:$AQ$201,5,FALSE),IF(NOT(ISBLANK('User Interface (Start Here!)'!$N$14)),VLOOKUP('Bathymetric Closures'!$A9,'Bathymetric Closures'!$AM$260:$AQ$330,5,FALSE),IF(OR('User Interface (Start Here!)'!$L$32="m",'User Interface (Start Here!)'!$L$32="M"),VLOOKUP('Bathymetric Closures'!$A9,'Bathymetric Closures'!$BH:$BL,4,FALSE),IF(OR('User Interface (Start Here!)'!$L$32="L",'User Interface (Start Here!)'!$L$32="l"),VLOOKUP('Bathymetric Closures'!$A9,'Bathymetric Closures'!$BH$1:$BL$56,5,FALSE),VLOOKUP('Bathymetric Closures'!$A9,'Bathymetric Closures'!$BH$1:$BL$56,3,FALSE)))))</f>
        <v>0</v>
      </c>
      <c r="D9" s="204">
        <f t="shared" si="3"/>
        <v>1</v>
      </c>
      <c r="E9" s="143"/>
      <c r="F9" s="143"/>
      <c r="G9" s="143"/>
      <c r="H9" s="143"/>
      <c r="I9" s="143"/>
      <c r="J9" s="143"/>
      <c r="K9" s="143"/>
      <c r="L9" s="143"/>
      <c r="M9" s="143"/>
      <c r="N9" s="143"/>
      <c r="O9" s="143"/>
      <c r="P9" s="143"/>
      <c r="Q9" s="143"/>
      <c r="R9" s="387">
        <v>3080</v>
      </c>
      <c r="S9" s="205">
        <v>10634480475.08</v>
      </c>
      <c r="T9" s="205">
        <v>7752500889.9200001</v>
      </c>
      <c r="U9" s="393">
        <v>0.72899667342345464</v>
      </c>
      <c r="V9" s="394"/>
      <c r="W9" s="388"/>
      <c r="X9" s="389"/>
      <c r="Y9" s="389"/>
      <c r="Z9" s="146"/>
      <c r="AA9" s="279"/>
      <c r="AB9" s="279"/>
      <c r="AC9" s="279"/>
      <c r="AD9" s="390" t="s">
        <v>196</v>
      </c>
      <c r="AE9" s="391">
        <v>0.85333331826699999</v>
      </c>
      <c r="AF9" s="391">
        <v>1</v>
      </c>
      <c r="AG9" s="392"/>
      <c r="AH9" s="392"/>
      <c r="AI9" s="392"/>
      <c r="AJ9" s="392"/>
      <c r="AK9" s="380"/>
      <c r="AL9" s="143"/>
      <c r="AM9" s="143"/>
      <c r="AN9" s="143"/>
      <c r="AO9" s="143"/>
      <c r="AP9" s="143"/>
      <c r="AQ9" s="143"/>
      <c r="AR9" s="143"/>
      <c r="AS9" s="143"/>
      <c r="AT9" s="143"/>
      <c r="AU9" s="143"/>
      <c r="AV9" s="143"/>
      <c r="AW9" s="143"/>
      <c r="AX9" s="143"/>
      <c r="AY9" s="143"/>
      <c r="AZ9" s="143"/>
      <c r="BA9" s="143"/>
      <c r="BB9" s="143"/>
      <c r="BC9" s="143"/>
      <c r="BD9" s="143"/>
      <c r="BE9" s="143"/>
      <c r="BF9" s="143"/>
      <c r="BG9" s="146"/>
      <c r="BH9" s="296">
        <v>2679</v>
      </c>
      <c r="BI9" s="408">
        <v>8.7458310269272199E-2</v>
      </c>
      <c r="BJ9" s="408">
        <f t="shared" si="0"/>
        <v>8.7458310269272199E-2</v>
      </c>
      <c r="BK9" s="409">
        <f t="shared" si="1"/>
        <v>0.83903308298175039</v>
      </c>
      <c r="BL9" s="409">
        <f t="shared" si="2"/>
        <v>0.30381413801842916</v>
      </c>
      <c r="BM9" s="143"/>
      <c r="BN9" s="143"/>
      <c r="BO9" s="143"/>
      <c r="BP9" s="143"/>
      <c r="BQ9" s="143"/>
      <c r="BR9" s="143"/>
      <c r="BS9" s="143"/>
      <c r="BT9" s="143"/>
    </row>
    <row r="10" spans="1:72">
      <c r="A10" s="141">
        <v>2679</v>
      </c>
      <c r="B10" s="203">
        <f>IF(NOT(ISBLANK('User Interface (Start Here!)'!$L$14)),IF(ISNUMBER(VLOOKUP($A10,$R$2:$U$24,4,FALSE)),VLOOKUP($A10,$R$2:$U$24,4,FALSE),0),IF(NOT(ISBLANK('User Interface (Start Here!)'!$M$14)),IF(ISNUMBER(VLOOKUP('Bathymetric Closures'!$A10,'Bathymetric Closures'!$AM$145:$AN$226,2,FALSE)),VLOOKUP('Bathymetric Closures'!$A10,'Bathymetric Closures'!$AM$145:$AN$226,2,FALSE)/100,0),IF(NOT(ISBLANK('User Interface (Start Here!)'!$N$14)),IF(ISNUMBER(VLOOKUP('Bathymetric Closures'!$A10,'Bathymetric Closures'!$AM$260:$AN$341,2,FALSE)),VLOOKUP('Bathymetric Closures'!$A10,'Bathymetric Closures'!$AM$260:$AN$341,2,FALSE)/100,0))))</f>
        <v>2.6082074801200002E-3</v>
      </c>
      <c r="C10" s="204">
        <f>IF(NOT(ISBLANK('User Interface (Start Here!)'!$M$14)),VLOOKUP('Bathymetric Closures'!$A10,'Bathymetric Closures'!$AM$146:$AQ$201,5,FALSE),IF(NOT(ISBLANK('User Interface (Start Here!)'!$N$14)),VLOOKUP('Bathymetric Closures'!$A10,'Bathymetric Closures'!$AM$260:$AQ$330,5,FALSE),IF(OR('User Interface (Start Here!)'!$L$32="m",'User Interface (Start Here!)'!$L$32="M"),VLOOKUP('Bathymetric Closures'!$A10,'Bathymetric Closures'!$BH:$BL,4,FALSE),IF(OR('User Interface (Start Here!)'!$L$32="L",'User Interface (Start Here!)'!$L$32="l"),VLOOKUP('Bathymetric Closures'!$A10,'Bathymetric Closures'!$BH$1:$BL$56,5,FALSE),VLOOKUP('Bathymetric Closures'!$A10,'Bathymetric Closures'!$BH$1:$BL$56,3,FALSE)))))</f>
        <v>0.76593959731543615</v>
      </c>
      <c r="D10" s="204">
        <f t="shared" si="3"/>
        <v>0.23406040268456385</v>
      </c>
      <c r="E10" s="143"/>
      <c r="F10" s="143"/>
      <c r="G10" s="143"/>
      <c r="H10" s="143"/>
      <c r="I10" s="143"/>
      <c r="J10" s="143"/>
      <c r="K10" s="143"/>
      <c r="L10" s="143"/>
      <c r="M10" s="143"/>
      <c r="N10" s="143"/>
      <c r="O10" s="143"/>
      <c r="P10" s="143"/>
      <c r="Q10" s="143"/>
      <c r="R10" s="387">
        <v>3179</v>
      </c>
      <c r="S10" s="205">
        <v>7890547331.1999998</v>
      </c>
      <c r="T10" s="205">
        <v>3348644665.1100001</v>
      </c>
      <c r="U10" s="393">
        <v>0.42438686754582028</v>
      </c>
      <c r="V10" s="394"/>
      <c r="W10" s="388"/>
      <c r="X10" s="389"/>
      <c r="Y10" s="389"/>
      <c r="Z10" s="146"/>
      <c r="AA10" s="279"/>
      <c r="AB10" s="279"/>
      <c r="AC10" s="279"/>
      <c r="AD10" s="390" t="s">
        <v>197</v>
      </c>
      <c r="AE10" s="391">
        <v>0.35283595178400001</v>
      </c>
      <c r="AF10" s="391">
        <v>1</v>
      </c>
      <c r="AG10" s="392"/>
      <c r="AH10" s="392"/>
      <c r="AI10" s="392"/>
      <c r="AJ10" s="392"/>
      <c r="AK10" s="380"/>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6"/>
      <c r="BH10" s="296">
        <v>2680</v>
      </c>
      <c r="BI10" s="408">
        <v>0.17665126022762759</v>
      </c>
      <c r="BJ10" s="408">
        <f t="shared" si="0"/>
        <v>0.17665126022762759</v>
      </c>
      <c r="BK10" s="409">
        <f t="shared" si="1"/>
        <v>0.85650598187859217</v>
      </c>
      <c r="BL10" s="409">
        <f t="shared" si="2"/>
        <v>0.55521960683278271</v>
      </c>
      <c r="BM10" s="143"/>
      <c r="BN10" s="143"/>
      <c r="BO10" s="143"/>
      <c r="BP10" s="143"/>
      <c r="BQ10" s="143"/>
      <c r="BR10" s="143"/>
      <c r="BS10" s="143"/>
      <c r="BT10" s="143"/>
    </row>
    <row r="11" spans="1:72">
      <c r="A11" s="141">
        <v>2680</v>
      </c>
      <c r="B11" s="203">
        <f>IF(NOT(ISBLANK('User Interface (Start Here!)'!$L$14)),IF(ISNUMBER(VLOOKUP($A11,$R$2:$U$24,4,FALSE)),VLOOKUP($A11,$R$2:$U$24,4,FALSE),0),IF(NOT(ISBLANK('User Interface (Start Here!)'!$M$14)),IF(ISNUMBER(VLOOKUP('Bathymetric Closures'!$A11,'Bathymetric Closures'!$AM$145:$AN$226,2,FALSE)),VLOOKUP('Bathymetric Closures'!$A11,'Bathymetric Closures'!$AM$145:$AN$226,2,FALSE)/100,0),IF(NOT(ISBLANK('User Interface (Start Here!)'!$N$14)),IF(ISNUMBER(VLOOKUP('Bathymetric Closures'!$A11,'Bathymetric Closures'!$AM$260:$AN$341,2,FALSE)),VLOOKUP('Bathymetric Closures'!$A11,'Bathymetric Closures'!$AM$260:$AN$341,2,FALSE)/100,0))))</f>
        <v>0.93784725430700011</v>
      </c>
      <c r="C11" s="204">
        <f>IF(NOT(ISBLANK('User Interface (Start Here!)'!$M$14)),VLOOKUP('Bathymetric Closures'!$A11,'Bathymetric Closures'!$AM$146:$AQ$201,5,FALSE),IF(NOT(ISBLANK('User Interface (Start Here!)'!$N$14)),VLOOKUP('Bathymetric Closures'!$A11,'Bathymetric Closures'!$AM$260:$AQ$330,5,FALSE),IF(OR('User Interface (Start Here!)'!$L$32="m",'User Interface (Start Here!)'!$L$32="M"),VLOOKUP('Bathymetric Closures'!$A11,'Bathymetric Closures'!$BH:$BL,4,FALSE),IF(OR('User Interface (Start Here!)'!$L$32="L",'User Interface (Start Here!)'!$L$32="l"),VLOOKUP('Bathymetric Closures'!$A11,'Bathymetric Closures'!$BH$1:$BL$56,5,FALSE),VLOOKUP('Bathymetric Closures'!$A11,'Bathymetric Closures'!$BH$1:$BL$56,3,FALSE)))))</f>
        <v>1</v>
      </c>
      <c r="D11" s="204">
        <f t="shared" si="3"/>
        <v>0</v>
      </c>
      <c r="E11" s="143"/>
      <c r="F11" s="143"/>
      <c r="G11" s="143"/>
      <c r="H11" s="143"/>
      <c r="I11" s="143"/>
      <c r="J11" s="143"/>
      <c r="K11" s="143"/>
      <c r="L11" s="143"/>
      <c r="M11" s="143"/>
      <c r="N11" s="143"/>
      <c r="O11" s="143"/>
      <c r="P11" s="143"/>
      <c r="Q11" s="143"/>
      <c r="R11" s="387">
        <v>3180</v>
      </c>
      <c r="S11" s="205">
        <v>7903005526.2600002</v>
      </c>
      <c r="T11" s="205">
        <v>4306361160.2729998</v>
      </c>
      <c r="U11" s="393">
        <v>0.54490170175939789</v>
      </c>
      <c r="V11" s="394"/>
      <c r="W11" s="388"/>
      <c r="X11" s="389"/>
      <c r="Y11" s="389"/>
      <c r="Z11" s="146"/>
      <c r="AA11" s="397"/>
      <c r="AB11" s="397"/>
      <c r="AC11" s="397"/>
      <c r="AD11" s="390" t="s">
        <v>198</v>
      </c>
      <c r="AE11" s="391">
        <v>0.49610379976199998</v>
      </c>
      <c r="AF11" s="391">
        <v>0.54545454545454541</v>
      </c>
      <c r="AG11" s="392"/>
      <c r="AH11" s="392"/>
      <c r="AI11" s="392"/>
      <c r="AJ11" s="392"/>
      <c r="AK11" s="380"/>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6"/>
      <c r="BH11" s="296">
        <v>2770</v>
      </c>
      <c r="BI11" s="408">
        <v>0</v>
      </c>
      <c r="BJ11" s="408">
        <f t="shared" si="0"/>
        <v>0</v>
      </c>
      <c r="BK11" s="409">
        <f t="shared" si="1"/>
        <v>0</v>
      </c>
      <c r="BL11" s="409">
        <f t="shared" si="2"/>
        <v>0</v>
      </c>
      <c r="BM11" s="143"/>
      <c r="BN11" s="143"/>
      <c r="BO11" s="143"/>
      <c r="BP11" s="143"/>
      <c r="BQ11" s="143"/>
      <c r="BR11" s="143"/>
      <c r="BS11" s="143"/>
      <c r="BT11" s="143"/>
    </row>
    <row r="12" spans="1:72">
      <c r="A12" s="141">
        <v>2770</v>
      </c>
      <c r="B12" s="203">
        <f>IF(NOT(ISBLANK('User Interface (Start Here!)'!$L$14)),IF(ISNUMBER(VLOOKUP($A12,$R$2:$U$24,4,FALSE)),VLOOKUP($A12,$R$2:$U$24,4,FALSE),0),IF(NOT(ISBLANK('User Interface (Start Here!)'!$M$14)),IF(ISNUMBER(VLOOKUP('Bathymetric Closures'!$A12,'Bathymetric Closures'!$AM$145:$AN$226,2,FALSE)),VLOOKUP('Bathymetric Closures'!$A12,'Bathymetric Closures'!$AM$145:$AN$226,2,FALSE)/100,0),IF(NOT(ISBLANK('User Interface (Start Here!)'!$N$14)),IF(ISNUMBER(VLOOKUP('Bathymetric Closures'!$A12,'Bathymetric Closures'!$AM$260:$AN$341,2,FALSE)),VLOOKUP('Bathymetric Closures'!$A12,'Bathymetric Closures'!$AM$260:$AN$341,2,FALSE)/100,0))))</f>
        <v>0</v>
      </c>
      <c r="C12" s="204">
        <f>IF(NOT(ISBLANK('User Interface (Start Here!)'!$M$14)),VLOOKUP('Bathymetric Closures'!$A12,'Bathymetric Closures'!$AM$146:$AQ$201,5,FALSE),IF(NOT(ISBLANK('User Interface (Start Here!)'!$N$14)),VLOOKUP('Bathymetric Closures'!$A12,'Bathymetric Closures'!$AM$260:$AQ$330,5,FALSE),IF(OR('User Interface (Start Here!)'!$L$32="m",'User Interface (Start Here!)'!$L$32="M"),VLOOKUP('Bathymetric Closures'!$A12,'Bathymetric Closures'!$BH:$BL,4,FALSE),IF(OR('User Interface (Start Here!)'!$L$32="L",'User Interface (Start Here!)'!$L$32="l"),VLOOKUP('Bathymetric Closures'!$A12,'Bathymetric Closures'!$BH$1:$BL$56,5,FALSE),VLOOKUP('Bathymetric Closures'!$A12,'Bathymetric Closures'!$BH$1:$BL$56,3,FALSE)))))</f>
        <v>0</v>
      </c>
      <c r="D12" s="204">
        <f t="shared" si="3"/>
        <v>1</v>
      </c>
      <c r="E12" s="143"/>
      <c r="F12" s="143"/>
      <c r="G12" s="143"/>
      <c r="H12" s="143"/>
      <c r="I12" s="143"/>
      <c r="J12" s="143"/>
      <c r="K12" s="143"/>
      <c r="L12" s="143"/>
      <c r="M12" s="143"/>
      <c r="N12" s="143"/>
      <c r="O12" s="143"/>
      <c r="P12" s="143"/>
      <c r="Q12" s="143"/>
      <c r="R12" s="387">
        <v>3277</v>
      </c>
      <c r="S12" s="205">
        <v>2602489962.1399999</v>
      </c>
      <c r="T12" s="205">
        <v>8235942.3974200003</v>
      </c>
      <c r="U12" s="393">
        <v>3.1646394480798197E-3</v>
      </c>
      <c r="V12" s="394"/>
      <c r="W12" s="388"/>
      <c r="X12" s="389"/>
      <c r="Y12" s="389"/>
      <c r="Z12" s="146"/>
      <c r="AA12" s="396"/>
      <c r="AB12" s="396"/>
      <c r="AC12" s="396"/>
      <c r="AD12" s="390" t="s">
        <v>199</v>
      </c>
      <c r="AE12" s="391">
        <v>0.99342444480400005</v>
      </c>
      <c r="AF12" s="391">
        <v>1</v>
      </c>
      <c r="AG12" s="392"/>
      <c r="AH12" s="392"/>
      <c r="AI12" s="392"/>
      <c r="AJ12" s="392"/>
      <c r="AK12" s="380"/>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6"/>
      <c r="BH12" s="296">
        <v>2778</v>
      </c>
      <c r="BI12" s="408">
        <v>0</v>
      </c>
      <c r="BJ12" s="408">
        <f t="shared" si="0"/>
        <v>0</v>
      </c>
      <c r="BK12" s="409">
        <f t="shared" si="1"/>
        <v>0</v>
      </c>
      <c r="BL12" s="409">
        <f t="shared" si="2"/>
        <v>0</v>
      </c>
      <c r="BM12" s="143"/>
      <c r="BN12" s="143"/>
      <c r="BO12" s="143"/>
      <c r="BP12" s="143"/>
      <c r="BQ12" s="143"/>
      <c r="BR12" s="143"/>
      <c r="BS12" s="143"/>
      <c r="BT12" s="143"/>
    </row>
    <row r="13" spans="1:72">
      <c r="A13" s="141">
        <v>2778</v>
      </c>
      <c r="B13" s="203">
        <f>IF(NOT(ISBLANK('User Interface (Start Here!)'!$L$14)),IF(ISNUMBER(VLOOKUP($A13,$R$2:$U$24,4,FALSE)),VLOOKUP($A13,$R$2:$U$24,4,FALSE),0),IF(NOT(ISBLANK('User Interface (Start Here!)'!$M$14)),IF(ISNUMBER(VLOOKUP('Bathymetric Closures'!$A13,'Bathymetric Closures'!$AM$145:$AN$226,2,FALSE)),VLOOKUP('Bathymetric Closures'!$A13,'Bathymetric Closures'!$AM$145:$AN$226,2,FALSE)/100,0),IF(NOT(ISBLANK('User Interface (Start Here!)'!$N$14)),IF(ISNUMBER(VLOOKUP('Bathymetric Closures'!$A13,'Bathymetric Closures'!$AM$260:$AN$341,2,FALSE)),VLOOKUP('Bathymetric Closures'!$A13,'Bathymetric Closures'!$AM$260:$AN$341,2,FALSE)/100,0))))</f>
        <v>0</v>
      </c>
      <c r="C13" s="204">
        <f>IF(NOT(ISBLANK('User Interface (Start Here!)'!$M$14)),VLOOKUP('Bathymetric Closures'!$A13,'Bathymetric Closures'!$AM$146:$AQ$201,5,FALSE),IF(NOT(ISBLANK('User Interface (Start Here!)'!$N$14)),VLOOKUP('Bathymetric Closures'!$A13,'Bathymetric Closures'!$AM$260:$AQ$330,5,FALSE),IF(OR('User Interface (Start Here!)'!$L$32="m",'User Interface (Start Here!)'!$L$32="M"),VLOOKUP('Bathymetric Closures'!$A13,'Bathymetric Closures'!$BH:$BL,4,FALSE),IF(OR('User Interface (Start Here!)'!$L$32="L",'User Interface (Start Here!)'!$L$32="l"),VLOOKUP('Bathymetric Closures'!$A13,'Bathymetric Closures'!$BH$1:$BL$56,5,FALSE),VLOOKUP('Bathymetric Closures'!$A13,'Bathymetric Closures'!$BH$1:$BL$56,3,FALSE)))))</f>
        <v>0</v>
      </c>
      <c r="D13" s="204">
        <f t="shared" si="3"/>
        <v>1</v>
      </c>
      <c r="E13" s="143"/>
      <c r="F13" s="143"/>
      <c r="G13" s="143"/>
      <c r="H13" s="143"/>
      <c r="I13" s="143"/>
      <c r="J13" s="143"/>
      <c r="K13" s="143"/>
      <c r="L13" s="143"/>
      <c r="M13" s="143"/>
      <c r="N13" s="143"/>
      <c r="O13" s="143"/>
      <c r="P13" s="143"/>
      <c r="Q13" s="143"/>
      <c r="R13" s="387">
        <v>3278</v>
      </c>
      <c r="S13" s="205">
        <v>7812884803.2300005</v>
      </c>
      <c r="T13" s="205">
        <v>3687344368.3270001</v>
      </c>
      <c r="U13" s="393">
        <v>0.47195683300009483</v>
      </c>
      <c r="V13" s="394"/>
      <c r="W13" s="398"/>
      <c r="X13" s="146"/>
      <c r="Y13" s="146"/>
      <c r="Z13" s="146"/>
      <c r="AA13" s="396"/>
      <c r="AB13" s="396"/>
      <c r="AC13" s="396"/>
      <c r="AD13" s="390" t="s">
        <v>200</v>
      </c>
      <c r="AE13" s="391">
        <v>0.87191210849400003</v>
      </c>
      <c r="AF13" s="391">
        <v>1</v>
      </c>
      <c r="AG13" s="392"/>
      <c r="AH13" s="392"/>
      <c r="AI13" s="392"/>
      <c r="AJ13" s="392"/>
      <c r="AK13" s="380"/>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6"/>
      <c r="BH13" s="296">
        <v>2779</v>
      </c>
      <c r="BI13" s="408">
        <v>8.4654474564175283E-2</v>
      </c>
      <c r="BJ13" s="408">
        <f t="shared" si="0"/>
        <v>8.4654474564175283E-2</v>
      </c>
      <c r="BK13" s="409">
        <f t="shared" si="1"/>
        <v>0.83848381156712193</v>
      </c>
      <c r="BL13" s="409">
        <f t="shared" si="2"/>
        <v>0.22421524663677131</v>
      </c>
      <c r="BM13" s="143"/>
      <c r="BN13" s="143"/>
      <c r="BO13" s="143"/>
      <c r="BP13" s="143"/>
      <c r="BQ13" s="143"/>
      <c r="BR13" s="143"/>
      <c r="BS13" s="143"/>
      <c r="BT13" s="143"/>
    </row>
    <row r="14" spans="1:72">
      <c r="A14" s="141">
        <v>2779</v>
      </c>
      <c r="B14" s="203">
        <f>IF(NOT(ISBLANK('User Interface (Start Here!)'!$L$14)),IF(ISNUMBER(VLOOKUP($A14,$R$2:$U$24,4,FALSE)),VLOOKUP($A14,$R$2:$U$24,4,FALSE),0),IF(NOT(ISBLANK('User Interface (Start Here!)'!$M$14)),IF(ISNUMBER(VLOOKUP('Bathymetric Closures'!$A14,'Bathymetric Closures'!$AM$145:$AN$226,2,FALSE)),VLOOKUP('Bathymetric Closures'!$A14,'Bathymetric Closures'!$AM$145:$AN$226,2,FALSE)/100,0),IF(NOT(ISBLANK('User Interface (Start Here!)'!$N$14)),IF(ISNUMBER(VLOOKUP('Bathymetric Closures'!$A14,'Bathymetric Closures'!$AM$260:$AN$341,2,FALSE)),VLOOKUP('Bathymetric Closures'!$A14,'Bathymetric Closures'!$AM$260:$AN$341,2,FALSE)/100,0))))</f>
        <v>1.61004786581E-2</v>
      </c>
      <c r="C14" s="204">
        <f>IF(NOT(ISBLANK('User Interface (Start Here!)'!$M$14)),VLOOKUP('Bathymetric Closures'!$A14,'Bathymetric Closures'!$AM$146:$AQ$201,5,FALSE),IF(NOT(ISBLANK('User Interface (Start Here!)'!$N$14)),VLOOKUP('Bathymetric Closures'!$A14,'Bathymetric Closures'!$AM$260:$AQ$330,5,FALSE),IF(OR('User Interface (Start Here!)'!$L$32="m",'User Interface (Start Here!)'!$L$32="M"),VLOOKUP('Bathymetric Closures'!$A14,'Bathymetric Closures'!$BH:$BL,4,FALSE),IF(OR('User Interface (Start Here!)'!$L$32="L",'User Interface (Start Here!)'!$L$32="l"),VLOOKUP('Bathymetric Closures'!$A14,'Bathymetric Closures'!$BH$1:$BL$56,5,FALSE),VLOOKUP('Bathymetric Closures'!$A14,'Bathymetric Closures'!$BH$1:$BL$56,3,FALSE)))))</f>
        <v>0.74215246636771293</v>
      </c>
      <c r="D14" s="204">
        <f t="shared" si="3"/>
        <v>0.25784753363228707</v>
      </c>
      <c r="E14" s="143"/>
      <c r="F14" s="143"/>
      <c r="G14" s="143"/>
      <c r="H14" s="143"/>
      <c r="I14" s="143"/>
      <c r="J14" s="143"/>
      <c r="K14" s="143"/>
      <c r="L14" s="143"/>
      <c r="M14" s="143"/>
      <c r="N14" s="143"/>
      <c r="O14" s="143"/>
      <c r="P14" s="143"/>
      <c r="Q14" s="143"/>
      <c r="R14" s="387">
        <v>3279</v>
      </c>
      <c r="S14" s="205">
        <v>7712942135.4799995</v>
      </c>
      <c r="T14" s="205">
        <v>3939377449.2220001</v>
      </c>
      <c r="U14" s="393">
        <v>0.51074899565246656</v>
      </c>
      <c r="V14" s="394"/>
      <c r="W14" s="399"/>
      <c r="X14" s="143"/>
      <c r="Y14" s="143"/>
      <c r="Z14" s="143"/>
      <c r="AA14" s="400"/>
      <c r="AB14" s="400"/>
      <c r="AC14" s="400"/>
      <c r="AD14" s="390" t="s">
        <v>201</v>
      </c>
      <c r="AE14" s="391">
        <v>0.39808551834599998</v>
      </c>
      <c r="AF14" s="391">
        <v>1</v>
      </c>
      <c r="AG14" s="392"/>
      <c r="AH14" s="392"/>
      <c r="AI14" s="392"/>
      <c r="AJ14" s="392"/>
      <c r="AK14" s="380"/>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6"/>
      <c r="BH14" s="296">
        <v>2780</v>
      </c>
      <c r="BI14" s="408">
        <v>0.41809202860723732</v>
      </c>
      <c r="BJ14" s="408">
        <f t="shared" si="0"/>
        <v>0.41809202860723732</v>
      </c>
      <c r="BK14" s="409">
        <f t="shared" si="1"/>
        <v>0.90380422840415775</v>
      </c>
      <c r="BL14" s="409">
        <f t="shared" si="2"/>
        <v>0.4865079365079365</v>
      </c>
      <c r="BM14" s="143"/>
      <c r="BN14" s="143"/>
      <c r="BO14" s="143"/>
      <c r="BP14" s="143"/>
      <c r="BQ14" s="143"/>
      <c r="BR14" s="143"/>
      <c r="BS14" s="143"/>
      <c r="BT14" s="143"/>
    </row>
    <row r="15" spans="1:72">
      <c r="A15" s="141">
        <v>2780</v>
      </c>
      <c r="B15" s="203">
        <f>IF(NOT(ISBLANK('User Interface (Start Here!)'!$L$14)),IF(ISNUMBER(VLOOKUP($A15,$R$2:$U$24,4,FALSE)),VLOOKUP($A15,$R$2:$U$24,4,FALSE),0),IF(NOT(ISBLANK('User Interface (Start Here!)'!$M$14)),IF(ISNUMBER(VLOOKUP('Bathymetric Closures'!$A15,'Bathymetric Closures'!$AM$145:$AN$226,2,FALSE)),VLOOKUP('Bathymetric Closures'!$A15,'Bathymetric Closures'!$AM$145:$AN$226,2,FALSE)/100,0),IF(NOT(ISBLANK('User Interface (Start Here!)'!$N$14)),IF(ISNUMBER(VLOOKUP('Bathymetric Closures'!$A15,'Bathymetric Closures'!$AM$260:$AN$341,2,FALSE)),VLOOKUP('Bathymetric Closures'!$A15,'Bathymetric Closures'!$AM$260:$AN$341,2,FALSE)/100,0))))</f>
        <v>0.50351767575999995</v>
      </c>
      <c r="C15" s="204">
        <f>IF(NOT(ISBLANK('User Interface (Start Here!)'!$M$14)),VLOOKUP('Bathymetric Closures'!$A15,'Bathymetric Closures'!$AM$146:$AQ$201,5,FALSE),IF(NOT(ISBLANK('User Interface (Start Here!)'!$N$14)),VLOOKUP('Bathymetric Closures'!$A15,'Bathymetric Closures'!$AM$260:$AQ$330,5,FALSE),IF(OR('User Interface (Start Here!)'!$L$32="m",'User Interface (Start Here!)'!$L$32="M"),VLOOKUP('Bathymetric Closures'!$A15,'Bathymetric Closures'!$BH:$BL,4,FALSE),IF(OR('User Interface (Start Here!)'!$L$32="L",'User Interface (Start Here!)'!$L$32="l"),VLOOKUP('Bathymetric Closures'!$A15,'Bathymetric Closures'!$BH$1:$BL$56,5,FALSE),VLOOKUP('Bathymetric Closures'!$A15,'Bathymetric Closures'!$BH$1:$BL$56,3,FALSE)))))</f>
        <v>0.89788359788359784</v>
      </c>
      <c r="D15" s="204">
        <f t="shared" si="3"/>
        <v>0.10211640211640216</v>
      </c>
      <c r="E15" s="143"/>
      <c r="F15" s="143"/>
      <c r="G15" s="143"/>
      <c r="H15" s="143"/>
      <c r="I15" s="143"/>
      <c r="J15" s="143"/>
      <c r="K15" s="143"/>
      <c r="L15" s="143"/>
      <c r="M15" s="143"/>
      <c r="N15" s="143"/>
      <c r="O15" s="143"/>
      <c r="P15" s="143"/>
      <c r="Q15" s="143"/>
      <c r="R15" s="387">
        <v>3376</v>
      </c>
      <c r="S15" s="205">
        <v>7748716596.75</v>
      </c>
      <c r="T15" s="205">
        <v>2129375039.5581999</v>
      </c>
      <c r="U15" s="393">
        <v>0.27480357720803877</v>
      </c>
      <c r="V15" s="394"/>
      <c r="W15" s="401"/>
      <c r="X15" s="402"/>
      <c r="Y15" s="402"/>
      <c r="Z15" s="143"/>
      <c r="AA15" s="380"/>
      <c r="AB15" s="380"/>
      <c r="AC15" s="380"/>
      <c r="AD15" s="390" t="s">
        <v>202</v>
      </c>
      <c r="AE15" s="391">
        <v>0.14769497874199999</v>
      </c>
      <c r="AF15" s="391">
        <v>1</v>
      </c>
      <c r="AG15" s="392"/>
      <c r="AH15" s="392"/>
      <c r="AI15" s="392"/>
      <c r="AJ15" s="392"/>
      <c r="AK15" s="380"/>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6"/>
      <c r="BH15" s="296">
        <v>2878</v>
      </c>
      <c r="BI15" s="408">
        <v>0</v>
      </c>
      <c r="BJ15" s="408">
        <f t="shared" si="0"/>
        <v>0</v>
      </c>
      <c r="BK15" s="409">
        <f t="shared" si="1"/>
        <v>0</v>
      </c>
      <c r="BL15" s="409">
        <f t="shared" si="2"/>
        <v>0</v>
      </c>
      <c r="BM15" s="143"/>
      <c r="BN15" s="143"/>
      <c r="BO15" s="143"/>
      <c r="BP15" s="143"/>
      <c r="BQ15" s="143"/>
      <c r="BR15" s="143"/>
      <c r="BS15" s="143"/>
      <c r="BT15" s="143"/>
    </row>
    <row r="16" spans="1:72">
      <c r="A16" s="141">
        <v>2878</v>
      </c>
      <c r="B16" s="203">
        <f>IF(NOT(ISBLANK('User Interface (Start Here!)'!$L$14)),IF(ISNUMBER(VLOOKUP($A16,$R$2:$U$24,4,FALSE)),VLOOKUP($A16,$R$2:$U$24,4,FALSE),0),IF(NOT(ISBLANK('User Interface (Start Here!)'!$M$14)),IF(ISNUMBER(VLOOKUP('Bathymetric Closures'!$A16,'Bathymetric Closures'!$AM$145:$AN$226,2,FALSE)),VLOOKUP('Bathymetric Closures'!$A16,'Bathymetric Closures'!$AM$145:$AN$226,2,FALSE)/100,0),IF(NOT(ISBLANK('User Interface (Start Here!)'!$N$14)),IF(ISNUMBER(VLOOKUP('Bathymetric Closures'!$A16,'Bathymetric Closures'!$AM$260:$AN$341,2,FALSE)),VLOOKUP('Bathymetric Closures'!$A16,'Bathymetric Closures'!$AM$260:$AN$341,2,FALSE)/100,0))))</f>
        <v>0</v>
      </c>
      <c r="C16" s="204">
        <f>IF(NOT(ISBLANK('User Interface (Start Here!)'!$M$14)),VLOOKUP('Bathymetric Closures'!$A16,'Bathymetric Closures'!$AM$146:$AQ$201,5,FALSE),IF(NOT(ISBLANK('User Interface (Start Here!)'!$N$14)),VLOOKUP('Bathymetric Closures'!$A16,'Bathymetric Closures'!$AM$260:$AQ$330,5,FALSE),IF(OR('User Interface (Start Here!)'!$L$32="m",'User Interface (Start Here!)'!$L$32="M"),VLOOKUP('Bathymetric Closures'!$A16,'Bathymetric Closures'!$BH:$BL,4,FALSE),IF(OR('User Interface (Start Here!)'!$L$32="L",'User Interface (Start Here!)'!$L$32="l"),VLOOKUP('Bathymetric Closures'!$A16,'Bathymetric Closures'!$BH$1:$BL$56,5,FALSE),VLOOKUP('Bathymetric Closures'!$A16,'Bathymetric Closures'!$BH$1:$BL$56,3,FALSE)))))</f>
        <v>0</v>
      </c>
      <c r="D16" s="204">
        <f t="shared" si="3"/>
        <v>1</v>
      </c>
      <c r="E16" s="143"/>
      <c r="F16" s="143"/>
      <c r="G16" s="143"/>
      <c r="H16" s="143"/>
      <c r="I16" s="143"/>
      <c r="J16" s="143"/>
      <c r="K16" s="143"/>
      <c r="L16" s="143"/>
      <c r="M16" s="143"/>
      <c r="N16" s="143"/>
      <c r="O16" s="143"/>
      <c r="P16" s="143"/>
      <c r="Q16" s="143"/>
      <c r="R16" s="387">
        <v>3377</v>
      </c>
      <c r="S16" s="205">
        <v>10214902633.860001</v>
      </c>
      <c r="T16" s="205">
        <v>5869328297.1959991</v>
      </c>
      <c r="U16" s="393">
        <v>0.57458484995643089</v>
      </c>
      <c r="V16" s="394"/>
      <c r="W16" s="399"/>
      <c r="X16" s="143"/>
      <c r="Y16" s="143"/>
      <c r="Z16" s="143"/>
      <c r="AA16" s="403"/>
      <c r="AB16" s="403"/>
      <c r="AC16" s="403"/>
      <c r="AD16" s="390" t="s">
        <v>203</v>
      </c>
      <c r="AE16" s="391">
        <v>0.304457269935</v>
      </c>
      <c r="AF16" s="391">
        <v>1</v>
      </c>
      <c r="AG16" s="404"/>
      <c r="AH16" s="404"/>
      <c r="AI16" s="404"/>
      <c r="AJ16" s="392"/>
      <c r="AK16" s="380"/>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6"/>
      <c r="BH16" s="296">
        <v>2879</v>
      </c>
      <c r="BI16" s="408">
        <v>0</v>
      </c>
      <c r="BJ16" s="408">
        <f t="shared" si="0"/>
        <v>0</v>
      </c>
      <c r="BK16" s="409">
        <f t="shared" si="1"/>
        <v>0</v>
      </c>
      <c r="BL16" s="409">
        <f t="shared" si="2"/>
        <v>0</v>
      </c>
      <c r="BM16" s="143"/>
      <c r="BN16" s="143"/>
      <c r="BO16" s="143"/>
      <c r="BP16" s="143"/>
      <c r="BQ16" s="143"/>
      <c r="BR16" s="143"/>
      <c r="BS16" s="143"/>
      <c r="BT16" s="143"/>
    </row>
    <row r="17" spans="1:72">
      <c r="A17" s="141">
        <v>2879</v>
      </c>
      <c r="B17" s="203">
        <f>IF(NOT(ISBLANK('User Interface (Start Here!)'!$L$14)),IF(ISNUMBER(VLOOKUP($A17,$R$2:$U$24,4,FALSE)),VLOOKUP($A17,$R$2:$U$24,4,FALSE),0),IF(NOT(ISBLANK('User Interface (Start Here!)'!$M$14)),IF(ISNUMBER(VLOOKUP('Bathymetric Closures'!$A17,'Bathymetric Closures'!$AM$145:$AN$226,2,FALSE)),VLOOKUP('Bathymetric Closures'!$A17,'Bathymetric Closures'!$AM$145:$AN$226,2,FALSE)/100,0),IF(NOT(ISBLANK('User Interface (Start Here!)'!$N$14)),IF(ISNUMBER(VLOOKUP('Bathymetric Closures'!$A17,'Bathymetric Closures'!$AM$260:$AN$341,2,FALSE)),VLOOKUP('Bathymetric Closures'!$A17,'Bathymetric Closures'!$AM$260:$AN$341,2,FALSE)/100,0))))</f>
        <v>2.0377366974999998E-4</v>
      </c>
      <c r="C17" s="204">
        <f>IF(NOT(ISBLANK('User Interface (Start Here!)'!$M$14)),VLOOKUP('Bathymetric Closures'!$A17,'Bathymetric Closures'!$AM$146:$AQ$201,5,FALSE),IF(NOT(ISBLANK('User Interface (Start Here!)'!$N$14)),VLOOKUP('Bathymetric Closures'!$A17,'Bathymetric Closures'!$AM$260:$AQ$330,5,FALSE),IF(OR('User Interface (Start Here!)'!$L$32="m",'User Interface (Start Here!)'!$L$32="M"),VLOOKUP('Bathymetric Closures'!$A17,'Bathymetric Closures'!$BH:$BL,4,FALSE),IF(OR('User Interface (Start Here!)'!$L$32="L",'User Interface (Start Here!)'!$L$32="l"),VLOOKUP('Bathymetric Closures'!$A17,'Bathymetric Closures'!$BH$1:$BL$56,5,FALSE),VLOOKUP('Bathymetric Closures'!$A17,'Bathymetric Closures'!$BH$1:$BL$56,3,FALSE)))))</f>
        <v>0.47633022840372591</v>
      </c>
      <c r="D17" s="204">
        <f t="shared" si="3"/>
        <v>0.52366977159627415</v>
      </c>
      <c r="E17" s="143"/>
      <c r="F17" s="143"/>
      <c r="G17" s="143"/>
      <c r="H17" s="143"/>
      <c r="I17" s="143"/>
      <c r="J17" s="143"/>
      <c r="K17" s="143"/>
      <c r="L17" s="143"/>
      <c r="M17" s="143"/>
      <c r="N17" s="143"/>
      <c r="O17" s="143"/>
      <c r="P17" s="143"/>
      <c r="Q17" s="143"/>
      <c r="R17" s="387">
        <v>3378</v>
      </c>
      <c r="S17" s="205">
        <v>5013220904.5900002</v>
      </c>
      <c r="T17" s="205">
        <v>1557813064.0310001</v>
      </c>
      <c r="U17" s="393">
        <v>0.31074095749594816</v>
      </c>
      <c r="V17" s="394"/>
      <c r="W17" s="399"/>
      <c r="X17" s="143"/>
      <c r="Y17" s="143"/>
      <c r="Z17" s="143"/>
      <c r="AA17" s="400"/>
      <c r="AB17" s="400"/>
      <c r="AC17" s="400"/>
      <c r="AD17" s="390" t="s">
        <v>204</v>
      </c>
      <c r="AE17" s="391">
        <v>0.42556976225699999</v>
      </c>
      <c r="AF17" s="391">
        <v>0.61538461538461542</v>
      </c>
      <c r="AG17" s="405"/>
      <c r="AH17" s="405"/>
      <c r="AI17" s="405"/>
      <c r="AJ17" s="392"/>
      <c r="AK17" s="380"/>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6"/>
      <c r="BH17" s="296">
        <v>2880</v>
      </c>
      <c r="BI17" s="408">
        <v>0.49014273437163336</v>
      </c>
      <c r="BJ17" s="408">
        <f t="shared" si="0"/>
        <v>0.49014273437163336</v>
      </c>
      <c r="BK17" s="409">
        <f t="shared" si="1"/>
        <v>0.91791896166340292</v>
      </c>
      <c r="BL17" s="409">
        <f t="shared" si="2"/>
        <v>0.56458951533135504</v>
      </c>
      <c r="BM17" s="143"/>
      <c r="BN17" s="143"/>
      <c r="BO17" s="143"/>
      <c r="BP17" s="143"/>
      <c r="BQ17" s="143"/>
      <c r="BR17" s="143"/>
      <c r="BS17" s="143"/>
      <c r="BT17" s="143"/>
    </row>
    <row r="18" spans="1:72">
      <c r="A18" s="141">
        <v>2880</v>
      </c>
      <c r="B18" s="203">
        <f>IF(NOT(ISBLANK('User Interface (Start Here!)'!$L$14)),IF(ISNUMBER(VLOOKUP($A18,$R$2:$U$24,4,FALSE)),VLOOKUP($A18,$R$2:$U$24,4,FALSE),0),IF(NOT(ISBLANK('User Interface (Start Here!)'!$M$14)),IF(ISNUMBER(VLOOKUP('Bathymetric Closures'!$A18,'Bathymetric Closures'!$AM$145:$AN$226,2,FALSE)),VLOOKUP('Bathymetric Closures'!$A18,'Bathymetric Closures'!$AM$145:$AN$226,2,FALSE)/100,0),IF(NOT(ISBLANK('User Interface (Start Here!)'!$N$14)),IF(ISNUMBER(VLOOKUP('Bathymetric Closures'!$A18,'Bathymetric Closures'!$AM$260:$AN$341,2,FALSE)),VLOOKUP('Bathymetric Closures'!$A18,'Bathymetric Closures'!$AM$260:$AN$341,2,FALSE)/100,0))))</f>
        <v>0.64031377415299995</v>
      </c>
      <c r="C18" s="204">
        <f>IF(NOT(ISBLANK('User Interface (Start Here!)'!$M$14)),VLOOKUP('Bathymetric Closures'!$A18,'Bathymetric Closures'!$AM$146:$AQ$201,5,FALSE),IF(NOT(ISBLANK('User Interface (Start Here!)'!$N$14)),VLOOKUP('Bathymetric Closures'!$A18,'Bathymetric Closures'!$AM$260:$AQ$330,5,FALSE),IF(OR('User Interface (Start Here!)'!$L$32="m",'User Interface (Start Here!)'!$L$32="M"),VLOOKUP('Bathymetric Closures'!$A18,'Bathymetric Closures'!$BH:$BL,4,FALSE),IF(OR('User Interface (Start Here!)'!$L$32="L",'User Interface (Start Here!)'!$L$32="l"),VLOOKUP('Bathymetric Closures'!$A18,'Bathymetric Closures'!$BH$1:$BL$56,5,FALSE),VLOOKUP('Bathymetric Closures'!$A18,'Bathymetric Closures'!$BH$1:$BL$56,3,FALSE)))))</f>
        <v>0.89521925486317178</v>
      </c>
      <c r="D18" s="204">
        <f t="shared" si="3"/>
        <v>0.10478074513682822</v>
      </c>
      <c r="E18" s="143"/>
      <c r="F18" s="143"/>
      <c r="G18" s="143"/>
      <c r="H18" s="143"/>
      <c r="I18" s="143"/>
      <c r="J18" s="143"/>
      <c r="K18" s="143"/>
      <c r="L18" s="143"/>
      <c r="M18" s="143"/>
      <c r="N18" s="143"/>
      <c r="O18" s="143"/>
      <c r="P18" s="143"/>
      <c r="Q18" s="143"/>
      <c r="R18" s="387">
        <v>3475</v>
      </c>
      <c r="S18" s="205">
        <v>7639459987.2200003</v>
      </c>
      <c r="T18" s="205">
        <v>2511993289.585</v>
      </c>
      <c r="U18" s="393">
        <v>0.32881817481697612</v>
      </c>
      <c r="V18" s="394"/>
      <c r="W18" s="399"/>
      <c r="X18" s="143"/>
      <c r="Y18" s="143"/>
      <c r="Z18" s="143"/>
      <c r="AA18" s="400"/>
      <c r="AB18" s="400"/>
      <c r="AC18" s="400"/>
      <c r="AD18" s="390" t="s">
        <v>205</v>
      </c>
      <c r="AE18" s="391">
        <v>0.798484877102</v>
      </c>
      <c r="AF18" s="391">
        <v>0.9859154929577465</v>
      </c>
      <c r="AG18" s="405"/>
      <c r="AH18" s="405"/>
      <c r="AI18" s="405"/>
      <c r="AJ18" s="392"/>
      <c r="AK18" s="380"/>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6"/>
      <c r="BH18" s="296">
        <v>2979</v>
      </c>
      <c r="BI18" s="408">
        <v>0</v>
      </c>
      <c r="BJ18" s="408">
        <f t="shared" si="0"/>
        <v>0</v>
      </c>
      <c r="BK18" s="409">
        <f t="shared" si="1"/>
        <v>0</v>
      </c>
      <c r="BL18" s="409">
        <f t="shared" si="2"/>
        <v>0</v>
      </c>
      <c r="BM18" s="143"/>
      <c r="BN18" s="143"/>
      <c r="BO18" s="143"/>
      <c r="BP18" s="143"/>
      <c r="BQ18" s="143"/>
      <c r="BR18" s="143"/>
      <c r="BS18" s="143"/>
      <c r="BT18" s="143"/>
    </row>
    <row r="19" spans="1:72">
      <c r="A19" s="141">
        <v>2979</v>
      </c>
      <c r="B19" s="203">
        <f>IF(NOT(ISBLANK('User Interface (Start Here!)'!$L$14)),IF(ISNUMBER(VLOOKUP($A19,$R$2:$U$24,4,FALSE)),VLOOKUP($A19,$R$2:$U$24,4,FALSE),0),IF(NOT(ISBLANK('User Interface (Start Here!)'!$M$14)),IF(ISNUMBER(VLOOKUP('Bathymetric Closures'!$A19,'Bathymetric Closures'!$AM$145:$AN$226,2,FALSE)),VLOOKUP('Bathymetric Closures'!$A19,'Bathymetric Closures'!$AM$145:$AN$226,2,FALSE)/100,0),IF(NOT(ISBLANK('User Interface (Start Here!)'!$N$14)),IF(ISNUMBER(VLOOKUP('Bathymetric Closures'!$A19,'Bathymetric Closures'!$AM$260:$AN$341,2,FALSE)),VLOOKUP('Bathymetric Closures'!$A19,'Bathymetric Closures'!$AM$260:$AN$341,2,FALSE)/100,0))))</f>
        <v>0</v>
      </c>
      <c r="C19" s="204">
        <f>IF(NOT(ISBLANK('User Interface (Start Here!)'!$M$14)),VLOOKUP('Bathymetric Closures'!$A19,'Bathymetric Closures'!$AM$146:$AQ$201,5,FALSE),IF(NOT(ISBLANK('User Interface (Start Here!)'!$N$14)),VLOOKUP('Bathymetric Closures'!$A19,'Bathymetric Closures'!$AM$260:$AQ$330,5,FALSE),IF(OR('User Interface (Start Here!)'!$L$32="m",'User Interface (Start Here!)'!$L$32="M"),VLOOKUP('Bathymetric Closures'!$A19,'Bathymetric Closures'!$BH:$BL,4,FALSE),IF(OR('User Interface (Start Here!)'!$L$32="L",'User Interface (Start Here!)'!$L$32="l"),VLOOKUP('Bathymetric Closures'!$A19,'Bathymetric Closures'!$BH$1:$BL$56,5,FALSE),VLOOKUP('Bathymetric Closures'!$A19,'Bathymetric Closures'!$BH$1:$BL$56,3,FALSE)))))</f>
        <v>0</v>
      </c>
      <c r="D19" s="204">
        <f t="shared" si="3"/>
        <v>1</v>
      </c>
      <c r="E19" s="143"/>
      <c r="F19" s="143"/>
      <c r="G19" s="143"/>
      <c r="H19" s="143"/>
      <c r="I19" s="143"/>
      <c r="J19" s="143"/>
      <c r="K19" s="143"/>
      <c r="L19" s="143"/>
      <c r="M19" s="143"/>
      <c r="N19" s="143"/>
      <c r="O19" s="143"/>
      <c r="P19" s="143"/>
      <c r="Q19" s="143"/>
      <c r="R19" s="387">
        <v>3476</v>
      </c>
      <c r="S19" s="205">
        <v>7247733638.6399994</v>
      </c>
      <c r="T19" s="205">
        <v>4232404344.8579998</v>
      </c>
      <c r="U19" s="393">
        <v>0.58396245721472029</v>
      </c>
      <c r="V19" s="394"/>
      <c r="W19" s="401"/>
      <c r="X19" s="402"/>
      <c r="Y19" s="402"/>
      <c r="Z19" s="143"/>
      <c r="AA19" s="380"/>
      <c r="AB19" s="380"/>
      <c r="AC19" s="380"/>
      <c r="AD19" s="390" t="s">
        <v>209</v>
      </c>
      <c r="AE19" s="391">
        <v>0.54235730020100004</v>
      </c>
      <c r="AF19" s="391">
        <v>0</v>
      </c>
      <c r="AG19" s="392"/>
      <c r="AH19" s="392"/>
      <c r="AI19" s="392"/>
      <c r="AJ19" s="392"/>
      <c r="AK19" s="380"/>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6"/>
      <c r="BH19" s="296">
        <v>2980</v>
      </c>
      <c r="BI19" s="408">
        <v>0.43625185414871492</v>
      </c>
      <c r="BJ19" s="408">
        <f t="shared" si="0"/>
        <v>0.43625185414871492</v>
      </c>
      <c r="BK19" s="409">
        <f t="shared" si="1"/>
        <v>0.90736173822773325</v>
      </c>
      <c r="BL19" s="409">
        <f t="shared" si="2"/>
        <v>0.82424941571283039</v>
      </c>
      <c r="BM19" s="143"/>
      <c r="BN19" s="143"/>
      <c r="BO19" s="143"/>
      <c r="BP19" s="143"/>
      <c r="BQ19" s="143"/>
      <c r="BR19" s="143"/>
      <c r="BS19" s="143"/>
      <c r="BT19" s="143"/>
    </row>
    <row r="20" spans="1:72">
      <c r="A20" s="141">
        <v>2980</v>
      </c>
      <c r="B20" s="203">
        <f>IF(NOT(ISBLANK('User Interface (Start Here!)'!$L$14)),IF(ISNUMBER(VLOOKUP($A20,$R$2:$U$24,4,FALSE)),VLOOKUP($A20,$R$2:$U$24,4,FALSE),0),IF(NOT(ISBLANK('User Interface (Start Here!)'!$M$14)),IF(ISNUMBER(VLOOKUP('Bathymetric Closures'!$A20,'Bathymetric Closures'!$AM$145:$AN$226,2,FALSE)),VLOOKUP('Bathymetric Closures'!$A20,'Bathymetric Closures'!$AM$145:$AN$226,2,FALSE)/100,0),IF(NOT(ISBLANK('User Interface (Start Here!)'!$N$14)),IF(ISNUMBER(VLOOKUP('Bathymetric Closures'!$A20,'Bathymetric Closures'!$AM$260:$AN$341,2,FALSE)),VLOOKUP('Bathymetric Closures'!$A20,'Bathymetric Closures'!$AM$260:$AN$341,2,FALSE)/100,0))))</f>
        <v>0.70596779166299994</v>
      </c>
      <c r="C20" s="204">
        <f>IF(NOT(ISBLANK('User Interface (Start Here!)'!$M$14)),VLOOKUP('Bathymetric Closures'!$A20,'Bathymetric Closures'!$AM$146:$AQ$201,5,FALSE),IF(NOT(ISBLANK('User Interface (Start Here!)'!$N$14)),VLOOKUP('Bathymetric Closures'!$A20,'Bathymetric Closures'!$AM$260:$AQ$330,5,FALSE),IF(OR('User Interface (Start Here!)'!$L$32="m",'User Interface (Start Here!)'!$L$32="M"),VLOOKUP('Bathymetric Closures'!$A20,'Bathymetric Closures'!$BH:$BL,4,FALSE),IF(OR('User Interface (Start Here!)'!$L$32="L",'User Interface (Start Here!)'!$L$32="l"),VLOOKUP('Bathymetric Closures'!$A20,'Bathymetric Closures'!$BH$1:$BL$56,5,FALSE),VLOOKUP('Bathymetric Closures'!$A20,'Bathymetric Closures'!$BH$1:$BL$56,3,FALSE)))))</f>
        <v>0.93680614859094791</v>
      </c>
      <c r="D20" s="204">
        <f t="shared" si="3"/>
        <v>6.3193851409052093E-2</v>
      </c>
      <c r="E20" s="143"/>
      <c r="F20" s="143"/>
      <c r="G20" s="143"/>
      <c r="H20" s="143"/>
      <c r="I20" s="143"/>
      <c r="J20" s="143"/>
      <c r="K20" s="143"/>
      <c r="L20" s="143"/>
      <c r="M20" s="143"/>
      <c r="N20" s="143"/>
      <c r="O20" s="143"/>
      <c r="P20" s="143"/>
      <c r="Q20" s="143"/>
      <c r="R20" s="387">
        <v>3477</v>
      </c>
      <c r="S20" s="205">
        <v>2439601858.2600002</v>
      </c>
      <c r="T20" s="205">
        <v>404674181.63599998</v>
      </c>
      <c r="U20" s="393">
        <v>0.16587714108589266</v>
      </c>
      <c r="V20" s="394"/>
      <c r="W20" s="401"/>
      <c r="X20" s="402"/>
      <c r="Y20" s="402"/>
      <c r="Z20" s="143"/>
      <c r="AA20" s="380"/>
      <c r="AB20" s="380"/>
      <c r="AC20" s="380"/>
      <c r="AD20" s="390" t="s">
        <v>207</v>
      </c>
      <c r="AE20" s="391">
        <v>0.96021708695899999</v>
      </c>
      <c r="AF20" s="391">
        <v>1</v>
      </c>
      <c r="AG20" s="392"/>
      <c r="AH20" s="392"/>
      <c r="AI20" s="392"/>
      <c r="AJ20" s="392"/>
      <c r="AK20" s="380"/>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6"/>
      <c r="BH20" s="296">
        <v>2981</v>
      </c>
      <c r="BI20" s="408">
        <v>0</v>
      </c>
      <c r="BJ20" s="408">
        <f t="shared" si="0"/>
        <v>0</v>
      </c>
      <c r="BK20" s="409">
        <f t="shared" si="1"/>
        <v>0</v>
      </c>
      <c r="BL20" s="409">
        <f t="shared" si="2"/>
        <v>0</v>
      </c>
      <c r="BM20" s="143"/>
      <c r="BN20" s="143"/>
      <c r="BO20" s="143"/>
      <c r="BP20" s="143"/>
      <c r="BQ20" s="143"/>
      <c r="BR20" s="143"/>
      <c r="BS20" s="143"/>
      <c r="BT20" s="143"/>
    </row>
    <row r="21" spans="1:72">
      <c r="A21" s="141">
        <v>2981</v>
      </c>
      <c r="B21" s="203">
        <f>IF(NOT(ISBLANK('User Interface (Start Here!)'!$L$14)),IF(ISNUMBER(VLOOKUP($A21,$R$2:$U$24,4,FALSE)),VLOOKUP($A21,$R$2:$U$24,4,FALSE),0),IF(NOT(ISBLANK('User Interface (Start Here!)'!$M$14)),IF(ISNUMBER(VLOOKUP('Bathymetric Closures'!$A21,'Bathymetric Closures'!$AM$145:$AN$226,2,FALSE)),VLOOKUP('Bathymetric Closures'!$A21,'Bathymetric Closures'!$AM$145:$AN$226,2,FALSE)/100,0),IF(NOT(ISBLANK('User Interface (Start Here!)'!$N$14)),IF(ISNUMBER(VLOOKUP('Bathymetric Closures'!$A21,'Bathymetric Closures'!$AM$260:$AN$341,2,FALSE)),VLOOKUP('Bathymetric Closures'!$A21,'Bathymetric Closures'!$AM$260:$AN$341,2,FALSE)/100,0))))</f>
        <v>0.10419374201500001</v>
      </c>
      <c r="C21" s="204">
        <f>IF(NOT(ISBLANK('User Interface (Start Here!)'!$M$14)),VLOOKUP('Bathymetric Closures'!$A21,'Bathymetric Closures'!$AM$146:$AQ$201,5,FALSE),IF(NOT(ISBLANK('User Interface (Start Here!)'!$N$14)),VLOOKUP('Bathymetric Closures'!$A21,'Bathymetric Closures'!$AM$260:$AQ$330,5,FALSE),IF(OR('User Interface (Start Here!)'!$L$32="m",'User Interface (Start Here!)'!$L$32="M"),VLOOKUP('Bathymetric Closures'!$A21,'Bathymetric Closures'!$BH:$BL,4,FALSE),IF(OR('User Interface (Start Here!)'!$L$32="L",'User Interface (Start Here!)'!$L$32="l"),VLOOKUP('Bathymetric Closures'!$A21,'Bathymetric Closures'!$BH$1:$BL$56,5,FALSE),VLOOKUP('Bathymetric Closures'!$A21,'Bathymetric Closures'!$BH$1:$BL$56,3,FALSE)))))</f>
        <v>0.98096885813148793</v>
      </c>
      <c r="D21" s="204">
        <f t="shared" si="3"/>
        <v>1.9031141868512069E-2</v>
      </c>
      <c r="E21" s="143"/>
      <c r="F21" s="143"/>
      <c r="G21" s="143"/>
      <c r="H21" s="143"/>
      <c r="I21" s="143"/>
      <c r="J21" s="143"/>
      <c r="K21" s="143"/>
      <c r="L21" s="143"/>
      <c r="M21" s="143"/>
      <c r="N21" s="143"/>
      <c r="O21" s="143"/>
      <c r="P21" s="143"/>
      <c r="Q21" s="143"/>
      <c r="R21" s="387">
        <v>3574</v>
      </c>
      <c r="S21" s="205">
        <v>5070668803.4400005</v>
      </c>
      <c r="T21" s="205">
        <v>1127414116.0960002</v>
      </c>
      <c r="U21" s="393">
        <v>0.22234031836809168</v>
      </c>
      <c r="V21" s="394"/>
      <c r="W21" s="401"/>
      <c r="X21" s="402"/>
      <c r="Y21" s="402"/>
      <c r="Z21" s="143"/>
      <c r="AA21" s="380"/>
      <c r="AB21" s="380"/>
      <c r="AC21" s="380"/>
      <c r="AD21" s="390" t="s">
        <v>208</v>
      </c>
      <c r="AE21" s="391">
        <v>0.72104700632200003</v>
      </c>
      <c r="AF21" s="391">
        <v>1</v>
      </c>
      <c r="AG21" s="392"/>
      <c r="AH21" s="392"/>
      <c r="AI21" s="392"/>
      <c r="AJ21" s="392"/>
      <c r="AK21" s="380"/>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6"/>
      <c r="BH21" s="296">
        <v>3079</v>
      </c>
      <c r="BI21" s="408">
        <v>1.9502470122177266E-2</v>
      </c>
      <c r="BJ21" s="408">
        <f t="shared" si="0"/>
        <v>1.9502470122177266E-2</v>
      </c>
      <c r="BK21" s="409">
        <f t="shared" si="1"/>
        <v>0.82572053389693445</v>
      </c>
      <c r="BL21" s="409">
        <f t="shared" si="2"/>
        <v>4.7368199711665887E-3</v>
      </c>
      <c r="BM21" s="143"/>
      <c r="BN21" s="143"/>
      <c r="BO21" s="143"/>
      <c r="BP21" s="143"/>
      <c r="BQ21" s="143"/>
      <c r="BR21" s="143"/>
      <c r="BS21" s="143"/>
      <c r="BT21" s="143"/>
    </row>
    <row r="22" spans="1:72">
      <c r="A22" s="141">
        <v>3079</v>
      </c>
      <c r="B22" s="203">
        <f>IF(NOT(ISBLANK('User Interface (Start Here!)'!$L$14)),IF(ISNUMBER(VLOOKUP($A22,$R$2:$U$24,4,FALSE)),VLOOKUP($A22,$R$2:$U$24,4,FALSE),0),IF(NOT(ISBLANK('User Interface (Start Here!)'!$M$14)),IF(ISNUMBER(VLOOKUP('Bathymetric Closures'!$A22,'Bathymetric Closures'!$AM$145:$AN$226,2,FALSE)),VLOOKUP('Bathymetric Closures'!$A22,'Bathymetric Closures'!$AM$145:$AN$226,2,FALSE)/100,0),IF(NOT(ISBLANK('User Interface (Start Here!)'!$N$14)),IF(ISNUMBER(VLOOKUP('Bathymetric Closures'!$A22,'Bathymetric Closures'!$AM$260:$AN$341,2,FALSE)),VLOOKUP('Bathymetric Closures'!$A22,'Bathymetric Closures'!$AM$260:$AN$341,2,FALSE)/100,0))))</f>
        <v>3.0264428343400001E-3</v>
      </c>
      <c r="C22" s="204">
        <f>IF(NOT(ISBLANK('User Interface (Start Here!)'!$M$14)),VLOOKUP('Bathymetric Closures'!$A22,'Bathymetric Closures'!$AM$146:$AQ$201,5,FALSE),IF(NOT(ISBLANK('User Interface (Start Here!)'!$N$14)),VLOOKUP('Bathymetric Closures'!$A22,'Bathymetric Closures'!$AM$260:$AQ$330,5,FALSE),IF(OR('User Interface (Start Here!)'!$L$32="m",'User Interface (Start Here!)'!$L$32="M"),VLOOKUP('Bathymetric Closures'!$A22,'Bathymetric Closures'!$BH:$BL,4,FALSE),IF(OR('User Interface (Start Here!)'!$L$32="L",'User Interface (Start Here!)'!$L$32="l"),VLOOKUP('Bathymetric Closures'!$A22,'Bathymetric Closures'!$BH$1:$BL$56,5,FALSE),VLOOKUP('Bathymetric Closures'!$A22,'Bathymetric Closures'!$BH$1:$BL$56,3,FALSE)))))</f>
        <v>0.59649261612860305</v>
      </c>
      <c r="D22" s="204">
        <f t="shared" si="3"/>
        <v>0.40350738387139695</v>
      </c>
      <c r="E22" s="143"/>
      <c r="F22" s="143"/>
      <c r="G22" s="143"/>
      <c r="H22" s="143"/>
      <c r="I22" s="143"/>
      <c r="J22" s="143"/>
      <c r="K22" s="143"/>
      <c r="L22" s="143"/>
      <c r="M22" s="143"/>
      <c r="N22" s="143"/>
      <c r="O22" s="143"/>
      <c r="P22" s="143"/>
      <c r="Q22" s="143"/>
      <c r="R22" s="387">
        <v>3575</v>
      </c>
      <c r="S22" s="205">
        <v>5576134487.4820004</v>
      </c>
      <c r="T22" s="205">
        <v>3455747333.6730003</v>
      </c>
      <c r="U22" s="393">
        <v>0.61973887850640819</v>
      </c>
      <c r="V22" s="394"/>
      <c r="W22" s="399"/>
      <c r="X22" s="143"/>
      <c r="Y22" s="143"/>
      <c r="Z22" s="143"/>
      <c r="AA22" s="380"/>
      <c r="AB22" s="380"/>
      <c r="AC22" s="380"/>
      <c r="AD22" s="390" t="s">
        <v>206</v>
      </c>
      <c r="AE22" s="391">
        <v>0.101259768111</v>
      </c>
      <c r="AF22" s="391">
        <v>0</v>
      </c>
      <c r="AG22" s="392"/>
      <c r="AH22" s="392"/>
      <c r="AI22" s="392"/>
      <c r="AJ22" s="392"/>
      <c r="AK22" s="380"/>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6"/>
      <c r="BH22" s="296">
        <v>3080</v>
      </c>
      <c r="BI22" s="408">
        <v>0.72899667342345464</v>
      </c>
      <c r="BJ22" s="408">
        <f t="shared" si="0"/>
        <v>0.72899667342345464</v>
      </c>
      <c r="BK22" s="409">
        <f t="shared" si="1"/>
        <v>0.96471044832365471</v>
      </c>
      <c r="BL22" s="409">
        <f t="shared" si="2"/>
        <v>0.93565614343856562</v>
      </c>
      <c r="BM22" s="143"/>
      <c r="BN22" s="143"/>
      <c r="BO22" s="143"/>
      <c r="BP22" s="143"/>
      <c r="BQ22" s="143"/>
      <c r="BR22" s="143"/>
      <c r="BS22" s="143"/>
      <c r="BT22" s="143"/>
    </row>
    <row r="23" spans="1:72">
      <c r="A23" s="141">
        <v>3080</v>
      </c>
      <c r="B23" s="203">
        <f>IF(NOT(ISBLANK('User Interface (Start Here!)'!$L$14)),IF(ISNUMBER(VLOOKUP($A23,$R$2:$U$24,4,FALSE)),VLOOKUP($A23,$R$2:$U$24,4,FALSE),0),IF(NOT(ISBLANK('User Interface (Start Here!)'!$M$14)),IF(ISNUMBER(VLOOKUP('Bathymetric Closures'!$A23,'Bathymetric Closures'!$AM$145:$AN$226,2,FALSE)),VLOOKUP('Bathymetric Closures'!$A23,'Bathymetric Closures'!$AM$145:$AN$226,2,FALSE)/100,0),IF(NOT(ISBLANK('User Interface (Start Here!)'!$N$14)),IF(ISNUMBER(VLOOKUP('Bathymetric Closures'!$A23,'Bathymetric Closures'!$AM$260:$AN$341,2,FALSE)),VLOOKUP('Bathymetric Closures'!$A23,'Bathymetric Closures'!$AM$260:$AN$341,2,FALSE)/100,0))))</f>
        <v>0.85192038075200005</v>
      </c>
      <c r="C23" s="204">
        <f>IF(NOT(ISBLANK('User Interface (Start Here!)'!$M$14)),VLOOKUP('Bathymetric Closures'!$A23,'Bathymetric Closures'!$AM$146:$AQ$201,5,FALSE),IF(NOT(ISBLANK('User Interface (Start Here!)'!$N$14)),VLOOKUP('Bathymetric Closures'!$A23,'Bathymetric Closures'!$AM$260:$AQ$330,5,FALSE),IF(OR('User Interface (Start Here!)'!$L$32="m",'User Interface (Start Here!)'!$L$32="M"),VLOOKUP('Bathymetric Closures'!$A23,'Bathymetric Closures'!$BH:$BL,4,FALSE),IF(OR('User Interface (Start Here!)'!$L$32="L",'User Interface (Start Here!)'!$L$32="l"),VLOOKUP('Bathymetric Closures'!$A23,'Bathymetric Closures'!$BH$1:$BL$56,5,FALSE),VLOOKUP('Bathymetric Closures'!$A23,'Bathymetric Closures'!$BH$1:$BL$56,3,FALSE)))))</f>
        <v>0.97648773512264886</v>
      </c>
      <c r="D23" s="204">
        <f t="shared" si="3"/>
        <v>2.3512264877351141E-2</v>
      </c>
      <c r="E23" s="143"/>
      <c r="F23" s="143"/>
      <c r="G23" s="143"/>
      <c r="H23" s="143"/>
      <c r="I23" s="143"/>
      <c r="J23" s="143"/>
      <c r="K23" s="143"/>
      <c r="L23" s="143"/>
      <c r="M23" s="143"/>
      <c r="N23" s="143"/>
      <c r="O23" s="143"/>
      <c r="P23" s="143"/>
      <c r="Q23" s="143"/>
      <c r="R23" s="387">
        <v>3674</v>
      </c>
      <c r="S23" s="205">
        <v>5006838422.2799997</v>
      </c>
      <c r="T23" s="205">
        <v>734715176.67549992</v>
      </c>
      <c r="U23" s="393">
        <v>0.14674233812021586</v>
      </c>
      <c r="V23" s="394"/>
      <c r="W23" s="399"/>
      <c r="X23" s="143"/>
      <c r="Y23" s="143"/>
      <c r="Z23" s="143"/>
      <c r="AA23" s="380"/>
      <c r="AB23" s="380"/>
      <c r="AC23" s="380"/>
      <c r="AD23" s="390" t="s">
        <v>210</v>
      </c>
      <c r="AE23" s="391">
        <v>0.62063380691199999</v>
      </c>
      <c r="AF23" s="391">
        <v>1</v>
      </c>
      <c r="AG23" s="392"/>
      <c r="AH23" s="392"/>
      <c r="AI23" s="392"/>
      <c r="AJ23" s="392"/>
      <c r="AK23" s="380"/>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6"/>
      <c r="BH23" s="296">
        <v>3081</v>
      </c>
      <c r="BI23" s="408">
        <v>0</v>
      </c>
      <c r="BJ23" s="408">
        <f t="shared" si="0"/>
        <v>0</v>
      </c>
      <c r="BK23" s="409">
        <f t="shared" si="1"/>
        <v>0</v>
      </c>
      <c r="BL23" s="409">
        <f t="shared" si="2"/>
        <v>0</v>
      </c>
      <c r="BM23" s="143"/>
      <c r="BN23" s="143"/>
      <c r="BO23" s="143"/>
      <c r="BP23" s="143"/>
      <c r="BQ23" s="143"/>
      <c r="BR23" s="143"/>
      <c r="BS23" s="143"/>
      <c r="BT23" s="143"/>
    </row>
    <row r="24" spans="1:72">
      <c r="A24" s="141">
        <v>3081</v>
      </c>
      <c r="B24" s="203">
        <f>IF(NOT(ISBLANK('User Interface (Start Here!)'!$L$14)),IF(ISNUMBER(VLOOKUP($A24,$R$2:$U$24,4,FALSE)),VLOOKUP($A24,$R$2:$U$24,4,FALSE),0),IF(NOT(ISBLANK('User Interface (Start Here!)'!$M$14)),IF(ISNUMBER(VLOOKUP('Bathymetric Closures'!$A24,'Bathymetric Closures'!$AM$145:$AN$226,2,FALSE)),VLOOKUP('Bathymetric Closures'!$A24,'Bathymetric Closures'!$AM$145:$AN$226,2,FALSE)/100,0),IF(NOT(ISBLANK('User Interface (Start Here!)'!$N$14)),IF(ISNUMBER(VLOOKUP('Bathymetric Closures'!$A24,'Bathymetric Closures'!$AM$260:$AN$341,2,FALSE)),VLOOKUP('Bathymetric Closures'!$A24,'Bathymetric Closures'!$AM$260:$AN$341,2,FALSE)/100,0))))</f>
        <v>0.33314876887700001</v>
      </c>
      <c r="C24" s="204">
        <f>IF(NOT(ISBLANK('User Interface (Start Here!)'!$M$14)),VLOOKUP('Bathymetric Closures'!$A24,'Bathymetric Closures'!$AM$146:$AQ$201,5,FALSE),IF(NOT(ISBLANK('User Interface (Start Here!)'!$N$14)),VLOOKUP('Bathymetric Closures'!$A24,'Bathymetric Closures'!$AM$260:$AQ$330,5,FALSE),IF(OR('User Interface (Start Here!)'!$L$32="m",'User Interface (Start Here!)'!$L$32="M"),VLOOKUP('Bathymetric Closures'!$A24,'Bathymetric Closures'!$BH:$BL,4,FALSE),IF(OR('User Interface (Start Here!)'!$L$32="L",'User Interface (Start Here!)'!$L$32="l"),VLOOKUP('Bathymetric Closures'!$A24,'Bathymetric Closures'!$BH$1:$BL$56,5,FALSE),VLOOKUP('Bathymetric Closures'!$A24,'Bathymetric Closures'!$BH$1:$BL$56,3,FALSE)))))</f>
        <v>0.97812272617026441</v>
      </c>
      <c r="D24" s="204">
        <f t="shared" si="3"/>
        <v>2.1877273829735588E-2</v>
      </c>
      <c r="E24" s="143"/>
      <c r="F24" s="143"/>
      <c r="G24" s="143"/>
      <c r="H24" s="143"/>
      <c r="I24" s="143"/>
      <c r="J24" s="143"/>
      <c r="K24" s="143"/>
      <c r="L24" s="143"/>
      <c r="M24" s="143"/>
      <c r="N24" s="143"/>
      <c r="O24" s="143"/>
      <c r="P24" s="143"/>
      <c r="Q24" s="143"/>
      <c r="R24" s="387">
        <v>3675</v>
      </c>
      <c r="S24" s="205">
        <v>5448847602.3600006</v>
      </c>
      <c r="T24" s="205">
        <v>1973920155.3415</v>
      </c>
      <c r="U24" s="393">
        <v>0.3622637848205843</v>
      </c>
      <c r="V24" s="394"/>
      <c r="W24" s="399"/>
      <c r="X24" s="143"/>
      <c r="Y24" s="143"/>
      <c r="Z24" s="143"/>
      <c r="AA24" s="403"/>
      <c r="AB24" s="403"/>
      <c r="AC24" s="403"/>
      <c r="AD24" s="399"/>
      <c r="AE24" s="143"/>
      <c r="AF24" s="143"/>
      <c r="AG24" s="403"/>
      <c r="AH24" s="380"/>
      <c r="AI24" s="380"/>
      <c r="AJ24" s="380"/>
      <c r="AK24" s="380"/>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6"/>
      <c r="BH24" s="296">
        <v>3174</v>
      </c>
      <c r="BI24" s="408">
        <v>0</v>
      </c>
      <c r="BJ24" s="408">
        <f t="shared" si="0"/>
        <v>0</v>
      </c>
      <c r="BK24" s="409">
        <f t="shared" si="1"/>
        <v>0</v>
      </c>
      <c r="BL24" s="409">
        <f t="shared" si="2"/>
        <v>0</v>
      </c>
      <c r="BM24" s="143"/>
      <c r="BN24" s="143"/>
      <c r="BO24" s="143"/>
      <c r="BP24" s="143"/>
      <c r="BQ24" s="143"/>
      <c r="BR24" s="143"/>
      <c r="BS24" s="143"/>
      <c r="BT24" s="143"/>
    </row>
    <row r="25" spans="1:72">
      <c r="A25" s="141">
        <v>3174</v>
      </c>
      <c r="B25" s="203">
        <f>IF(NOT(ISBLANK('User Interface (Start Here!)'!$L$14)),IF(ISNUMBER(VLOOKUP($A25,$R$2:$U$24,4,FALSE)),VLOOKUP($A25,$R$2:$U$24,4,FALSE),0),IF(NOT(ISBLANK('User Interface (Start Here!)'!$M$14)),IF(ISNUMBER(VLOOKUP('Bathymetric Closures'!$A25,'Bathymetric Closures'!$AM$145:$AN$226,2,FALSE)),VLOOKUP('Bathymetric Closures'!$A25,'Bathymetric Closures'!$AM$145:$AN$226,2,FALSE)/100,0),IF(NOT(ISBLANK('User Interface (Start Here!)'!$N$14)),IF(ISNUMBER(VLOOKUP('Bathymetric Closures'!$A25,'Bathymetric Closures'!$AM$260:$AN$341,2,FALSE)),VLOOKUP('Bathymetric Closures'!$A25,'Bathymetric Closures'!$AM$260:$AN$341,2,FALSE)/100,0))))</f>
        <v>0</v>
      </c>
      <c r="C25" s="204">
        <f>IF(NOT(ISBLANK('User Interface (Start Here!)'!$M$14)),VLOOKUP('Bathymetric Closures'!$A25,'Bathymetric Closures'!$AM$146:$AQ$201,5,FALSE),IF(NOT(ISBLANK('User Interface (Start Here!)'!$N$14)),VLOOKUP('Bathymetric Closures'!$A25,'Bathymetric Closures'!$AM$260:$AQ$330,5,FALSE),IF(OR('User Interface (Start Here!)'!$L$32="m",'User Interface (Start Here!)'!$L$32="M"),VLOOKUP('Bathymetric Closures'!$A25,'Bathymetric Closures'!$BH:$BL,4,FALSE),IF(OR('User Interface (Start Here!)'!$L$32="L",'User Interface (Start Here!)'!$L$32="l"),VLOOKUP('Bathymetric Closures'!$A25,'Bathymetric Closures'!$BH$1:$BL$56,5,FALSE),VLOOKUP('Bathymetric Closures'!$A25,'Bathymetric Closures'!$BH$1:$BL$56,3,FALSE)))))</f>
        <v>0</v>
      </c>
      <c r="D25" s="204">
        <f t="shared" si="3"/>
        <v>1</v>
      </c>
      <c r="E25" s="143"/>
      <c r="F25" s="143"/>
      <c r="G25" s="143"/>
      <c r="H25" s="143"/>
      <c r="I25" s="143"/>
      <c r="J25" s="143"/>
      <c r="K25" s="143"/>
      <c r="L25" s="143"/>
      <c r="M25" s="143"/>
      <c r="N25" s="143"/>
      <c r="O25" s="143"/>
      <c r="P25" s="143"/>
      <c r="Q25" s="143"/>
      <c r="R25" s="379"/>
      <c r="S25" s="143"/>
      <c r="T25" s="143"/>
      <c r="U25" s="143"/>
      <c r="V25" s="143"/>
      <c r="W25" s="399"/>
      <c r="X25" s="143"/>
      <c r="Y25" s="143"/>
      <c r="Z25" s="143"/>
      <c r="AA25" s="400"/>
      <c r="AB25" s="400"/>
      <c r="AC25" s="400"/>
      <c r="AD25" s="399"/>
      <c r="AE25" s="143"/>
      <c r="AF25" s="143"/>
      <c r="AG25" s="400"/>
      <c r="AH25" s="380"/>
      <c r="AI25" s="380"/>
      <c r="AJ25" s="380"/>
      <c r="AK25" s="380"/>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6"/>
      <c r="BH25" s="296">
        <v>3175</v>
      </c>
      <c r="BI25" s="408">
        <v>0</v>
      </c>
      <c r="BJ25" s="408">
        <f t="shared" si="0"/>
        <v>0</v>
      </c>
      <c r="BK25" s="409">
        <f t="shared" si="1"/>
        <v>0</v>
      </c>
      <c r="BL25" s="409">
        <f t="shared" si="2"/>
        <v>0</v>
      </c>
      <c r="BM25" s="143"/>
      <c r="BN25" s="143"/>
      <c r="BO25" s="143"/>
      <c r="BP25" s="143"/>
      <c r="BQ25" s="143"/>
      <c r="BR25" s="143"/>
      <c r="BS25" s="143"/>
      <c r="BT25" s="143"/>
    </row>
    <row r="26" spans="1:72">
      <c r="A26" s="141">
        <v>3175</v>
      </c>
      <c r="B26" s="203">
        <f>IF(NOT(ISBLANK('User Interface (Start Here!)'!$L$14)),IF(ISNUMBER(VLOOKUP($A26,$R$2:$U$24,4,FALSE)),VLOOKUP($A26,$R$2:$U$24,4,FALSE),0),IF(NOT(ISBLANK('User Interface (Start Here!)'!$M$14)),IF(ISNUMBER(VLOOKUP('Bathymetric Closures'!$A26,'Bathymetric Closures'!$AM$145:$AN$226,2,FALSE)),VLOOKUP('Bathymetric Closures'!$A26,'Bathymetric Closures'!$AM$145:$AN$226,2,FALSE)/100,0),IF(NOT(ISBLANK('User Interface (Start Here!)'!$N$14)),IF(ISNUMBER(VLOOKUP('Bathymetric Closures'!$A26,'Bathymetric Closures'!$AM$260:$AN$341,2,FALSE)),VLOOKUP('Bathymetric Closures'!$A26,'Bathymetric Closures'!$AM$260:$AN$341,2,FALSE)/100,0))))</f>
        <v>0</v>
      </c>
      <c r="C26" s="204">
        <f>IF(NOT(ISBLANK('User Interface (Start Here!)'!$M$14)),VLOOKUP('Bathymetric Closures'!$A26,'Bathymetric Closures'!$AM$146:$AQ$201,5,FALSE),IF(NOT(ISBLANK('User Interface (Start Here!)'!$N$14)),VLOOKUP('Bathymetric Closures'!$A26,'Bathymetric Closures'!$AM$260:$AQ$330,5,FALSE),IF(OR('User Interface (Start Here!)'!$L$32="m",'User Interface (Start Here!)'!$L$32="M"),VLOOKUP('Bathymetric Closures'!$A26,'Bathymetric Closures'!$BH:$BL,4,FALSE),IF(OR('User Interface (Start Here!)'!$L$32="L",'User Interface (Start Here!)'!$L$32="l"),VLOOKUP('Bathymetric Closures'!$A26,'Bathymetric Closures'!$BH$1:$BL$56,5,FALSE),VLOOKUP('Bathymetric Closures'!$A26,'Bathymetric Closures'!$BH$1:$BL$56,3,FALSE)))))</f>
        <v>0</v>
      </c>
      <c r="D26" s="204">
        <f t="shared" si="3"/>
        <v>1</v>
      </c>
      <c r="E26" s="143"/>
      <c r="F26" s="143"/>
      <c r="G26" s="143"/>
      <c r="H26" s="143"/>
      <c r="I26" s="143"/>
      <c r="J26" s="143"/>
      <c r="K26" s="143"/>
      <c r="L26" s="143"/>
      <c r="M26" s="143"/>
      <c r="N26" s="143"/>
      <c r="O26" s="143"/>
      <c r="P26" s="143"/>
      <c r="Q26" s="143"/>
      <c r="R26" s="379"/>
      <c r="S26" s="143"/>
      <c r="T26" s="143"/>
      <c r="U26" s="143"/>
      <c r="V26" s="143"/>
      <c r="W26" s="401"/>
      <c r="X26" s="402"/>
      <c r="Y26" s="402"/>
      <c r="Z26" s="143"/>
      <c r="AA26" s="400"/>
      <c r="AB26" s="400"/>
      <c r="AC26" s="400"/>
      <c r="AD26" s="380"/>
      <c r="AE26" s="380"/>
      <c r="AF26" s="380"/>
      <c r="AG26" s="400"/>
      <c r="AH26" s="380"/>
      <c r="AI26" s="380"/>
      <c r="AJ26" s="380"/>
      <c r="AK26" s="380"/>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6"/>
      <c r="BH26" s="296">
        <v>3176</v>
      </c>
      <c r="BI26" s="408">
        <v>0</v>
      </c>
      <c r="BJ26" s="408">
        <f t="shared" si="0"/>
        <v>0</v>
      </c>
      <c r="BK26" s="409">
        <f t="shared" si="1"/>
        <v>0</v>
      </c>
      <c r="BL26" s="409">
        <f t="shared" si="2"/>
        <v>0</v>
      </c>
      <c r="BM26" s="143"/>
      <c r="BN26" s="143"/>
      <c r="BO26" s="143"/>
      <c r="BP26" s="143"/>
      <c r="BQ26" s="143"/>
      <c r="BR26" s="143"/>
      <c r="BS26" s="143"/>
      <c r="BT26" s="143"/>
    </row>
    <row r="27" spans="1:72">
      <c r="A27" s="141">
        <v>3176</v>
      </c>
      <c r="B27" s="203">
        <f>IF(NOT(ISBLANK('User Interface (Start Here!)'!$L$14)),IF(ISNUMBER(VLOOKUP($A27,$R$2:$U$24,4,FALSE)),VLOOKUP($A27,$R$2:$U$24,4,FALSE),0),IF(NOT(ISBLANK('User Interface (Start Here!)'!$M$14)),IF(ISNUMBER(VLOOKUP('Bathymetric Closures'!$A27,'Bathymetric Closures'!$AM$145:$AN$226,2,FALSE)),VLOOKUP('Bathymetric Closures'!$A27,'Bathymetric Closures'!$AM$145:$AN$226,2,FALSE)/100,0),IF(NOT(ISBLANK('User Interface (Start Here!)'!$N$14)),IF(ISNUMBER(VLOOKUP('Bathymetric Closures'!$A27,'Bathymetric Closures'!$AM$260:$AN$341,2,FALSE)),VLOOKUP('Bathymetric Closures'!$A27,'Bathymetric Closures'!$AM$260:$AN$341,2,FALSE)/100,0))))</f>
        <v>0</v>
      </c>
      <c r="C27" s="204">
        <f>IF(NOT(ISBLANK('User Interface (Start Here!)'!$M$14)),VLOOKUP('Bathymetric Closures'!$A27,'Bathymetric Closures'!$AM$146:$AQ$201,5,FALSE),IF(NOT(ISBLANK('User Interface (Start Here!)'!$N$14)),VLOOKUP('Bathymetric Closures'!$A27,'Bathymetric Closures'!$AM$260:$AQ$330,5,FALSE),IF(OR('User Interface (Start Here!)'!$L$32="m",'User Interface (Start Here!)'!$L$32="M"),VLOOKUP('Bathymetric Closures'!$A27,'Bathymetric Closures'!$BH:$BL,4,FALSE),IF(OR('User Interface (Start Here!)'!$L$32="L",'User Interface (Start Here!)'!$L$32="l"),VLOOKUP('Bathymetric Closures'!$A27,'Bathymetric Closures'!$BH$1:$BL$56,5,FALSE),VLOOKUP('Bathymetric Closures'!$A27,'Bathymetric Closures'!$BH$1:$BL$56,3,FALSE)))))</f>
        <v>0</v>
      </c>
      <c r="D27" s="204">
        <f t="shared" si="3"/>
        <v>1</v>
      </c>
      <c r="F27" s="6"/>
      <c r="G27" s="6"/>
      <c r="H27" s="6"/>
      <c r="I27" s="6"/>
      <c r="J27" s="6"/>
      <c r="K27" s="6"/>
      <c r="L27" s="6"/>
      <c r="M27" s="6"/>
      <c r="N27" s="6"/>
      <c r="O27" s="6"/>
      <c r="P27" s="6"/>
      <c r="Q27" s="6"/>
      <c r="R27" s="320"/>
      <c r="S27" s="6"/>
      <c r="T27" s="6"/>
      <c r="U27" s="6"/>
      <c r="V27" s="6"/>
      <c r="W27" s="321"/>
      <c r="X27" s="6"/>
      <c r="Y27" s="6"/>
      <c r="Z27" s="6"/>
      <c r="AA27" s="322"/>
      <c r="AB27" s="322"/>
      <c r="AC27" s="322"/>
      <c r="AD27" s="322"/>
      <c r="AE27" s="8"/>
      <c r="AF27" s="400"/>
      <c r="AG27" s="400"/>
      <c r="AH27" s="380"/>
      <c r="AI27" s="380"/>
      <c r="AJ27" s="380"/>
      <c r="AK27" s="380"/>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6"/>
      <c r="BH27" s="296">
        <v>3177</v>
      </c>
      <c r="BI27" s="408">
        <v>0</v>
      </c>
      <c r="BJ27" s="408">
        <f t="shared" si="0"/>
        <v>0</v>
      </c>
      <c r="BK27" s="409">
        <f t="shared" si="1"/>
        <v>0</v>
      </c>
      <c r="BL27" s="409">
        <f t="shared" si="2"/>
        <v>0</v>
      </c>
      <c r="BM27" s="143"/>
      <c r="BN27" s="143"/>
      <c r="BO27" s="143"/>
      <c r="BP27" s="143"/>
      <c r="BQ27" s="143"/>
      <c r="BR27" s="143"/>
      <c r="BS27" s="143"/>
      <c r="BT27" s="143"/>
    </row>
    <row r="28" spans="1:72">
      <c r="A28" s="141">
        <v>3177</v>
      </c>
      <c r="B28" s="203">
        <f>IF(NOT(ISBLANK('User Interface (Start Here!)'!$L$14)),IF(ISNUMBER(VLOOKUP($A28,$R$2:$U$24,4,FALSE)),VLOOKUP($A28,$R$2:$U$24,4,FALSE),0),IF(NOT(ISBLANK('User Interface (Start Here!)'!$M$14)),IF(ISNUMBER(VLOOKUP('Bathymetric Closures'!$A28,'Bathymetric Closures'!$AM$145:$AN$226,2,FALSE)),VLOOKUP('Bathymetric Closures'!$A28,'Bathymetric Closures'!$AM$145:$AN$226,2,FALSE)/100,0),IF(NOT(ISBLANK('User Interface (Start Here!)'!$N$14)),IF(ISNUMBER(VLOOKUP('Bathymetric Closures'!$A28,'Bathymetric Closures'!$AM$260:$AN$341,2,FALSE)),VLOOKUP('Bathymetric Closures'!$A28,'Bathymetric Closures'!$AM$260:$AN$341,2,FALSE)/100,0))))</f>
        <v>0</v>
      </c>
      <c r="C28" s="204">
        <f>IF(NOT(ISBLANK('User Interface (Start Here!)'!$M$14)),VLOOKUP('Bathymetric Closures'!$A28,'Bathymetric Closures'!$AM$146:$AQ$201,5,FALSE),IF(NOT(ISBLANK('User Interface (Start Here!)'!$N$14)),VLOOKUP('Bathymetric Closures'!$A28,'Bathymetric Closures'!$AM$260:$AQ$330,5,FALSE),IF(OR('User Interface (Start Here!)'!$L$32="m",'User Interface (Start Here!)'!$L$32="M"),VLOOKUP('Bathymetric Closures'!$A28,'Bathymetric Closures'!$BH:$BL,4,FALSE),IF(OR('User Interface (Start Here!)'!$L$32="L",'User Interface (Start Here!)'!$L$32="l"),VLOOKUP('Bathymetric Closures'!$A28,'Bathymetric Closures'!$BH$1:$BL$56,5,FALSE),VLOOKUP('Bathymetric Closures'!$A28,'Bathymetric Closures'!$BH$1:$BL$56,3,FALSE)))))</f>
        <v>0</v>
      </c>
      <c r="D28" s="204">
        <f t="shared" si="3"/>
        <v>1</v>
      </c>
      <c r="F28" s="6"/>
      <c r="G28" s="6"/>
      <c r="H28" s="6"/>
      <c r="I28" s="6"/>
      <c r="J28" s="6"/>
      <c r="K28" s="6"/>
      <c r="L28" s="6"/>
      <c r="M28" s="6"/>
      <c r="N28" s="6"/>
      <c r="O28" s="6"/>
      <c r="P28" s="6"/>
      <c r="Q28" s="6"/>
      <c r="R28" s="320"/>
      <c r="S28" s="6"/>
      <c r="T28" s="6"/>
      <c r="U28" s="6"/>
      <c r="V28" s="6"/>
      <c r="W28" s="321"/>
      <c r="X28" s="6"/>
      <c r="Y28" s="6"/>
      <c r="Z28" s="6"/>
      <c r="AA28" s="322"/>
      <c r="AB28" s="322"/>
      <c r="AC28" s="322"/>
      <c r="AD28" s="322"/>
      <c r="AE28" s="8"/>
      <c r="AF28" s="400"/>
      <c r="AG28" s="400"/>
      <c r="AH28" s="380"/>
      <c r="AI28" s="380"/>
      <c r="AJ28" s="380"/>
      <c r="AK28" s="380"/>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6"/>
      <c r="BH28" s="296">
        <v>3178</v>
      </c>
      <c r="BI28" s="408">
        <v>0</v>
      </c>
      <c r="BJ28" s="408">
        <f t="shared" si="0"/>
        <v>0</v>
      </c>
      <c r="BK28" s="409">
        <f t="shared" si="1"/>
        <v>0</v>
      </c>
      <c r="BL28" s="409">
        <f t="shared" si="2"/>
        <v>0</v>
      </c>
      <c r="BM28" s="143"/>
      <c r="BN28" s="143"/>
      <c r="BO28" s="143"/>
      <c r="BP28" s="143"/>
      <c r="BQ28" s="143"/>
      <c r="BR28" s="143"/>
      <c r="BS28" s="143"/>
      <c r="BT28" s="143"/>
    </row>
    <row r="29" spans="1:72">
      <c r="A29" s="141">
        <v>3178</v>
      </c>
      <c r="B29" s="203">
        <f>IF(NOT(ISBLANK('User Interface (Start Here!)'!$L$14)),IF(ISNUMBER(VLOOKUP($A29,$R$2:$U$24,4,FALSE)),VLOOKUP($A29,$R$2:$U$24,4,FALSE),0),IF(NOT(ISBLANK('User Interface (Start Here!)'!$M$14)),IF(ISNUMBER(VLOOKUP('Bathymetric Closures'!$A29,'Bathymetric Closures'!$AM$145:$AN$226,2,FALSE)),VLOOKUP('Bathymetric Closures'!$A29,'Bathymetric Closures'!$AM$145:$AN$226,2,FALSE)/100,0),IF(NOT(ISBLANK('User Interface (Start Here!)'!$N$14)),IF(ISNUMBER(VLOOKUP('Bathymetric Closures'!$A29,'Bathymetric Closures'!$AM$260:$AN$341,2,FALSE)),VLOOKUP('Bathymetric Closures'!$A29,'Bathymetric Closures'!$AM$260:$AN$341,2,FALSE)/100,0))))</f>
        <v>0</v>
      </c>
      <c r="C29" s="204">
        <f>IF(NOT(ISBLANK('User Interface (Start Here!)'!$M$14)),VLOOKUP('Bathymetric Closures'!$A29,'Bathymetric Closures'!$AM$146:$AQ$201,5,FALSE),IF(NOT(ISBLANK('User Interface (Start Here!)'!$N$14)),VLOOKUP('Bathymetric Closures'!$A29,'Bathymetric Closures'!$AM$260:$AQ$330,5,FALSE),IF(OR('User Interface (Start Here!)'!$L$32="m",'User Interface (Start Here!)'!$L$32="M"),VLOOKUP('Bathymetric Closures'!$A29,'Bathymetric Closures'!$BH:$BL,4,FALSE),IF(OR('User Interface (Start Here!)'!$L$32="L",'User Interface (Start Here!)'!$L$32="l"),VLOOKUP('Bathymetric Closures'!$A29,'Bathymetric Closures'!$BH$1:$BL$56,5,FALSE),VLOOKUP('Bathymetric Closures'!$A29,'Bathymetric Closures'!$BH$1:$BL$56,3,FALSE)))))</f>
        <v>0</v>
      </c>
      <c r="D29" s="204">
        <f t="shared" si="3"/>
        <v>1</v>
      </c>
      <c r="F29" s="6"/>
      <c r="G29" s="6"/>
      <c r="H29" s="6"/>
      <c r="I29" s="6"/>
      <c r="J29" s="6"/>
      <c r="K29" s="6"/>
      <c r="L29" s="6"/>
      <c r="M29" s="6"/>
      <c r="N29" s="6"/>
      <c r="O29" s="6"/>
      <c r="P29" s="6"/>
      <c r="Q29" s="6"/>
      <c r="R29" s="320"/>
      <c r="S29" s="6"/>
      <c r="T29" s="6"/>
      <c r="U29" s="6"/>
      <c r="V29" s="6"/>
      <c r="W29" s="321"/>
      <c r="X29" s="6"/>
      <c r="Y29" s="6"/>
      <c r="Z29" s="6"/>
      <c r="AA29" s="322"/>
      <c r="AB29" s="322"/>
      <c r="AC29" s="322"/>
      <c r="AD29" s="322"/>
      <c r="AE29" s="8"/>
      <c r="AF29" s="400"/>
      <c r="AG29" s="400"/>
      <c r="AH29" s="380"/>
      <c r="AI29" s="380"/>
      <c r="AJ29" s="380"/>
      <c r="AK29" s="380"/>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6"/>
      <c r="BH29" s="296">
        <v>3179</v>
      </c>
      <c r="BI29" s="408">
        <v>0.42438686754582028</v>
      </c>
      <c r="BJ29" s="408">
        <f t="shared" si="0"/>
        <v>0.42438686754582028</v>
      </c>
      <c r="BK29" s="409">
        <f t="shared" si="1"/>
        <v>0.90503738735222616</v>
      </c>
      <c r="BL29" s="409">
        <f t="shared" si="2"/>
        <v>0.92134501698042015</v>
      </c>
      <c r="BM29" s="143"/>
      <c r="BN29" s="143"/>
      <c r="BO29" s="143"/>
      <c r="BP29" s="143"/>
      <c r="BQ29" s="143"/>
      <c r="BR29" s="143"/>
      <c r="BS29" s="143"/>
      <c r="BT29" s="143"/>
    </row>
    <row r="30" spans="1:72">
      <c r="A30" s="141">
        <v>3179</v>
      </c>
      <c r="B30" s="203">
        <f>IF(NOT(ISBLANK('User Interface (Start Here!)'!$L$14)),IF(ISNUMBER(VLOOKUP($A30,$R$2:$U$24,4,FALSE)),VLOOKUP($A30,$R$2:$U$24,4,FALSE),0),IF(NOT(ISBLANK('User Interface (Start Here!)'!$M$14)),IF(ISNUMBER(VLOOKUP('Bathymetric Closures'!$A30,'Bathymetric Closures'!$AM$145:$AN$226,2,FALSE)),VLOOKUP('Bathymetric Closures'!$A30,'Bathymetric Closures'!$AM$145:$AN$226,2,FALSE)/100,0),IF(NOT(ISBLANK('User Interface (Start Here!)'!$N$14)),IF(ISNUMBER(VLOOKUP('Bathymetric Closures'!$A30,'Bathymetric Closures'!$AM$260:$AN$341,2,FALSE)),VLOOKUP('Bathymetric Closures'!$A30,'Bathymetric Closures'!$AM$260:$AN$341,2,FALSE)/100,0))))</f>
        <v>0.31156982459799998</v>
      </c>
      <c r="C30" s="204">
        <f>IF(NOT(ISBLANK('User Interface (Start Here!)'!$M$14)),VLOOKUP('Bathymetric Closures'!$A30,'Bathymetric Closures'!$AM$146:$AQ$201,5,FALSE),IF(NOT(ISBLANK('User Interface (Start Here!)'!$N$14)),VLOOKUP('Bathymetric Closures'!$A30,'Bathymetric Closures'!$AM$260:$AQ$330,5,FALSE),IF(OR('User Interface (Start Here!)'!$L$32="m",'User Interface (Start Here!)'!$L$32="M"),VLOOKUP('Bathymetric Closures'!$A30,'Bathymetric Closures'!$BH:$BL,4,FALSE),IF(OR('User Interface (Start Here!)'!$L$32="L",'User Interface (Start Here!)'!$L$32="l"),VLOOKUP('Bathymetric Closures'!$A30,'Bathymetric Closures'!$BH$1:$BL$56,5,FALSE),VLOOKUP('Bathymetric Closures'!$A30,'Bathymetric Closures'!$BH$1:$BL$56,3,FALSE)))))</f>
        <v>0.92134501698042015</v>
      </c>
      <c r="D30" s="204">
        <f t="shared" si="3"/>
        <v>7.8654983019579849E-2</v>
      </c>
      <c r="F30" s="6"/>
      <c r="G30" s="6"/>
      <c r="H30" s="6"/>
      <c r="I30" s="6"/>
      <c r="J30" s="6"/>
      <c r="K30" s="6"/>
      <c r="L30" s="6"/>
      <c r="M30" s="6"/>
      <c r="N30" s="6"/>
      <c r="O30" s="6"/>
      <c r="P30" s="6"/>
      <c r="Q30" s="6"/>
      <c r="R30" s="320"/>
      <c r="S30" s="6"/>
      <c r="T30" s="6"/>
      <c r="U30" s="6"/>
      <c r="V30" s="6"/>
      <c r="W30" s="321"/>
      <c r="X30" s="6"/>
      <c r="Y30" s="6"/>
      <c r="Z30" s="6"/>
      <c r="AA30" s="322"/>
      <c r="AB30" s="322"/>
      <c r="AC30" s="322"/>
      <c r="AD30" s="322"/>
      <c r="AE30" s="8"/>
      <c r="AF30" s="400"/>
      <c r="AG30" s="400"/>
      <c r="AH30" s="380"/>
      <c r="AI30" s="380"/>
      <c r="AJ30" s="380"/>
      <c r="AK30" s="380"/>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6"/>
      <c r="BH30" s="296">
        <v>3180</v>
      </c>
      <c r="BI30" s="408">
        <v>0.54490170175939789</v>
      </c>
      <c r="BJ30" s="408">
        <f t="shared" si="0"/>
        <v>0.54490170175939789</v>
      </c>
      <c r="BK30" s="409">
        <f t="shared" si="1"/>
        <v>0.92864624337466606</v>
      </c>
      <c r="BL30" s="409">
        <f t="shared" si="2"/>
        <v>0.95206391478029295</v>
      </c>
      <c r="BM30" s="143"/>
      <c r="BN30" s="143"/>
      <c r="BO30" s="143"/>
      <c r="BP30" s="143"/>
      <c r="BQ30" s="143"/>
      <c r="BR30" s="143"/>
      <c r="BS30" s="143"/>
      <c r="BT30" s="143"/>
    </row>
    <row r="31" spans="1:72">
      <c r="A31" s="141">
        <v>3180</v>
      </c>
      <c r="B31" s="203">
        <f>IF(NOT(ISBLANK('User Interface (Start Here!)'!$L$14)),IF(ISNUMBER(VLOOKUP($A31,$R$2:$U$24,4,FALSE)),VLOOKUP($A31,$R$2:$U$24,4,FALSE),0),IF(NOT(ISBLANK('User Interface (Start Here!)'!$M$14)),IF(ISNUMBER(VLOOKUP('Bathymetric Closures'!$A31,'Bathymetric Closures'!$AM$145:$AN$226,2,FALSE)),VLOOKUP('Bathymetric Closures'!$A31,'Bathymetric Closures'!$AM$145:$AN$226,2,FALSE)/100,0),IF(NOT(ISBLANK('User Interface (Start Here!)'!$N$14)),IF(ISNUMBER(VLOOKUP('Bathymetric Closures'!$A31,'Bathymetric Closures'!$AM$260:$AN$341,2,FALSE)),VLOOKUP('Bathymetric Closures'!$A31,'Bathymetric Closures'!$AM$260:$AN$341,2,FALSE)/100,0))))</f>
        <v>0.6612598299139999</v>
      </c>
      <c r="C31" s="204">
        <f>IF(NOT(ISBLANK('User Interface (Start Here!)'!$M$14)),VLOOKUP('Bathymetric Closures'!$A31,'Bathymetric Closures'!$AM$146:$AQ$201,5,FALSE),IF(NOT(ISBLANK('User Interface (Start Here!)'!$N$14)),VLOOKUP('Bathymetric Closures'!$A31,'Bathymetric Closures'!$AM$260:$AQ$330,5,FALSE),IF(OR('User Interface (Start Here!)'!$L$32="m",'User Interface (Start Here!)'!$L$32="M"),VLOOKUP('Bathymetric Closures'!$A31,'Bathymetric Closures'!$BH:$BL,4,FALSE),IF(OR('User Interface (Start Here!)'!$L$32="L",'User Interface (Start Here!)'!$L$32="l"),VLOOKUP('Bathymetric Closures'!$A31,'Bathymetric Closures'!$BH$1:$BL$56,5,FALSE),VLOOKUP('Bathymetric Closures'!$A31,'Bathymetric Closures'!$BH$1:$BL$56,3,FALSE)))))</f>
        <v>0.96642860025017152</v>
      </c>
      <c r="D31" s="204">
        <f t="shared" si="3"/>
        <v>3.3571399749828479E-2</v>
      </c>
      <c r="F31" s="6"/>
      <c r="G31" s="6"/>
      <c r="H31" s="6"/>
      <c r="I31" s="6"/>
      <c r="J31" s="6"/>
      <c r="K31" s="6"/>
      <c r="L31" s="6"/>
      <c r="M31" s="6"/>
      <c r="N31" s="6"/>
      <c r="O31" s="323">
        <v>0.19589999999999999</v>
      </c>
      <c r="P31" s="323">
        <v>0.82189999999999996</v>
      </c>
      <c r="Q31" s="6"/>
      <c r="R31" s="320"/>
      <c r="S31" s="6"/>
      <c r="T31" s="6"/>
      <c r="U31" s="6"/>
      <c r="V31" s="6"/>
      <c r="W31" s="321"/>
      <c r="X31" s="6"/>
      <c r="Y31" s="6"/>
      <c r="Z31" s="6"/>
      <c r="AA31" s="322"/>
      <c r="AB31" s="322"/>
      <c r="AC31" s="322"/>
      <c r="AD31" s="322"/>
      <c r="AE31" s="8"/>
      <c r="AF31" s="400"/>
      <c r="AG31" s="400"/>
      <c r="AH31" s="380"/>
      <c r="AI31" s="380"/>
      <c r="AJ31" s="380"/>
      <c r="AK31" s="380"/>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6"/>
      <c r="BH31" s="296">
        <v>3274</v>
      </c>
      <c r="BI31" s="408">
        <v>0</v>
      </c>
      <c r="BJ31" s="408">
        <f t="shared" si="0"/>
        <v>0</v>
      </c>
      <c r="BK31" s="409">
        <f t="shared" si="1"/>
        <v>0</v>
      </c>
      <c r="BL31" s="409">
        <f t="shared" si="2"/>
        <v>0</v>
      </c>
      <c r="BM31" s="143"/>
      <c r="BN31" s="143"/>
      <c r="BO31" s="143"/>
      <c r="BP31" s="143"/>
      <c r="BQ31" s="143"/>
      <c r="BR31" s="143"/>
      <c r="BS31" s="143"/>
      <c r="BT31" s="143"/>
    </row>
    <row r="32" spans="1:72">
      <c r="A32" s="141">
        <v>3274</v>
      </c>
      <c r="B32" s="203">
        <f>IF(NOT(ISBLANK('User Interface (Start Here!)'!$L$14)),IF(ISNUMBER(VLOOKUP($A32,$R$2:$U$24,4,FALSE)),VLOOKUP($A32,$R$2:$U$24,4,FALSE),0),IF(NOT(ISBLANK('User Interface (Start Here!)'!$M$14)),IF(ISNUMBER(VLOOKUP('Bathymetric Closures'!$A32,'Bathymetric Closures'!$AM$145:$AN$226,2,FALSE)),VLOOKUP('Bathymetric Closures'!$A32,'Bathymetric Closures'!$AM$145:$AN$226,2,FALSE)/100,0),IF(NOT(ISBLANK('User Interface (Start Here!)'!$N$14)),IF(ISNUMBER(VLOOKUP('Bathymetric Closures'!$A32,'Bathymetric Closures'!$AM$260:$AN$341,2,FALSE)),VLOOKUP('Bathymetric Closures'!$A32,'Bathymetric Closures'!$AM$260:$AN$341,2,FALSE)/100,0))))</f>
        <v>0</v>
      </c>
      <c r="C32" s="204">
        <f>IF(NOT(ISBLANK('User Interface (Start Here!)'!$M$14)),VLOOKUP('Bathymetric Closures'!$A32,'Bathymetric Closures'!$AM$146:$AQ$201,5,FALSE),IF(NOT(ISBLANK('User Interface (Start Here!)'!$N$14)),VLOOKUP('Bathymetric Closures'!$A32,'Bathymetric Closures'!$AM$260:$AQ$330,5,FALSE),IF(OR('User Interface (Start Here!)'!$L$32="m",'User Interface (Start Here!)'!$L$32="M"),VLOOKUP('Bathymetric Closures'!$A32,'Bathymetric Closures'!$BH:$BL,4,FALSE),IF(OR('User Interface (Start Here!)'!$L$32="L",'User Interface (Start Here!)'!$L$32="l"),VLOOKUP('Bathymetric Closures'!$A32,'Bathymetric Closures'!$BH$1:$BL$56,5,FALSE),VLOOKUP('Bathymetric Closures'!$A32,'Bathymetric Closures'!$BH$1:$BL$56,3,FALSE)))))</f>
        <v>0</v>
      </c>
      <c r="D32" s="204">
        <f t="shared" si="3"/>
        <v>1</v>
      </c>
      <c r="F32" s="6"/>
      <c r="G32" s="6"/>
      <c r="H32" s="6"/>
      <c r="I32" s="6"/>
      <c r="J32" s="6"/>
      <c r="K32" s="6"/>
      <c r="L32" s="6"/>
      <c r="M32" s="6"/>
      <c r="N32" s="6"/>
      <c r="O32" s="6"/>
      <c r="P32" s="6"/>
      <c r="Q32" s="6"/>
      <c r="R32" s="320"/>
      <c r="S32" s="6"/>
      <c r="T32" s="6"/>
      <c r="U32" s="6"/>
      <c r="V32" s="6"/>
      <c r="W32" s="321"/>
      <c r="X32" s="6"/>
      <c r="Y32" s="6"/>
      <c r="Z32" s="6"/>
      <c r="AA32" s="322"/>
      <c r="AB32" s="322"/>
      <c r="AC32" s="322"/>
      <c r="AD32" s="322"/>
      <c r="AE32" s="8"/>
      <c r="AF32" s="400"/>
      <c r="AG32" s="400"/>
      <c r="AH32" s="380"/>
      <c r="AI32" s="380"/>
      <c r="AJ32" s="380"/>
      <c r="AK32" s="380"/>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6"/>
      <c r="BH32" s="296">
        <v>3276</v>
      </c>
      <c r="BI32" s="408">
        <v>0</v>
      </c>
      <c r="BJ32" s="408">
        <f t="shared" si="0"/>
        <v>0</v>
      </c>
      <c r="BK32" s="409">
        <f t="shared" si="1"/>
        <v>0</v>
      </c>
      <c r="BL32" s="409">
        <f t="shared" si="2"/>
        <v>0</v>
      </c>
      <c r="BM32" s="143"/>
      <c r="BN32" s="143"/>
      <c r="BO32" s="143"/>
      <c r="BP32" s="143"/>
      <c r="BQ32" s="143"/>
      <c r="BR32" s="143"/>
      <c r="BS32" s="143"/>
      <c r="BT32" s="143"/>
    </row>
    <row r="33" spans="1:72">
      <c r="A33" s="141">
        <v>3276</v>
      </c>
      <c r="B33" s="203">
        <f>IF(NOT(ISBLANK('User Interface (Start Here!)'!$L$14)),IF(ISNUMBER(VLOOKUP($A33,$R$2:$U$24,4,FALSE)),VLOOKUP($A33,$R$2:$U$24,4,FALSE),0),IF(NOT(ISBLANK('User Interface (Start Here!)'!$M$14)),IF(ISNUMBER(VLOOKUP('Bathymetric Closures'!$A33,'Bathymetric Closures'!$AM$145:$AN$226,2,FALSE)),VLOOKUP('Bathymetric Closures'!$A33,'Bathymetric Closures'!$AM$145:$AN$226,2,FALSE)/100,0),IF(NOT(ISBLANK('User Interface (Start Here!)'!$N$14)),IF(ISNUMBER(VLOOKUP('Bathymetric Closures'!$A33,'Bathymetric Closures'!$AM$260:$AN$341,2,FALSE)),VLOOKUP('Bathymetric Closures'!$A33,'Bathymetric Closures'!$AM$260:$AN$341,2,FALSE)/100,0))))</f>
        <v>0</v>
      </c>
      <c r="C33" s="204">
        <f>IF(NOT(ISBLANK('User Interface (Start Here!)'!$M$14)),VLOOKUP('Bathymetric Closures'!$A33,'Bathymetric Closures'!$AM$146:$AQ$201,5,FALSE),IF(NOT(ISBLANK('User Interface (Start Here!)'!$N$14)),VLOOKUP('Bathymetric Closures'!$A33,'Bathymetric Closures'!$AM$260:$AQ$330,5,FALSE),IF(OR('User Interface (Start Here!)'!$L$32="m",'User Interface (Start Here!)'!$L$32="M"),VLOOKUP('Bathymetric Closures'!$A33,'Bathymetric Closures'!$BH:$BL,4,FALSE),IF(OR('User Interface (Start Here!)'!$L$32="L",'User Interface (Start Here!)'!$L$32="l"),VLOOKUP('Bathymetric Closures'!$A33,'Bathymetric Closures'!$BH$1:$BL$56,5,FALSE),VLOOKUP('Bathymetric Closures'!$A33,'Bathymetric Closures'!$BH$1:$BL$56,3,FALSE)))))</f>
        <v>0</v>
      </c>
      <c r="D33" s="204">
        <f t="shared" si="3"/>
        <v>1</v>
      </c>
      <c r="F33" s="6"/>
      <c r="G33" s="6"/>
      <c r="H33" s="6"/>
      <c r="I33" s="6"/>
      <c r="J33" s="6"/>
      <c r="K33" s="6"/>
      <c r="L33" s="6"/>
      <c r="M33" s="6"/>
      <c r="N33" s="6"/>
      <c r="O33" s="6"/>
      <c r="P33" s="6"/>
      <c r="Q33" s="6"/>
      <c r="R33" s="320"/>
      <c r="S33" s="6"/>
      <c r="T33" s="6"/>
      <c r="U33" s="6"/>
      <c r="V33" s="6"/>
      <c r="W33" s="321"/>
      <c r="X33" s="6"/>
      <c r="Y33" s="6"/>
      <c r="Z33" s="6"/>
      <c r="AA33" s="322"/>
      <c r="AB33" s="322"/>
      <c r="AC33" s="322"/>
      <c r="AD33" s="322"/>
      <c r="AE33" s="8"/>
      <c r="AF33" s="400"/>
      <c r="AG33" s="400"/>
      <c r="AH33" s="380"/>
      <c r="AI33" s="380"/>
      <c r="AJ33" s="380"/>
      <c r="AK33" s="380"/>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6"/>
      <c r="BH33" s="296">
        <v>3277</v>
      </c>
      <c r="BI33" s="408">
        <v>3.1646394480798197E-3</v>
      </c>
      <c r="BJ33" s="408">
        <f t="shared" si="0"/>
        <v>3.1646394480798197E-3</v>
      </c>
      <c r="BK33" s="409">
        <f t="shared" si="1"/>
        <v>0.82251995286787882</v>
      </c>
      <c r="BL33" s="409">
        <f t="shared" si="2"/>
        <v>4.6619155705580945E-15</v>
      </c>
      <c r="BM33" s="143"/>
      <c r="BN33" s="143"/>
      <c r="BO33" s="143"/>
      <c r="BP33" s="143"/>
      <c r="BQ33" s="143"/>
      <c r="BR33" s="143"/>
      <c r="BS33" s="143"/>
      <c r="BT33" s="143"/>
    </row>
    <row r="34" spans="1:72">
      <c r="A34" s="141">
        <v>3277</v>
      </c>
      <c r="B34" s="203">
        <f>IF(NOT(ISBLANK('User Interface (Start Here!)'!$L$14)),IF(ISNUMBER(VLOOKUP($A34,$R$2:$U$24,4,FALSE)),VLOOKUP($A34,$R$2:$U$24,4,FALSE),0),IF(NOT(ISBLANK('User Interface (Start Here!)'!$M$14)),IF(ISNUMBER(VLOOKUP('Bathymetric Closures'!$A34,'Bathymetric Closures'!$AM$145:$AN$226,2,FALSE)),VLOOKUP('Bathymetric Closures'!$A34,'Bathymetric Closures'!$AM$145:$AN$226,2,FALSE)/100,0),IF(NOT(ISBLANK('User Interface (Start Here!)'!$N$14)),IF(ISNUMBER(VLOOKUP('Bathymetric Closures'!$A34,'Bathymetric Closures'!$AM$260:$AN$341,2,FALSE)),VLOOKUP('Bathymetric Closures'!$A34,'Bathymetric Closures'!$AM$260:$AN$341,2,FALSE)/100,0))))</f>
        <v>3.1245195472600002E-4</v>
      </c>
      <c r="C34" s="204">
        <f>IF(NOT(ISBLANK('User Interface (Start Here!)'!$M$14)),VLOOKUP('Bathymetric Closures'!$A34,'Bathymetric Closures'!$AM$146:$AQ$201,5,FALSE),IF(NOT(ISBLANK('User Interface (Start Here!)'!$N$14)),VLOOKUP('Bathymetric Closures'!$A34,'Bathymetric Closures'!$AM$260:$AQ$330,5,FALSE),IF(OR('User Interface (Start Here!)'!$L$32="m",'User Interface (Start Here!)'!$L$32="M"),VLOOKUP('Bathymetric Closures'!$A34,'Bathymetric Closures'!$BH:$BL,4,FALSE),IF(OR('User Interface (Start Here!)'!$L$32="L",'User Interface (Start Here!)'!$L$32="l"),VLOOKUP('Bathymetric Closures'!$A34,'Bathymetric Closures'!$BH$1:$BL$56,5,FALSE),VLOOKUP('Bathymetric Closures'!$A34,'Bathymetric Closures'!$BH$1:$BL$56,3,FALSE)))))</f>
        <v>0.59513616348697207</v>
      </c>
      <c r="D34" s="204">
        <f t="shared" si="3"/>
        <v>0.40486383651302793</v>
      </c>
      <c r="F34" s="6"/>
      <c r="G34" s="6"/>
      <c r="H34" s="6"/>
      <c r="I34" s="6"/>
      <c r="J34" s="6"/>
      <c r="K34" s="6"/>
      <c r="L34" s="6"/>
      <c r="M34" s="6"/>
      <c r="N34" s="6"/>
      <c r="O34" s="6"/>
      <c r="P34" s="6"/>
      <c r="Q34" s="6"/>
      <c r="R34" s="320"/>
      <c r="S34" s="6"/>
      <c r="T34" s="6"/>
      <c r="U34" s="6"/>
      <c r="V34" s="6"/>
      <c r="W34" s="321"/>
      <c r="X34" s="6"/>
      <c r="Y34" s="6"/>
      <c r="Z34" s="6"/>
      <c r="AA34" s="322"/>
      <c r="AB34" s="322"/>
      <c r="AC34" s="322"/>
      <c r="AD34" s="322"/>
      <c r="AE34" s="8"/>
      <c r="AF34" s="400"/>
      <c r="AG34" s="400"/>
      <c r="AH34" s="380"/>
      <c r="AI34" s="380"/>
      <c r="AJ34" s="380"/>
      <c r="AK34" s="380"/>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6"/>
      <c r="BH34" s="296">
        <v>3278</v>
      </c>
      <c r="BI34" s="408">
        <v>0.47195683300009483</v>
      </c>
      <c r="BJ34" s="408">
        <f t="shared" si="0"/>
        <v>0.47195683300009483</v>
      </c>
      <c r="BK34" s="409">
        <f t="shared" si="1"/>
        <v>0.91435634358471851</v>
      </c>
      <c r="BL34" s="409">
        <f t="shared" si="2"/>
        <v>0.78311931079323793</v>
      </c>
      <c r="BM34" s="143"/>
      <c r="BN34" s="143"/>
      <c r="BO34" s="143"/>
      <c r="BP34" s="143"/>
      <c r="BQ34" s="143"/>
      <c r="BR34" s="143"/>
      <c r="BS34" s="143"/>
      <c r="BT34" s="143"/>
    </row>
    <row r="35" spans="1:72">
      <c r="A35" s="141">
        <v>3278</v>
      </c>
      <c r="B35" s="203">
        <f>IF(NOT(ISBLANK('User Interface (Start Here!)'!$L$14)),IF(ISNUMBER(VLOOKUP($A35,$R$2:$U$24,4,FALSE)),VLOOKUP($A35,$R$2:$U$24,4,FALSE),0),IF(NOT(ISBLANK('User Interface (Start Here!)'!$M$14)),IF(ISNUMBER(VLOOKUP('Bathymetric Closures'!$A35,'Bathymetric Closures'!$AM$145:$AN$226,2,FALSE)),VLOOKUP('Bathymetric Closures'!$A35,'Bathymetric Closures'!$AM$145:$AN$226,2,FALSE)/100,0),IF(NOT(ISBLANK('User Interface (Start Here!)'!$N$14)),IF(ISNUMBER(VLOOKUP('Bathymetric Closures'!$A35,'Bathymetric Closures'!$AM$260:$AN$341,2,FALSE)),VLOOKUP('Bathymetric Closures'!$A35,'Bathymetric Closures'!$AM$260:$AN$341,2,FALSE)/100,0))))</f>
        <v>0.31872809749600001</v>
      </c>
      <c r="C35" s="204">
        <f>IF(NOT(ISBLANK('User Interface (Start Here!)'!$M$14)),VLOOKUP('Bathymetric Closures'!$A35,'Bathymetric Closures'!$AM$146:$AQ$201,5,FALSE),IF(NOT(ISBLANK('User Interface (Start Here!)'!$N$14)),VLOOKUP('Bathymetric Closures'!$A35,'Bathymetric Closures'!$AM$260:$AQ$330,5,FALSE),IF(OR('User Interface (Start Here!)'!$L$32="m",'User Interface (Start Here!)'!$L$32="M"),VLOOKUP('Bathymetric Closures'!$A35,'Bathymetric Closures'!$BH:$BL,4,FALSE),IF(OR('User Interface (Start Here!)'!$L$32="L",'User Interface (Start Here!)'!$L$32="l"),VLOOKUP('Bathymetric Closures'!$A35,'Bathymetric Closures'!$BH$1:$BL$56,5,FALSE),VLOOKUP('Bathymetric Closures'!$A35,'Bathymetric Closures'!$BH$1:$BL$56,3,FALSE)))))</f>
        <v>0.79957737321196343</v>
      </c>
      <c r="D35" s="204">
        <f t="shared" si="3"/>
        <v>0.20042262678803657</v>
      </c>
      <c r="F35" s="6"/>
      <c r="G35" s="6"/>
      <c r="H35" s="6"/>
      <c r="I35" s="6"/>
      <c r="J35" s="6"/>
      <c r="K35" s="6"/>
      <c r="L35" s="6"/>
      <c r="M35" s="6"/>
      <c r="N35" s="6"/>
      <c r="O35" s="6"/>
      <c r="P35" s="6"/>
      <c r="Q35" s="6"/>
      <c r="R35" s="320"/>
      <c r="S35" s="6"/>
      <c r="T35" s="6"/>
      <c r="U35" s="6"/>
      <c r="V35" s="6"/>
      <c r="W35" s="321"/>
      <c r="X35" s="6"/>
      <c r="Y35" s="6"/>
      <c r="Z35" s="6"/>
      <c r="AA35" s="322"/>
      <c r="AB35" s="322"/>
      <c r="AC35" s="322"/>
      <c r="AD35" s="322"/>
      <c r="AE35" s="8"/>
      <c r="AF35" s="400"/>
      <c r="AG35" s="400"/>
      <c r="AH35" s="380"/>
      <c r="AI35" s="380"/>
      <c r="AJ35" s="380"/>
      <c r="AK35" s="380"/>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6"/>
      <c r="BH35" s="296">
        <v>3279</v>
      </c>
      <c r="BI35" s="408">
        <v>0.51074899565246656</v>
      </c>
      <c r="BJ35" s="408">
        <f t="shared" si="0"/>
        <v>0.51074899565246656</v>
      </c>
      <c r="BK35" s="409">
        <f t="shared" si="1"/>
        <v>0.92195572824831817</v>
      </c>
      <c r="BL35" s="409">
        <f t="shared" si="2"/>
        <v>0.69327668232548401</v>
      </c>
      <c r="BM35" s="143"/>
      <c r="BN35" s="143"/>
      <c r="BO35" s="143"/>
      <c r="BP35" s="143"/>
      <c r="BQ35" s="143"/>
      <c r="BR35" s="143"/>
      <c r="BS35" s="143"/>
      <c r="BT35" s="143"/>
    </row>
    <row r="36" spans="1:72">
      <c r="A36" s="141">
        <v>3279</v>
      </c>
      <c r="B36" s="203">
        <f>IF(NOT(ISBLANK('User Interface (Start Here!)'!$L$14)),IF(ISNUMBER(VLOOKUP($A36,$R$2:$U$24,4,FALSE)),VLOOKUP($A36,$R$2:$U$24,4,FALSE),0),IF(NOT(ISBLANK('User Interface (Start Here!)'!$M$14)),IF(ISNUMBER(VLOOKUP('Bathymetric Closures'!$A36,'Bathymetric Closures'!$AM$145:$AN$226,2,FALSE)),VLOOKUP('Bathymetric Closures'!$A36,'Bathymetric Closures'!$AM$145:$AN$226,2,FALSE)/100,0),IF(NOT(ISBLANK('User Interface (Start Here!)'!$N$14)),IF(ISNUMBER(VLOOKUP('Bathymetric Closures'!$A36,'Bathymetric Closures'!$AM$260:$AN$341,2,FALSE)),VLOOKUP('Bathymetric Closures'!$A36,'Bathymetric Closures'!$AM$260:$AN$341,2,FALSE)/100,0))))</f>
        <v>0.61274973743299999</v>
      </c>
      <c r="C36" s="204">
        <f>IF(NOT(ISBLANK('User Interface (Start Here!)'!$M$14)),VLOOKUP('Bathymetric Closures'!$A36,'Bathymetric Closures'!$AM$146:$AQ$201,5,FALSE),IF(NOT(ISBLANK('User Interface (Start Here!)'!$N$14)),VLOOKUP('Bathymetric Closures'!$A36,'Bathymetric Closures'!$AM$260:$AQ$330,5,FALSE),IF(OR('User Interface (Start Here!)'!$L$32="m",'User Interface (Start Here!)'!$L$32="M"),VLOOKUP('Bathymetric Closures'!$A36,'Bathymetric Closures'!$BH:$BL,4,FALSE),IF(OR('User Interface (Start Here!)'!$L$32="L",'User Interface (Start Here!)'!$L$32="l"),VLOOKUP('Bathymetric Closures'!$A36,'Bathymetric Closures'!$BH$1:$BL$56,5,FALSE),VLOOKUP('Bathymetric Closures'!$A36,'Bathymetric Closures'!$BH$1:$BL$56,3,FALSE)))))</f>
        <v>0.85327030099934176</v>
      </c>
      <c r="D36" s="204">
        <f t="shared" si="3"/>
        <v>0.14672969900065824</v>
      </c>
      <c r="F36" s="6"/>
      <c r="G36" s="6"/>
      <c r="H36" s="6"/>
      <c r="I36" s="6"/>
      <c r="J36" s="6"/>
      <c r="K36" s="6"/>
      <c r="L36" s="6"/>
      <c r="M36" s="6"/>
      <c r="N36" s="6"/>
      <c r="O36" s="6"/>
      <c r="P36" s="6"/>
      <c r="Q36" s="6"/>
      <c r="R36" s="320"/>
      <c r="S36" s="6"/>
      <c r="T36" s="6"/>
      <c r="U36" s="6"/>
      <c r="V36" s="6"/>
      <c r="W36" s="321"/>
      <c r="X36" s="6"/>
      <c r="Y36" s="6"/>
      <c r="Z36" s="6"/>
      <c r="AA36" s="322"/>
      <c r="AB36" s="322"/>
      <c r="AC36" s="322"/>
      <c r="AD36" s="322"/>
      <c r="AE36" s="8"/>
      <c r="AF36" s="400"/>
      <c r="AG36" s="400"/>
      <c r="AH36" s="380"/>
      <c r="AI36" s="380"/>
      <c r="AJ36" s="380"/>
      <c r="AK36" s="380"/>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6"/>
      <c r="BH36" s="296">
        <v>3280</v>
      </c>
      <c r="BI36" s="408">
        <v>0</v>
      </c>
      <c r="BJ36" s="408">
        <f t="shared" si="0"/>
        <v>0</v>
      </c>
      <c r="BK36" s="409">
        <f t="shared" si="1"/>
        <v>0</v>
      </c>
      <c r="BL36" s="409">
        <f t="shared" si="2"/>
        <v>0</v>
      </c>
      <c r="BM36" s="143"/>
      <c r="BN36" s="143"/>
      <c r="BO36" s="143"/>
      <c r="BP36" s="143"/>
      <c r="BQ36" s="143"/>
      <c r="BR36" s="143"/>
      <c r="BS36" s="143"/>
      <c r="BT36" s="143"/>
    </row>
    <row r="37" spans="1:72">
      <c r="A37" s="141">
        <v>3280</v>
      </c>
      <c r="B37" s="203">
        <f>IF(NOT(ISBLANK('User Interface (Start Here!)'!$L$14)),IF(ISNUMBER(VLOOKUP($A37,$R$2:$U$24,4,FALSE)),VLOOKUP($A37,$R$2:$U$24,4,FALSE),0),IF(NOT(ISBLANK('User Interface (Start Here!)'!$M$14)),IF(ISNUMBER(VLOOKUP('Bathymetric Closures'!$A37,'Bathymetric Closures'!$AM$145:$AN$226,2,FALSE)),VLOOKUP('Bathymetric Closures'!$A37,'Bathymetric Closures'!$AM$145:$AN$226,2,FALSE)/100,0),IF(NOT(ISBLANK('User Interface (Start Here!)'!$N$14)),IF(ISNUMBER(VLOOKUP('Bathymetric Closures'!$A37,'Bathymetric Closures'!$AM$260:$AN$341,2,FALSE)),VLOOKUP('Bathymetric Closures'!$A37,'Bathymetric Closures'!$AM$260:$AN$341,2,FALSE)/100,0))))</f>
        <v>0.15179503416999998</v>
      </c>
      <c r="C37" s="204">
        <f>IF(NOT(ISBLANK('User Interface (Start Here!)'!$M$14)),VLOOKUP('Bathymetric Closures'!$A37,'Bathymetric Closures'!$AM$146:$AQ$201,5,FALSE),IF(NOT(ISBLANK('User Interface (Start Here!)'!$N$14)),VLOOKUP('Bathymetric Closures'!$A37,'Bathymetric Closures'!$AM$260:$AQ$330,5,FALSE),IF(OR('User Interface (Start Here!)'!$L$32="m",'User Interface (Start Here!)'!$L$32="M"),VLOOKUP('Bathymetric Closures'!$A37,'Bathymetric Closures'!$BH:$BL,4,FALSE),IF(OR('User Interface (Start Here!)'!$L$32="L",'User Interface (Start Here!)'!$L$32="l"),VLOOKUP('Bathymetric Closures'!$A37,'Bathymetric Closures'!$BH$1:$BL$56,5,FALSE),VLOOKUP('Bathymetric Closures'!$A37,'Bathymetric Closures'!$BH$1:$BL$56,3,FALSE)))))</f>
        <v>0.48924731182795694</v>
      </c>
      <c r="D37" s="204">
        <f t="shared" si="3"/>
        <v>0.510752688172043</v>
      </c>
      <c r="F37" s="6"/>
      <c r="G37" s="6"/>
      <c r="H37" s="6"/>
      <c r="I37" s="6"/>
      <c r="J37" s="6"/>
      <c r="K37" s="6"/>
      <c r="L37" s="6"/>
      <c r="M37" s="6"/>
      <c r="N37" s="6"/>
      <c r="O37" s="6"/>
      <c r="P37" s="6"/>
      <c r="Q37" s="6"/>
      <c r="R37" s="320"/>
      <c r="S37" s="6"/>
      <c r="T37" s="6"/>
      <c r="U37" s="6"/>
      <c r="V37" s="6"/>
      <c r="W37" s="321"/>
      <c r="X37" s="6"/>
      <c r="Y37" s="6"/>
      <c r="Z37" s="6"/>
      <c r="AA37" s="322"/>
      <c r="AB37" s="322"/>
      <c r="AC37" s="322"/>
      <c r="AD37" s="322"/>
      <c r="AE37" s="8"/>
      <c r="AF37" s="400"/>
      <c r="AG37" s="400"/>
      <c r="AH37" s="380"/>
      <c r="AI37" s="380"/>
      <c r="AJ37" s="380"/>
      <c r="AK37" s="380"/>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6"/>
      <c r="BH37" s="296">
        <v>3370</v>
      </c>
      <c r="BI37" s="408">
        <v>0</v>
      </c>
      <c r="BJ37" s="408">
        <f t="shared" si="0"/>
        <v>0</v>
      </c>
      <c r="BK37" s="409">
        <f t="shared" si="1"/>
        <v>0</v>
      </c>
      <c r="BL37" s="409">
        <f t="shared" si="2"/>
        <v>0</v>
      </c>
      <c r="BM37" s="143"/>
      <c r="BN37" s="143"/>
      <c r="BO37" s="143"/>
      <c r="BP37" s="143"/>
      <c r="BQ37" s="143"/>
      <c r="BR37" s="143"/>
      <c r="BS37" s="143"/>
      <c r="BT37" s="143"/>
    </row>
    <row r="38" spans="1:72">
      <c r="A38" s="141">
        <v>3370</v>
      </c>
      <c r="B38" s="203">
        <f>IF(NOT(ISBLANK('User Interface (Start Here!)'!$L$14)),IF(ISNUMBER(VLOOKUP($A38,$R$2:$U$24,4,FALSE)),VLOOKUP($A38,$R$2:$U$24,4,FALSE),0),IF(NOT(ISBLANK('User Interface (Start Here!)'!$M$14)),IF(ISNUMBER(VLOOKUP('Bathymetric Closures'!$A38,'Bathymetric Closures'!$AM$145:$AN$226,2,FALSE)),VLOOKUP('Bathymetric Closures'!$A38,'Bathymetric Closures'!$AM$145:$AN$226,2,FALSE)/100,0),IF(NOT(ISBLANK('User Interface (Start Here!)'!$N$14)),IF(ISNUMBER(VLOOKUP('Bathymetric Closures'!$A38,'Bathymetric Closures'!$AM$260:$AN$341,2,FALSE)),VLOOKUP('Bathymetric Closures'!$A38,'Bathymetric Closures'!$AM$260:$AN$341,2,FALSE)/100,0))))</f>
        <v>0</v>
      </c>
      <c r="C38" s="204">
        <f>IF(NOT(ISBLANK('User Interface (Start Here!)'!$M$14)),VLOOKUP('Bathymetric Closures'!$A38,'Bathymetric Closures'!$AM$146:$AQ$201,5,FALSE),IF(NOT(ISBLANK('User Interface (Start Here!)'!$N$14)),VLOOKUP('Bathymetric Closures'!$A38,'Bathymetric Closures'!$AM$260:$AQ$330,5,FALSE),IF(OR('User Interface (Start Here!)'!$L$32="m",'User Interface (Start Here!)'!$L$32="M"),VLOOKUP('Bathymetric Closures'!$A38,'Bathymetric Closures'!$BH:$BL,4,FALSE),IF(OR('User Interface (Start Here!)'!$L$32="L",'User Interface (Start Here!)'!$L$32="l"),VLOOKUP('Bathymetric Closures'!$A38,'Bathymetric Closures'!$BH$1:$BL$56,5,FALSE),VLOOKUP('Bathymetric Closures'!$A38,'Bathymetric Closures'!$BH$1:$BL$56,3,FALSE)))))</f>
        <v>0</v>
      </c>
      <c r="D38" s="204">
        <f t="shared" si="3"/>
        <v>1</v>
      </c>
      <c r="F38" s="6"/>
      <c r="G38" s="6"/>
      <c r="H38" s="6"/>
      <c r="I38" s="6"/>
      <c r="J38" s="6"/>
      <c r="K38" s="6"/>
      <c r="L38" s="6"/>
      <c r="M38" s="6"/>
      <c r="N38" s="6"/>
      <c r="O38" s="6"/>
      <c r="P38" s="6"/>
      <c r="Q38" s="6"/>
      <c r="R38" s="320"/>
      <c r="S38" s="6"/>
      <c r="T38" s="6"/>
      <c r="U38" s="6"/>
      <c r="V38" s="6"/>
      <c r="W38" s="321"/>
      <c r="X38" s="6"/>
      <c r="Y38" s="6"/>
      <c r="Z38" s="6"/>
      <c r="AA38" s="322"/>
      <c r="AB38" s="322"/>
      <c r="AC38" s="322"/>
      <c r="AD38" s="322"/>
      <c r="AE38" s="8"/>
      <c r="AF38" s="380"/>
      <c r="AG38" s="380"/>
      <c r="AH38" s="380"/>
      <c r="AI38" s="380"/>
      <c r="AJ38" s="380"/>
      <c r="AK38" s="380"/>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6"/>
      <c r="BH38" s="296">
        <v>3374</v>
      </c>
      <c r="BI38" s="408">
        <v>0</v>
      </c>
      <c r="BJ38" s="408">
        <f t="shared" si="0"/>
        <v>0</v>
      </c>
      <c r="BK38" s="409">
        <f t="shared" si="1"/>
        <v>0</v>
      </c>
      <c r="BL38" s="409">
        <f t="shared" si="2"/>
        <v>0</v>
      </c>
      <c r="BM38" s="143"/>
      <c r="BN38" s="143"/>
      <c r="BO38" s="143"/>
      <c r="BP38" s="143"/>
      <c r="BQ38" s="143"/>
      <c r="BR38" s="143"/>
      <c r="BS38" s="143"/>
      <c r="BT38" s="143"/>
    </row>
    <row r="39" spans="1:72">
      <c r="A39" s="141">
        <v>3374</v>
      </c>
      <c r="B39" s="203">
        <f>IF(NOT(ISBLANK('User Interface (Start Here!)'!$L$14)),IF(ISNUMBER(VLOOKUP($A39,$R$2:$U$24,4,FALSE)),VLOOKUP($A39,$R$2:$U$24,4,FALSE),0),IF(NOT(ISBLANK('User Interface (Start Here!)'!$M$14)),IF(ISNUMBER(VLOOKUP('Bathymetric Closures'!$A39,'Bathymetric Closures'!$AM$145:$AN$226,2,FALSE)),VLOOKUP('Bathymetric Closures'!$A39,'Bathymetric Closures'!$AM$145:$AN$226,2,FALSE)/100,0),IF(NOT(ISBLANK('User Interface (Start Here!)'!$N$14)),IF(ISNUMBER(VLOOKUP('Bathymetric Closures'!$A39,'Bathymetric Closures'!$AM$260:$AN$341,2,FALSE)),VLOOKUP('Bathymetric Closures'!$A39,'Bathymetric Closures'!$AM$260:$AN$341,2,FALSE)/100,0))))</f>
        <v>0</v>
      </c>
      <c r="C39" s="204">
        <f>IF(NOT(ISBLANK('User Interface (Start Here!)'!$M$14)),VLOOKUP('Bathymetric Closures'!$A39,'Bathymetric Closures'!$AM$146:$AQ$201,5,FALSE),IF(NOT(ISBLANK('User Interface (Start Here!)'!$N$14)),VLOOKUP('Bathymetric Closures'!$A39,'Bathymetric Closures'!$AM$260:$AQ$330,5,FALSE),IF(OR('User Interface (Start Here!)'!$L$32="m",'User Interface (Start Here!)'!$L$32="M"),VLOOKUP('Bathymetric Closures'!$A39,'Bathymetric Closures'!$BH:$BL,4,FALSE),IF(OR('User Interface (Start Here!)'!$L$32="L",'User Interface (Start Here!)'!$L$32="l"),VLOOKUP('Bathymetric Closures'!$A39,'Bathymetric Closures'!$BH$1:$BL$56,5,FALSE),VLOOKUP('Bathymetric Closures'!$A39,'Bathymetric Closures'!$BH$1:$BL$56,3,FALSE)))))</f>
        <v>0</v>
      </c>
      <c r="D39" s="204">
        <f t="shared" si="3"/>
        <v>1</v>
      </c>
      <c r="F39" s="6"/>
      <c r="G39" s="6"/>
      <c r="H39" s="6"/>
      <c r="I39" s="6"/>
      <c r="J39" s="6"/>
      <c r="K39" s="6"/>
      <c r="L39" s="6"/>
      <c r="M39" s="6"/>
      <c r="N39" s="6"/>
      <c r="O39" s="6"/>
      <c r="P39" s="6"/>
      <c r="Q39" s="6"/>
      <c r="R39" s="320"/>
      <c r="S39" s="6"/>
      <c r="T39" s="6"/>
      <c r="U39" s="6"/>
      <c r="V39" s="6"/>
      <c r="W39" s="321"/>
      <c r="X39" s="6"/>
      <c r="Y39" s="6"/>
      <c r="Z39" s="6"/>
      <c r="AA39" s="322"/>
      <c r="AB39" s="322"/>
      <c r="AC39" s="322"/>
      <c r="AD39" s="322"/>
      <c r="AE39" s="8"/>
      <c r="AF39" s="380"/>
      <c r="AG39" s="380"/>
      <c r="AH39" s="380"/>
      <c r="AI39" s="380"/>
      <c r="AJ39" s="380"/>
      <c r="AK39" s="380"/>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6"/>
      <c r="BH39" s="296">
        <v>3375</v>
      </c>
      <c r="BI39" s="408">
        <v>0</v>
      </c>
      <c r="BJ39" s="408">
        <f t="shared" si="0"/>
        <v>0</v>
      </c>
      <c r="BK39" s="409">
        <f t="shared" si="1"/>
        <v>0</v>
      </c>
      <c r="BL39" s="409">
        <f t="shared" si="2"/>
        <v>0</v>
      </c>
      <c r="BM39" s="143"/>
      <c r="BN39" s="143"/>
      <c r="BO39" s="143"/>
      <c r="BP39" s="143"/>
      <c r="BQ39" s="143"/>
      <c r="BR39" s="143"/>
      <c r="BS39" s="143"/>
      <c r="BT39" s="143"/>
    </row>
    <row r="40" spans="1:72">
      <c r="A40" s="141">
        <v>3375</v>
      </c>
      <c r="B40" s="203">
        <f>IF(NOT(ISBLANK('User Interface (Start Here!)'!$L$14)),IF(ISNUMBER(VLOOKUP($A40,$R$2:$U$24,4,FALSE)),VLOOKUP($A40,$R$2:$U$24,4,FALSE),0),IF(NOT(ISBLANK('User Interface (Start Here!)'!$M$14)),IF(ISNUMBER(VLOOKUP('Bathymetric Closures'!$A40,'Bathymetric Closures'!$AM$145:$AN$226,2,FALSE)),VLOOKUP('Bathymetric Closures'!$A40,'Bathymetric Closures'!$AM$145:$AN$226,2,FALSE)/100,0),IF(NOT(ISBLANK('User Interface (Start Here!)'!$N$14)),IF(ISNUMBER(VLOOKUP('Bathymetric Closures'!$A40,'Bathymetric Closures'!$AM$260:$AN$341,2,FALSE)),VLOOKUP('Bathymetric Closures'!$A40,'Bathymetric Closures'!$AM$260:$AN$341,2,FALSE)/100,0))))</f>
        <v>0</v>
      </c>
      <c r="C40" s="204">
        <f>IF(NOT(ISBLANK('User Interface (Start Here!)'!$M$14)),VLOOKUP('Bathymetric Closures'!$A40,'Bathymetric Closures'!$AM$146:$AQ$201,5,FALSE),IF(NOT(ISBLANK('User Interface (Start Here!)'!$N$14)),VLOOKUP('Bathymetric Closures'!$A40,'Bathymetric Closures'!$AM$260:$AQ$330,5,FALSE),IF(OR('User Interface (Start Here!)'!$L$32="m",'User Interface (Start Here!)'!$L$32="M"),VLOOKUP('Bathymetric Closures'!$A40,'Bathymetric Closures'!$BH:$BL,4,FALSE),IF(OR('User Interface (Start Here!)'!$L$32="L",'User Interface (Start Here!)'!$L$32="l"),VLOOKUP('Bathymetric Closures'!$A40,'Bathymetric Closures'!$BH$1:$BL$56,5,FALSE),VLOOKUP('Bathymetric Closures'!$A40,'Bathymetric Closures'!$BH$1:$BL$56,3,FALSE)))))</f>
        <v>0</v>
      </c>
      <c r="D40" s="204">
        <f t="shared" si="3"/>
        <v>1</v>
      </c>
      <c r="F40" s="6"/>
      <c r="G40" s="6"/>
      <c r="H40" s="6"/>
      <c r="I40" s="6"/>
      <c r="J40" s="6"/>
      <c r="K40" s="6"/>
      <c r="L40" s="6"/>
      <c r="M40" s="6"/>
      <c r="N40" s="6"/>
      <c r="O40" s="6"/>
      <c r="P40" s="6"/>
      <c r="Q40" s="6"/>
      <c r="R40" s="320"/>
      <c r="S40" s="6"/>
      <c r="T40" s="6"/>
      <c r="U40" s="6"/>
      <c r="V40" s="6"/>
      <c r="W40" s="321"/>
      <c r="X40" s="6"/>
      <c r="Y40" s="6"/>
      <c r="Z40" s="6"/>
      <c r="AA40" s="322"/>
      <c r="AB40" s="322"/>
      <c r="AC40" s="322"/>
      <c r="AD40" s="322"/>
      <c r="AE40" s="8"/>
      <c r="AF40" s="380"/>
      <c r="AG40" s="380"/>
      <c r="AH40" s="380"/>
      <c r="AI40" s="380"/>
      <c r="AJ40" s="380"/>
      <c r="AK40" s="380"/>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6"/>
      <c r="BH40" s="296">
        <v>3376</v>
      </c>
      <c r="BI40" s="408">
        <v>0.27480357720803877</v>
      </c>
      <c r="BJ40" s="408">
        <f t="shared" si="0"/>
        <v>0.27480357720803877</v>
      </c>
      <c r="BK40" s="409">
        <f t="shared" si="1"/>
        <v>0.8757340207750548</v>
      </c>
      <c r="BL40" s="409">
        <f t="shared" si="2"/>
        <v>0.87669828249166881</v>
      </c>
      <c r="BM40" s="143"/>
      <c r="BN40" s="143"/>
      <c r="BO40" s="143"/>
      <c r="BP40" s="143"/>
      <c r="BQ40" s="143"/>
      <c r="BR40" s="143"/>
      <c r="BS40" s="143"/>
      <c r="BT40" s="143"/>
    </row>
    <row r="41" spans="1:72">
      <c r="A41" s="141">
        <v>3376</v>
      </c>
      <c r="B41" s="203">
        <f>IF(NOT(ISBLANK('User Interface (Start Here!)'!$L$14)),IF(ISNUMBER(VLOOKUP($A41,$R$2:$U$24,4,FALSE)),VLOOKUP($A41,$R$2:$U$24,4,FALSE),0),IF(NOT(ISBLANK('User Interface (Start Here!)'!$M$14)),IF(ISNUMBER(VLOOKUP('Bathymetric Closures'!$A41,'Bathymetric Closures'!$AM$145:$AN$226,2,FALSE)),VLOOKUP('Bathymetric Closures'!$A41,'Bathymetric Closures'!$AM$145:$AN$226,2,FALSE)/100,0),IF(NOT(ISBLANK('User Interface (Start Here!)'!$N$14)),IF(ISNUMBER(VLOOKUP('Bathymetric Closures'!$A41,'Bathymetric Closures'!$AM$260:$AN$341,2,FALSE)),VLOOKUP('Bathymetric Closures'!$A41,'Bathymetric Closures'!$AM$260:$AN$341,2,FALSE)/100,0))))</f>
        <v>0.15611912594999999</v>
      </c>
      <c r="C41" s="204">
        <f>IF(NOT(ISBLANK('User Interface (Start Here!)'!$M$14)),VLOOKUP('Bathymetric Closures'!$A41,'Bathymetric Closures'!$AM$146:$AQ$201,5,FALSE),IF(NOT(ISBLANK('User Interface (Start Here!)'!$N$14)),VLOOKUP('Bathymetric Closures'!$A41,'Bathymetric Closures'!$AM$260:$AQ$330,5,FALSE),IF(OR('User Interface (Start Here!)'!$L$32="m",'User Interface (Start Here!)'!$L$32="M"),VLOOKUP('Bathymetric Closures'!$A41,'Bathymetric Closures'!$BH:$BL,4,FALSE),IF(OR('User Interface (Start Here!)'!$L$32="L",'User Interface (Start Here!)'!$L$32="l"),VLOOKUP('Bathymetric Closures'!$A41,'Bathymetric Closures'!$BH$1:$BL$56,5,FALSE),VLOOKUP('Bathymetric Closures'!$A41,'Bathymetric Closures'!$BH$1:$BL$56,3,FALSE)))))</f>
        <v>0.8936170212765957</v>
      </c>
      <c r="D41" s="204">
        <f t="shared" si="3"/>
        <v>0.1063829787234043</v>
      </c>
      <c r="F41" s="6"/>
      <c r="G41" s="6"/>
      <c r="H41" s="6"/>
      <c r="I41" s="6"/>
      <c r="J41" s="6"/>
      <c r="K41" s="6"/>
      <c r="L41" s="6"/>
      <c r="M41" s="6"/>
      <c r="N41" s="6"/>
      <c r="O41" s="6"/>
      <c r="P41" s="6"/>
      <c r="Q41" s="6"/>
      <c r="R41" s="320"/>
      <c r="S41" s="6"/>
      <c r="T41" s="6"/>
      <c r="U41" s="6"/>
      <c r="V41" s="6"/>
      <c r="W41" s="321"/>
      <c r="X41" s="6"/>
      <c r="Y41" s="6"/>
      <c r="Z41" s="6"/>
      <c r="AA41" s="322"/>
      <c r="AB41" s="322"/>
      <c r="AC41" s="322"/>
      <c r="AD41" s="322"/>
      <c r="AE41" s="8"/>
      <c r="AF41" s="380"/>
      <c r="AG41" s="380"/>
      <c r="AH41" s="380"/>
      <c r="AI41" s="380"/>
      <c r="AJ41" s="380"/>
      <c r="AK41" s="380"/>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6"/>
      <c r="BH41" s="296">
        <v>3377</v>
      </c>
      <c r="BI41" s="408">
        <v>0.57458484995643089</v>
      </c>
      <c r="BJ41" s="408">
        <f t="shared" si="0"/>
        <v>0.57458484995643089</v>
      </c>
      <c r="BK41" s="409">
        <f t="shared" si="1"/>
        <v>0.93446117210646473</v>
      </c>
      <c r="BL41" s="409">
        <f t="shared" si="2"/>
        <v>0.7363925640596215</v>
      </c>
      <c r="BM41" s="143"/>
      <c r="BN41" s="143"/>
      <c r="BO41" s="143"/>
      <c r="BP41" s="143"/>
      <c r="BQ41" s="143"/>
      <c r="BR41" s="143"/>
      <c r="BS41" s="143"/>
      <c r="BT41" s="143"/>
    </row>
    <row r="42" spans="1:72">
      <c r="A42" s="141">
        <v>3377</v>
      </c>
      <c r="B42" s="203">
        <f>IF(NOT(ISBLANK('User Interface (Start Here!)'!$L$14)),IF(ISNUMBER(VLOOKUP($A42,$R$2:$U$24,4,FALSE)),VLOOKUP($A42,$R$2:$U$24,4,FALSE),0),IF(NOT(ISBLANK('User Interface (Start Here!)'!$M$14)),IF(ISNUMBER(VLOOKUP('Bathymetric Closures'!$A42,'Bathymetric Closures'!$AM$145:$AN$226,2,FALSE)),VLOOKUP('Bathymetric Closures'!$A42,'Bathymetric Closures'!$AM$145:$AN$226,2,FALSE)/100,0),IF(NOT(ISBLANK('User Interface (Start Here!)'!$N$14)),IF(ISNUMBER(VLOOKUP('Bathymetric Closures'!$A42,'Bathymetric Closures'!$AM$260:$AN$341,2,FALSE)),VLOOKUP('Bathymetric Closures'!$A42,'Bathymetric Closures'!$AM$260:$AN$341,2,FALSE)/100,0))))</f>
        <v>0.66418882524099998</v>
      </c>
      <c r="C42" s="204">
        <f>IF(NOT(ISBLANK('User Interface (Start Here!)'!$M$14)),VLOOKUP('Bathymetric Closures'!$A42,'Bathymetric Closures'!$AM$146:$AQ$201,5,FALSE),IF(NOT(ISBLANK('User Interface (Start Here!)'!$N$14)),VLOOKUP('Bathymetric Closures'!$A42,'Bathymetric Closures'!$AM$260:$AQ$330,5,FALSE),IF(OR('User Interface (Start Here!)'!$L$32="m",'User Interface (Start Here!)'!$L$32="M"),VLOOKUP('Bathymetric Closures'!$A42,'Bathymetric Closures'!$BH:$BL,4,FALSE),IF(OR('User Interface (Start Here!)'!$L$32="L",'User Interface (Start Here!)'!$L$32="l"),VLOOKUP('Bathymetric Closures'!$A42,'Bathymetric Closures'!$BH$1:$BL$56,5,FALSE),VLOOKUP('Bathymetric Closures'!$A42,'Bathymetric Closures'!$BH$1:$BL$56,3,FALSE)))))</f>
        <v>0.79919611455367612</v>
      </c>
      <c r="D42" s="204">
        <f t="shared" si="3"/>
        <v>0.20080388544632388</v>
      </c>
      <c r="F42" s="6"/>
      <c r="G42" s="6"/>
      <c r="H42" s="6"/>
      <c r="I42" s="6"/>
      <c r="J42" s="6"/>
      <c r="K42" s="6"/>
      <c r="L42" s="6"/>
      <c r="M42" s="6"/>
      <c r="N42" s="6"/>
      <c r="O42" s="6"/>
      <c r="P42" s="6"/>
      <c r="Q42" s="6"/>
      <c r="R42" s="320"/>
      <c r="S42" s="6"/>
      <c r="T42" s="6"/>
      <c r="U42" s="6"/>
      <c r="V42" s="6"/>
      <c r="W42" s="321"/>
      <c r="X42" s="6"/>
      <c r="Y42" s="6"/>
      <c r="Z42" s="6"/>
      <c r="AA42" s="322"/>
      <c r="AB42" s="322"/>
      <c r="AC42" s="322"/>
      <c r="AD42" s="322"/>
      <c r="AE42" s="8"/>
      <c r="AF42" s="380"/>
      <c r="AG42" s="380"/>
      <c r="AH42" s="380"/>
      <c r="AI42" s="380"/>
      <c r="AJ42" s="380"/>
      <c r="AK42" s="380"/>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6"/>
      <c r="BH42" s="296">
        <v>3378</v>
      </c>
      <c r="BI42" s="408">
        <v>0.31074095749594816</v>
      </c>
      <c r="BJ42" s="408">
        <f t="shared" si="0"/>
        <v>0.31074095749594816</v>
      </c>
      <c r="BK42" s="409">
        <f t="shared" si="1"/>
        <v>0.88277415357345623</v>
      </c>
      <c r="BL42" s="409">
        <f t="shared" si="2"/>
        <v>0.80228891743547825</v>
      </c>
      <c r="BM42" s="143"/>
      <c r="BN42" s="143"/>
      <c r="BO42" s="143"/>
      <c r="BP42" s="143"/>
      <c r="BQ42" s="143"/>
      <c r="BR42" s="143"/>
      <c r="BS42" s="143"/>
      <c r="BT42" s="143"/>
    </row>
    <row r="43" spans="1:72">
      <c r="A43" s="141">
        <v>3378</v>
      </c>
      <c r="B43" s="203">
        <f>IF(NOT(ISBLANK('User Interface (Start Here!)'!$L$14)),IF(ISNUMBER(VLOOKUP($A43,$R$2:$U$24,4,FALSE)),VLOOKUP($A43,$R$2:$U$24,4,FALSE),0),IF(NOT(ISBLANK('User Interface (Start Here!)'!$M$14)),IF(ISNUMBER(VLOOKUP('Bathymetric Closures'!$A43,'Bathymetric Closures'!$AM$145:$AN$226,2,FALSE)),VLOOKUP('Bathymetric Closures'!$A43,'Bathymetric Closures'!$AM$145:$AN$226,2,FALSE)/100,0),IF(NOT(ISBLANK('User Interface (Start Here!)'!$N$14)),IF(ISNUMBER(VLOOKUP('Bathymetric Closures'!$A43,'Bathymetric Closures'!$AM$260:$AN$341,2,FALSE)),VLOOKUP('Bathymetric Closures'!$A43,'Bathymetric Closures'!$AM$260:$AN$341,2,FALSE)/100,0))))</f>
        <v>0.44683335055199996</v>
      </c>
      <c r="C43" s="204">
        <f>IF(NOT(ISBLANK('User Interface (Start Here!)'!$M$14)),VLOOKUP('Bathymetric Closures'!$A43,'Bathymetric Closures'!$AM$146:$AQ$201,5,FALSE),IF(NOT(ISBLANK('User Interface (Start Here!)'!$N$14)),VLOOKUP('Bathymetric Closures'!$A43,'Bathymetric Closures'!$AM$260:$AQ$330,5,FALSE),IF(OR('User Interface (Start Here!)'!$L$32="m",'User Interface (Start Here!)'!$L$32="M"),VLOOKUP('Bathymetric Closures'!$A43,'Bathymetric Closures'!$BH:$BL,4,FALSE),IF(OR('User Interface (Start Here!)'!$L$32="L",'User Interface (Start Here!)'!$L$32="l"),VLOOKUP('Bathymetric Closures'!$A43,'Bathymetric Closures'!$BH$1:$BL$56,5,FALSE),VLOOKUP('Bathymetric Closures'!$A43,'Bathymetric Closures'!$BH$1:$BL$56,3,FALSE)))))</f>
        <v>0.83794620265483277</v>
      </c>
      <c r="D43" s="204">
        <f t="shared" si="3"/>
        <v>0.16205379734516723</v>
      </c>
      <c r="F43" s="6"/>
      <c r="G43" s="6"/>
      <c r="H43" s="6"/>
      <c r="I43" s="6"/>
      <c r="J43" s="6"/>
      <c r="K43" s="6"/>
      <c r="L43" s="6"/>
      <c r="M43" s="6"/>
      <c r="N43" s="6"/>
      <c r="O43" s="6"/>
      <c r="P43" s="6"/>
      <c r="Q43" s="6"/>
      <c r="R43" s="320"/>
      <c r="S43" s="6"/>
      <c r="T43" s="6"/>
      <c r="U43" s="6"/>
      <c r="V43" s="6"/>
      <c r="W43" s="321"/>
      <c r="X43" s="6"/>
      <c r="Y43" s="6"/>
      <c r="Z43" s="6"/>
      <c r="AA43" s="322"/>
      <c r="AB43" s="322"/>
      <c r="AC43" s="322"/>
      <c r="AD43" s="322"/>
      <c r="AE43" s="8"/>
      <c r="AF43" s="380"/>
      <c r="AG43" s="380"/>
      <c r="AH43" s="380"/>
      <c r="AI43" s="380"/>
      <c r="AJ43" s="380"/>
      <c r="AK43" s="380"/>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6"/>
      <c r="BH43" s="296">
        <v>3379</v>
      </c>
      <c r="BI43" s="408">
        <v>0</v>
      </c>
      <c r="BJ43" s="408">
        <f t="shared" si="0"/>
        <v>0</v>
      </c>
      <c r="BK43" s="409">
        <f t="shared" si="1"/>
        <v>0</v>
      </c>
      <c r="BL43" s="409">
        <f t="shared" si="2"/>
        <v>0</v>
      </c>
      <c r="BM43" s="143"/>
      <c r="BN43" s="143"/>
      <c r="BO43" s="143"/>
      <c r="BP43" s="143"/>
      <c r="BQ43" s="143"/>
      <c r="BR43" s="143"/>
      <c r="BS43" s="143"/>
      <c r="BT43" s="143"/>
    </row>
    <row r="44" spans="1:72">
      <c r="A44" s="141">
        <v>3379</v>
      </c>
      <c r="B44" s="203">
        <f>IF(NOT(ISBLANK('User Interface (Start Here!)'!$L$14)),IF(ISNUMBER(VLOOKUP($A44,$R$2:$U$24,4,FALSE)),VLOOKUP($A44,$R$2:$U$24,4,FALSE),0),IF(NOT(ISBLANK('User Interface (Start Here!)'!$M$14)),IF(ISNUMBER(VLOOKUP('Bathymetric Closures'!$A44,'Bathymetric Closures'!$AM$145:$AN$226,2,FALSE)),VLOOKUP('Bathymetric Closures'!$A44,'Bathymetric Closures'!$AM$145:$AN$226,2,FALSE)/100,0),IF(NOT(ISBLANK('User Interface (Start Here!)'!$N$14)),IF(ISNUMBER(VLOOKUP('Bathymetric Closures'!$A44,'Bathymetric Closures'!$AM$260:$AN$341,2,FALSE)),VLOOKUP('Bathymetric Closures'!$A44,'Bathymetric Closures'!$AM$260:$AN$341,2,FALSE)/100,0))))</f>
        <v>0</v>
      </c>
      <c r="C44" s="204">
        <f>IF(NOT(ISBLANK('User Interface (Start Here!)'!$M$14)),VLOOKUP('Bathymetric Closures'!$A44,'Bathymetric Closures'!$AM$146:$AQ$201,5,FALSE),IF(NOT(ISBLANK('User Interface (Start Here!)'!$N$14)),VLOOKUP('Bathymetric Closures'!$A44,'Bathymetric Closures'!$AM$260:$AQ$330,5,FALSE),IF(OR('User Interface (Start Here!)'!$L$32="m",'User Interface (Start Here!)'!$L$32="M"),VLOOKUP('Bathymetric Closures'!$A44,'Bathymetric Closures'!$BH:$BL,4,FALSE),IF(OR('User Interface (Start Here!)'!$L$32="L",'User Interface (Start Here!)'!$L$32="l"),VLOOKUP('Bathymetric Closures'!$A44,'Bathymetric Closures'!$BH$1:$BL$56,5,FALSE),VLOOKUP('Bathymetric Closures'!$A44,'Bathymetric Closures'!$BH$1:$BL$56,3,FALSE)))))</f>
        <v>0</v>
      </c>
      <c r="D44" s="204">
        <f t="shared" si="3"/>
        <v>1</v>
      </c>
      <c r="F44" s="6"/>
      <c r="G44" s="6"/>
      <c r="H44" s="6"/>
      <c r="I44" s="6"/>
      <c r="J44" s="6"/>
      <c r="K44" s="6"/>
      <c r="L44" s="6"/>
      <c r="M44" s="6"/>
      <c r="N44" s="6"/>
      <c r="O44" s="6"/>
      <c r="P44" s="6"/>
      <c r="Q44" s="6"/>
      <c r="R44" s="320"/>
      <c r="S44" s="6"/>
      <c r="T44" s="6"/>
      <c r="U44" s="6"/>
      <c r="V44" s="6"/>
      <c r="W44" s="321"/>
      <c r="X44" s="6"/>
      <c r="Y44" s="6"/>
      <c r="Z44" s="6"/>
      <c r="AA44" s="322"/>
      <c r="AB44" s="322"/>
      <c r="AC44" s="322"/>
      <c r="AD44" s="322"/>
      <c r="AE44" s="8"/>
      <c r="AF44" s="380"/>
      <c r="AG44" s="380"/>
      <c r="AH44" s="380"/>
      <c r="AI44" s="380"/>
      <c r="AJ44" s="380"/>
      <c r="AK44" s="380"/>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6"/>
      <c r="BH44" s="296">
        <v>3470</v>
      </c>
      <c r="BI44" s="408">
        <v>0</v>
      </c>
      <c r="BJ44" s="408">
        <f t="shared" si="0"/>
        <v>0</v>
      </c>
      <c r="BK44" s="409">
        <f t="shared" si="1"/>
        <v>0</v>
      </c>
      <c r="BL44" s="409">
        <f t="shared" si="2"/>
        <v>0</v>
      </c>
      <c r="BM44" s="143"/>
      <c r="BN44" s="143"/>
      <c r="BO44" s="143"/>
      <c r="BP44" s="143"/>
      <c r="BQ44" s="143"/>
      <c r="BR44" s="143"/>
      <c r="BS44" s="143"/>
      <c r="BT44" s="143"/>
    </row>
    <row r="45" spans="1:72">
      <c r="A45" s="141">
        <v>3470</v>
      </c>
      <c r="B45" s="203">
        <f>IF(NOT(ISBLANK('User Interface (Start Here!)'!$L$14)),IF(ISNUMBER(VLOOKUP($A45,$R$2:$U$24,4,FALSE)),VLOOKUP($A45,$R$2:$U$24,4,FALSE),0),IF(NOT(ISBLANK('User Interface (Start Here!)'!$M$14)),IF(ISNUMBER(VLOOKUP('Bathymetric Closures'!$A45,'Bathymetric Closures'!$AM$145:$AN$226,2,FALSE)),VLOOKUP('Bathymetric Closures'!$A45,'Bathymetric Closures'!$AM$145:$AN$226,2,FALSE)/100,0),IF(NOT(ISBLANK('User Interface (Start Here!)'!$N$14)),IF(ISNUMBER(VLOOKUP('Bathymetric Closures'!$A45,'Bathymetric Closures'!$AM$260:$AN$341,2,FALSE)),VLOOKUP('Bathymetric Closures'!$A45,'Bathymetric Closures'!$AM$260:$AN$341,2,FALSE)/100,0))))</f>
        <v>0</v>
      </c>
      <c r="C45" s="204">
        <f>IF(NOT(ISBLANK('User Interface (Start Here!)'!$M$14)),VLOOKUP('Bathymetric Closures'!$A45,'Bathymetric Closures'!$AM$146:$AQ$201,5,FALSE),IF(NOT(ISBLANK('User Interface (Start Here!)'!$N$14)),VLOOKUP('Bathymetric Closures'!$A45,'Bathymetric Closures'!$AM$260:$AQ$330,5,FALSE),IF(OR('User Interface (Start Here!)'!$L$32="m",'User Interface (Start Here!)'!$L$32="M"),VLOOKUP('Bathymetric Closures'!$A45,'Bathymetric Closures'!$BH:$BL,4,FALSE),IF(OR('User Interface (Start Here!)'!$L$32="L",'User Interface (Start Here!)'!$L$32="l"),VLOOKUP('Bathymetric Closures'!$A45,'Bathymetric Closures'!$BH$1:$BL$56,5,FALSE),VLOOKUP('Bathymetric Closures'!$A45,'Bathymetric Closures'!$BH$1:$BL$56,3,FALSE)))))</f>
        <v>0</v>
      </c>
      <c r="D45" s="204">
        <f t="shared" si="3"/>
        <v>1</v>
      </c>
      <c r="F45" s="6"/>
      <c r="G45" s="6"/>
      <c r="H45" s="6"/>
      <c r="I45" s="6"/>
      <c r="J45" s="6"/>
      <c r="K45" s="6"/>
      <c r="L45" s="6"/>
      <c r="M45" s="6"/>
      <c r="N45" s="6"/>
      <c r="O45" s="6"/>
      <c r="P45" s="6"/>
      <c r="Q45" s="6"/>
      <c r="R45" s="320"/>
      <c r="S45" s="6"/>
      <c r="T45" s="6"/>
      <c r="U45" s="6"/>
      <c r="V45" s="6"/>
      <c r="W45" s="321"/>
      <c r="X45" s="6"/>
      <c r="Y45" s="6"/>
      <c r="Z45" s="6"/>
      <c r="AA45" s="322"/>
      <c r="AB45" s="322"/>
      <c r="AC45" s="322"/>
      <c r="AD45" s="322"/>
      <c r="AE45" s="8"/>
      <c r="AF45" s="380"/>
      <c r="AG45" s="380"/>
      <c r="AH45" s="380"/>
      <c r="AI45" s="380"/>
      <c r="AJ45" s="380"/>
      <c r="AK45" s="380"/>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6"/>
      <c r="BH45" s="296">
        <v>3472</v>
      </c>
      <c r="BI45" s="408">
        <v>0</v>
      </c>
      <c r="BJ45" s="408">
        <f t="shared" si="0"/>
        <v>0</v>
      </c>
      <c r="BK45" s="409">
        <f t="shared" si="1"/>
        <v>0</v>
      </c>
      <c r="BL45" s="409">
        <f t="shared" si="2"/>
        <v>0</v>
      </c>
      <c r="BM45" s="143"/>
      <c r="BN45" s="143"/>
      <c r="BO45" s="143"/>
      <c r="BP45" s="143"/>
      <c r="BQ45" s="143"/>
      <c r="BR45" s="143"/>
      <c r="BS45" s="143"/>
      <c r="BT45" s="143"/>
    </row>
    <row r="46" spans="1:72">
      <c r="A46" s="141">
        <v>3472</v>
      </c>
      <c r="B46" s="203">
        <f>IF(NOT(ISBLANK('User Interface (Start Here!)'!$L$14)),IF(ISNUMBER(VLOOKUP($A46,$R$2:$U$24,4,FALSE)),VLOOKUP($A46,$R$2:$U$24,4,FALSE),0),IF(NOT(ISBLANK('User Interface (Start Here!)'!$M$14)),IF(ISNUMBER(VLOOKUP('Bathymetric Closures'!$A46,'Bathymetric Closures'!$AM$145:$AN$226,2,FALSE)),VLOOKUP('Bathymetric Closures'!$A46,'Bathymetric Closures'!$AM$145:$AN$226,2,FALSE)/100,0),IF(NOT(ISBLANK('User Interface (Start Here!)'!$N$14)),IF(ISNUMBER(VLOOKUP('Bathymetric Closures'!$A46,'Bathymetric Closures'!$AM$260:$AN$341,2,FALSE)),VLOOKUP('Bathymetric Closures'!$A46,'Bathymetric Closures'!$AM$260:$AN$341,2,FALSE)/100,0))))</f>
        <v>0</v>
      </c>
      <c r="C46" s="204">
        <f>IF(NOT(ISBLANK('User Interface (Start Here!)'!$M$14)),VLOOKUP('Bathymetric Closures'!$A46,'Bathymetric Closures'!$AM$146:$AQ$201,5,FALSE),IF(NOT(ISBLANK('User Interface (Start Here!)'!$N$14)),VLOOKUP('Bathymetric Closures'!$A46,'Bathymetric Closures'!$AM$260:$AQ$330,5,FALSE),IF(OR('User Interface (Start Here!)'!$L$32="m",'User Interface (Start Here!)'!$L$32="M"),VLOOKUP('Bathymetric Closures'!$A46,'Bathymetric Closures'!$BH:$BL,4,FALSE),IF(OR('User Interface (Start Here!)'!$L$32="L",'User Interface (Start Here!)'!$L$32="l"),VLOOKUP('Bathymetric Closures'!$A46,'Bathymetric Closures'!$BH$1:$BL$56,5,FALSE),VLOOKUP('Bathymetric Closures'!$A46,'Bathymetric Closures'!$BH$1:$BL$56,3,FALSE)))))</f>
        <v>0</v>
      </c>
      <c r="D46" s="204">
        <f t="shared" si="3"/>
        <v>1</v>
      </c>
      <c r="F46" s="6"/>
      <c r="G46" s="6"/>
      <c r="H46" s="6"/>
      <c r="I46" s="6"/>
      <c r="J46" s="6"/>
      <c r="K46" s="6"/>
      <c r="L46" s="6"/>
      <c r="M46" s="6"/>
      <c r="N46" s="6"/>
      <c r="O46" s="6"/>
      <c r="P46" s="6"/>
      <c r="Q46" s="6"/>
      <c r="R46" s="320"/>
      <c r="S46" s="6"/>
      <c r="T46" s="6"/>
      <c r="U46" s="6"/>
      <c r="V46" s="6"/>
      <c r="W46" s="321"/>
      <c r="X46" s="6"/>
      <c r="Y46" s="6"/>
      <c r="Z46" s="6"/>
      <c r="AA46" s="322"/>
      <c r="AB46" s="322"/>
      <c r="AC46" s="322"/>
      <c r="AD46" s="322"/>
      <c r="AE46" s="8"/>
      <c r="AF46" s="380"/>
      <c r="AG46" s="380"/>
      <c r="AH46" s="380"/>
      <c r="AI46" s="380"/>
      <c r="AJ46" s="380"/>
      <c r="AK46" s="380"/>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6"/>
      <c r="BH46" s="296">
        <v>3473</v>
      </c>
      <c r="BI46" s="408">
        <v>0</v>
      </c>
      <c r="BJ46" s="408">
        <f t="shared" si="0"/>
        <v>0</v>
      </c>
      <c r="BK46" s="409">
        <f t="shared" si="1"/>
        <v>0</v>
      </c>
      <c r="BL46" s="409">
        <f t="shared" si="2"/>
        <v>0</v>
      </c>
      <c r="BM46" s="143"/>
      <c r="BN46" s="143"/>
      <c r="BO46" s="143"/>
      <c r="BP46" s="143"/>
      <c r="BQ46" s="143"/>
      <c r="BR46" s="143"/>
      <c r="BS46" s="143"/>
      <c r="BT46" s="143"/>
    </row>
    <row r="47" spans="1:72">
      <c r="A47" s="141">
        <v>3473</v>
      </c>
      <c r="B47" s="203">
        <f>IF(NOT(ISBLANK('User Interface (Start Here!)'!$L$14)),IF(ISNUMBER(VLOOKUP($A47,$R$2:$U$24,4,FALSE)),VLOOKUP($A47,$R$2:$U$24,4,FALSE),0),IF(NOT(ISBLANK('User Interface (Start Here!)'!$M$14)),IF(ISNUMBER(VLOOKUP('Bathymetric Closures'!$A47,'Bathymetric Closures'!$AM$145:$AN$226,2,FALSE)),VLOOKUP('Bathymetric Closures'!$A47,'Bathymetric Closures'!$AM$145:$AN$226,2,FALSE)/100,0),IF(NOT(ISBLANK('User Interface (Start Here!)'!$N$14)),IF(ISNUMBER(VLOOKUP('Bathymetric Closures'!$A47,'Bathymetric Closures'!$AM$260:$AN$341,2,FALSE)),VLOOKUP('Bathymetric Closures'!$A47,'Bathymetric Closures'!$AM$260:$AN$341,2,FALSE)/100,0))))</f>
        <v>0</v>
      </c>
      <c r="C47" s="204">
        <f>IF(NOT(ISBLANK('User Interface (Start Here!)'!$M$14)),VLOOKUP('Bathymetric Closures'!$A47,'Bathymetric Closures'!$AM$146:$AQ$201,5,FALSE),IF(NOT(ISBLANK('User Interface (Start Here!)'!$N$14)),VLOOKUP('Bathymetric Closures'!$A47,'Bathymetric Closures'!$AM$260:$AQ$330,5,FALSE),IF(OR('User Interface (Start Here!)'!$L$32="m",'User Interface (Start Here!)'!$L$32="M"),VLOOKUP('Bathymetric Closures'!$A47,'Bathymetric Closures'!$BH:$BL,4,FALSE),IF(OR('User Interface (Start Here!)'!$L$32="L",'User Interface (Start Here!)'!$L$32="l"),VLOOKUP('Bathymetric Closures'!$A47,'Bathymetric Closures'!$BH$1:$BL$56,5,FALSE),VLOOKUP('Bathymetric Closures'!$A47,'Bathymetric Closures'!$BH$1:$BL$56,3,FALSE)))))</f>
        <v>0</v>
      </c>
      <c r="D47" s="204">
        <f t="shared" si="3"/>
        <v>1</v>
      </c>
      <c r="F47" s="6"/>
      <c r="G47" s="6"/>
      <c r="H47" s="6"/>
      <c r="I47" s="6"/>
      <c r="J47" s="6"/>
      <c r="K47" s="6"/>
      <c r="L47" s="6"/>
      <c r="M47" s="6"/>
      <c r="N47" s="6"/>
      <c r="O47" s="6"/>
      <c r="P47" s="6"/>
      <c r="Q47" s="6"/>
      <c r="R47" s="320"/>
      <c r="S47" s="6"/>
      <c r="T47" s="6"/>
      <c r="U47" s="6"/>
      <c r="V47" s="6"/>
      <c r="W47" s="321"/>
      <c r="X47" s="6"/>
      <c r="Y47" s="6"/>
      <c r="Z47" s="6"/>
      <c r="AA47" s="8"/>
      <c r="AB47" s="8"/>
      <c r="AC47" s="8"/>
      <c r="AD47" s="8"/>
      <c r="AE47" s="8"/>
      <c r="AF47" s="380"/>
      <c r="AG47" s="380"/>
      <c r="AH47" s="380"/>
      <c r="AI47" s="380"/>
      <c r="AJ47" s="380"/>
      <c r="AK47" s="380"/>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6"/>
      <c r="BH47" s="296">
        <v>3474</v>
      </c>
      <c r="BI47" s="408">
        <v>0</v>
      </c>
      <c r="BJ47" s="408">
        <f t="shared" si="0"/>
        <v>0</v>
      </c>
      <c r="BK47" s="409">
        <f t="shared" si="1"/>
        <v>0</v>
      </c>
      <c r="BL47" s="409">
        <f t="shared" si="2"/>
        <v>0</v>
      </c>
      <c r="BM47" s="143"/>
      <c r="BN47" s="143"/>
      <c r="BO47" s="143"/>
      <c r="BP47" s="143"/>
      <c r="BQ47" s="143"/>
      <c r="BR47" s="143"/>
      <c r="BS47" s="143"/>
      <c r="BT47" s="143"/>
    </row>
    <row r="48" spans="1:72">
      <c r="A48" s="141">
        <v>3474</v>
      </c>
      <c r="B48" s="203">
        <f>IF(NOT(ISBLANK('User Interface (Start Here!)'!$L$14)),IF(ISNUMBER(VLOOKUP($A48,$R$2:$U$24,4,FALSE)),VLOOKUP($A48,$R$2:$U$24,4,FALSE),0),IF(NOT(ISBLANK('User Interface (Start Here!)'!$M$14)),IF(ISNUMBER(VLOOKUP('Bathymetric Closures'!$A48,'Bathymetric Closures'!$AM$145:$AN$226,2,FALSE)),VLOOKUP('Bathymetric Closures'!$A48,'Bathymetric Closures'!$AM$145:$AN$226,2,FALSE)/100,0),IF(NOT(ISBLANK('User Interface (Start Here!)'!$N$14)),IF(ISNUMBER(VLOOKUP('Bathymetric Closures'!$A48,'Bathymetric Closures'!$AM$260:$AN$341,2,FALSE)),VLOOKUP('Bathymetric Closures'!$A48,'Bathymetric Closures'!$AM$260:$AN$341,2,FALSE)/100,0))))</f>
        <v>0</v>
      </c>
      <c r="C48" s="204">
        <f>IF(NOT(ISBLANK('User Interface (Start Here!)'!$M$14)),VLOOKUP('Bathymetric Closures'!$A48,'Bathymetric Closures'!$AM$146:$AQ$201,5,FALSE),IF(NOT(ISBLANK('User Interface (Start Here!)'!$N$14)),VLOOKUP('Bathymetric Closures'!$A48,'Bathymetric Closures'!$AM$260:$AQ$330,5,FALSE),IF(OR('User Interface (Start Here!)'!$L$32="m",'User Interface (Start Here!)'!$L$32="M"),VLOOKUP('Bathymetric Closures'!$A48,'Bathymetric Closures'!$BH:$BL,4,FALSE),IF(OR('User Interface (Start Here!)'!$L$32="L",'User Interface (Start Here!)'!$L$32="l"),VLOOKUP('Bathymetric Closures'!$A48,'Bathymetric Closures'!$BH$1:$BL$56,5,FALSE),VLOOKUP('Bathymetric Closures'!$A48,'Bathymetric Closures'!$BH$1:$BL$56,3,FALSE)))))</f>
        <v>0</v>
      </c>
      <c r="D48" s="204">
        <f t="shared" si="3"/>
        <v>1</v>
      </c>
      <c r="F48" s="6"/>
      <c r="G48" s="6"/>
      <c r="H48" s="6"/>
      <c r="I48" s="6"/>
      <c r="J48" s="6"/>
      <c r="K48" s="6"/>
      <c r="L48" s="6"/>
      <c r="M48" s="6"/>
      <c r="N48" s="6"/>
      <c r="O48" s="6"/>
      <c r="P48" s="6"/>
      <c r="Q48" s="6"/>
      <c r="R48" s="320"/>
      <c r="S48" s="6"/>
      <c r="T48" s="6"/>
      <c r="U48" s="6"/>
      <c r="V48" s="6"/>
      <c r="W48" s="321"/>
      <c r="X48" s="6"/>
      <c r="Y48" s="6"/>
      <c r="Z48" s="6"/>
      <c r="AA48" s="8"/>
      <c r="AB48" s="8"/>
      <c r="AC48" s="8"/>
      <c r="AD48" s="8"/>
      <c r="AE48" s="8"/>
      <c r="AF48" s="380"/>
      <c r="AG48" s="380"/>
      <c r="AH48" s="380"/>
      <c r="AI48" s="380"/>
      <c r="AJ48" s="380"/>
      <c r="AK48" s="380"/>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6"/>
      <c r="BH48" s="296">
        <v>3475</v>
      </c>
      <c r="BI48" s="408">
        <v>0.32881817481697612</v>
      </c>
      <c r="BJ48" s="408">
        <f t="shared" si="0"/>
        <v>0.32881817481697612</v>
      </c>
      <c r="BK48" s="409">
        <f t="shared" si="1"/>
        <v>0.88631548044664554</v>
      </c>
      <c r="BL48" s="409">
        <f t="shared" si="2"/>
        <v>0.82285714285714284</v>
      </c>
      <c r="BM48" s="143"/>
      <c r="BN48" s="143"/>
      <c r="BO48" s="143"/>
      <c r="BP48" s="143"/>
      <c r="BQ48" s="143"/>
      <c r="BR48" s="143"/>
      <c r="BS48" s="143"/>
      <c r="BT48" s="143"/>
    </row>
    <row r="49" spans="1:72">
      <c r="A49" s="141">
        <v>3475</v>
      </c>
      <c r="B49" s="203">
        <f>IF(NOT(ISBLANK('User Interface (Start Here!)'!$L$14)),IF(ISNUMBER(VLOOKUP($A49,$R$2:$U$24,4,FALSE)),VLOOKUP($A49,$R$2:$U$24,4,FALSE),0),IF(NOT(ISBLANK('User Interface (Start Here!)'!$M$14)),IF(ISNUMBER(VLOOKUP('Bathymetric Closures'!$A49,'Bathymetric Closures'!$AM$145:$AN$226,2,FALSE)),VLOOKUP('Bathymetric Closures'!$A49,'Bathymetric Closures'!$AM$145:$AN$226,2,FALSE)/100,0),IF(NOT(ISBLANK('User Interface (Start Here!)'!$N$14)),IF(ISNUMBER(VLOOKUP('Bathymetric Closures'!$A49,'Bathymetric Closures'!$AM$260:$AN$341,2,FALSE)),VLOOKUP('Bathymetric Closures'!$A49,'Bathymetric Closures'!$AM$260:$AN$341,2,FALSE)/100,0))))</f>
        <v>0.21541446271600001</v>
      </c>
      <c r="C49" s="204">
        <f>IF(NOT(ISBLANK('User Interface (Start Here!)'!$M$14)),VLOOKUP('Bathymetric Closures'!$A49,'Bathymetric Closures'!$AM$146:$AQ$201,5,FALSE),IF(NOT(ISBLANK('User Interface (Start Here!)'!$N$14)),VLOOKUP('Bathymetric Closures'!$A49,'Bathymetric Closures'!$AM$260:$AQ$330,5,FALSE),IF(OR('User Interface (Start Here!)'!$L$32="m",'User Interface (Start Here!)'!$L$32="M"),VLOOKUP('Bathymetric Closures'!$A49,'Bathymetric Closures'!$BH:$BL,4,FALSE),IF(OR('User Interface (Start Here!)'!$L$32="L",'User Interface (Start Here!)'!$L$32="l"),VLOOKUP('Bathymetric Closures'!$A49,'Bathymetric Closures'!$BH$1:$BL$56,5,FALSE),VLOOKUP('Bathymetric Closures'!$A49,'Bathymetric Closures'!$BH$1:$BL$56,3,FALSE)))))</f>
        <v>0.82285714285714273</v>
      </c>
      <c r="D49" s="204">
        <f t="shared" si="3"/>
        <v>0.17714285714285727</v>
      </c>
      <c r="F49" s="6"/>
      <c r="G49" s="6"/>
      <c r="H49" s="6"/>
      <c r="I49" s="6"/>
      <c r="J49" s="6"/>
      <c r="K49" s="6"/>
      <c r="L49" s="6"/>
      <c r="M49" s="6"/>
      <c r="N49" s="6"/>
      <c r="O49" s="6"/>
      <c r="P49" s="6"/>
      <c r="Q49" s="6"/>
      <c r="R49" s="320"/>
      <c r="S49" s="6"/>
      <c r="T49" s="6"/>
      <c r="U49" s="6"/>
      <c r="V49" s="6"/>
      <c r="W49" s="321"/>
      <c r="X49" s="6"/>
      <c r="Y49" s="6"/>
      <c r="Z49" s="6"/>
      <c r="AA49" s="8"/>
      <c r="AB49" s="8"/>
      <c r="AC49" s="8"/>
      <c r="AD49" s="8"/>
      <c r="AE49" s="8"/>
      <c r="AF49" s="380"/>
      <c r="AG49" s="380"/>
      <c r="AH49" s="380"/>
      <c r="AI49" s="380"/>
      <c r="AJ49" s="380"/>
      <c r="AK49" s="380"/>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6"/>
      <c r="BH49" s="296">
        <v>3476</v>
      </c>
      <c r="BI49" s="408">
        <v>0.58396245721472029</v>
      </c>
      <c r="BJ49" s="408">
        <f t="shared" si="0"/>
        <v>0.58396245721472029</v>
      </c>
      <c r="BK49" s="409">
        <f t="shared" si="1"/>
        <v>0.9362982453683637</v>
      </c>
      <c r="BL49" s="409">
        <f t="shared" si="2"/>
        <v>0.8137448235062118</v>
      </c>
      <c r="BM49" s="143"/>
      <c r="BN49" s="143"/>
      <c r="BO49" s="143"/>
      <c r="BP49" s="143"/>
      <c r="BQ49" s="143"/>
      <c r="BR49" s="143"/>
      <c r="BS49" s="143"/>
      <c r="BT49" s="143"/>
    </row>
    <row r="50" spans="1:72">
      <c r="A50" s="141">
        <v>3476</v>
      </c>
      <c r="B50" s="203">
        <f>IF(NOT(ISBLANK('User Interface (Start Here!)'!$L$14)),IF(ISNUMBER(VLOOKUP($A50,$R$2:$U$24,4,FALSE)),VLOOKUP($A50,$R$2:$U$24,4,FALSE),0),IF(NOT(ISBLANK('User Interface (Start Here!)'!$M$14)),IF(ISNUMBER(VLOOKUP('Bathymetric Closures'!$A50,'Bathymetric Closures'!$AM$145:$AN$226,2,FALSE)),VLOOKUP('Bathymetric Closures'!$A50,'Bathymetric Closures'!$AM$145:$AN$226,2,FALSE)/100,0),IF(NOT(ISBLANK('User Interface (Start Here!)'!$N$14)),IF(ISNUMBER(VLOOKUP('Bathymetric Closures'!$A50,'Bathymetric Closures'!$AM$260:$AN$341,2,FALSE)),VLOOKUP('Bathymetric Closures'!$A50,'Bathymetric Closures'!$AM$260:$AN$341,2,FALSE)/100,0))))</f>
        <v>0.67135409467900009</v>
      </c>
      <c r="C50" s="204">
        <f>IF(NOT(ISBLANK('User Interface (Start Here!)'!$M$14)),VLOOKUP('Bathymetric Closures'!$A50,'Bathymetric Closures'!$AM$146:$AQ$201,5,FALSE),IF(NOT(ISBLANK('User Interface (Start Here!)'!$N$14)),VLOOKUP('Bathymetric Closures'!$A50,'Bathymetric Closures'!$AM$260:$AQ$330,5,FALSE),IF(OR('User Interface (Start Here!)'!$L$32="m",'User Interface (Start Here!)'!$L$32="M"),VLOOKUP('Bathymetric Closures'!$A50,'Bathymetric Closures'!$BH:$BL,4,FALSE),IF(OR('User Interface (Start Here!)'!$L$32="L",'User Interface (Start Here!)'!$L$32="l"),VLOOKUP('Bathymetric Closures'!$A50,'Bathymetric Closures'!$BH$1:$BL$56,5,FALSE),VLOOKUP('Bathymetric Closures'!$A50,'Bathymetric Closures'!$BH$1:$BL$56,3,FALSE)))))</f>
        <v>0.85780495020214975</v>
      </c>
      <c r="D50" s="204">
        <f t="shared" si="3"/>
        <v>0.14219504979785025</v>
      </c>
      <c r="F50" s="6"/>
      <c r="G50" s="6"/>
      <c r="H50" s="6"/>
      <c r="I50" s="6"/>
      <c r="J50" s="6"/>
      <c r="K50" s="6"/>
      <c r="L50" s="6"/>
      <c r="M50" s="6"/>
      <c r="N50" s="6"/>
      <c r="O50" s="6"/>
      <c r="P50" s="6"/>
      <c r="Q50" s="6"/>
      <c r="R50" s="320"/>
      <c r="S50" s="6"/>
      <c r="T50" s="6"/>
      <c r="U50" s="6"/>
      <c r="V50" s="6"/>
      <c r="W50" s="321"/>
      <c r="X50" s="6"/>
      <c r="Y50" s="6"/>
      <c r="Z50" s="6"/>
      <c r="AA50" s="8"/>
      <c r="AB50" s="8"/>
      <c r="AC50" s="8"/>
      <c r="AD50" s="8"/>
      <c r="AE50" s="8"/>
      <c r="AF50" s="380"/>
      <c r="AG50" s="380"/>
      <c r="AH50" s="380"/>
      <c r="AI50" s="380"/>
      <c r="AJ50" s="380"/>
      <c r="AK50" s="380"/>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6"/>
      <c r="BH50" s="296">
        <v>3477</v>
      </c>
      <c r="BI50" s="408">
        <v>0.16587714108589266</v>
      </c>
      <c r="BJ50" s="408">
        <f t="shared" si="0"/>
        <v>0.16587714108589266</v>
      </c>
      <c r="BK50" s="409">
        <f t="shared" si="1"/>
        <v>0.8543953319387263</v>
      </c>
      <c r="BL50" s="409">
        <f t="shared" si="2"/>
        <v>0.83993576017130622</v>
      </c>
      <c r="BM50" s="143"/>
      <c r="BN50" s="143"/>
      <c r="BO50" s="143"/>
      <c r="BP50" s="143"/>
      <c r="BQ50" s="143"/>
      <c r="BR50" s="143"/>
      <c r="BS50" s="143"/>
      <c r="BT50" s="143"/>
    </row>
    <row r="51" spans="1:72">
      <c r="A51" s="141">
        <v>3477</v>
      </c>
      <c r="B51" s="203">
        <f>IF(NOT(ISBLANK('User Interface (Start Here!)'!$L$14)),IF(ISNUMBER(VLOOKUP($A51,$R$2:$U$24,4,FALSE)),VLOOKUP($A51,$R$2:$U$24,4,FALSE),0),IF(NOT(ISBLANK('User Interface (Start Here!)'!$M$14)),IF(ISNUMBER(VLOOKUP('Bathymetric Closures'!$A51,'Bathymetric Closures'!$AM$145:$AN$226,2,FALSE)),VLOOKUP('Bathymetric Closures'!$A51,'Bathymetric Closures'!$AM$145:$AN$226,2,FALSE)/100,0),IF(NOT(ISBLANK('User Interface (Start Here!)'!$N$14)),IF(ISNUMBER(VLOOKUP('Bathymetric Closures'!$A51,'Bathymetric Closures'!$AM$260:$AN$341,2,FALSE)),VLOOKUP('Bathymetric Closures'!$A51,'Bathymetric Closures'!$AM$260:$AN$341,2,FALSE)/100,0))))</f>
        <v>0.40185779608600003</v>
      </c>
      <c r="C51" s="204">
        <f>IF(NOT(ISBLANK('User Interface (Start Here!)'!$M$14)),VLOOKUP('Bathymetric Closures'!$A51,'Bathymetric Closures'!$AM$146:$AQ$201,5,FALSE),IF(NOT(ISBLANK('User Interface (Start Here!)'!$N$14)),VLOOKUP('Bathymetric Closures'!$A51,'Bathymetric Closures'!$AM$260:$AQ$330,5,FALSE),IF(OR('User Interface (Start Here!)'!$L$32="m",'User Interface (Start Here!)'!$L$32="M"),VLOOKUP('Bathymetric Closures'!$A51,'Bathymetric Closures'!$BH:$BL,4,FALSE),IF(OR('User Interface (Start Here!)'!$L$32="L",'User Interface (Start Here!)'!$L$32="l"),VLOOKUP('Bathymetric Closures'!$A51,'Bathymetric Closures'!$BH$1:$BL$56,5,FALSE),VLOOKUP('Bathymetric Closures'!$A51,'Bathymetric Closures'!$BH$1:$BL$56,3,FALSE)))))</f>
        <v>0.91697911087305839</v>
      </c>
      <c r="D51" s="204">
        <f t="shared" si="3"/>
        <v>8.302088912694161E-2</v>
      </c>
      <c r="F51" s="6"/>
      <c r="G51" s="6"/>
      <c r="H51" s="6"/>
      <c r="I51" s="6"/>
      <c r="J51" s="6"/>
      <c r="K51" s="6"/>
      <c r="L51" s="6"/>
      <c r="M51" s="6"/>
      <c r="N51" s="6"/>
      <c r="O51" s="6"/>
      <c r="P51" s="6"/>
      <c r="Q51" s="6"/>
      <c r="R51" s="320"/>
      <c r="S51" s="6"/>
      <c r="T51" s="6"/>
      <c r="U51" s="6"/>
      <c r="V51" s="6"/>
      <c r="W51" s="321"/>
      <c r="X51" s="6"/>
      <c r="Y51" s="6"/>
      <c r="Z51" s="6"/>
      <c r="AA51" s="8"/>
      <c r="AB51" s="8"/>
      <c r="AC51" s="8"/>
      <c r="AD51" s="8"/>
      <c r="AE51" s="8"/>
      <c r="AF51" s="380"/>
      <c r="AG51" s="380"/>
      <c r="AH51" s="380"/>
      <c r="AI51" s="380"/>
      <c r="AJ51" s="380"/>
      <c r="AK51" s="380"/>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6"/>
      <c r="BH51" s="296">
        <v>3572</v>
      </c>
      <c r="BI51" s="408">
        <v>0</v>
      </c>
      <c r="BJ51" s="408">
        <f t="shared" si="0"/>
        <v>0</v>
      </c>
      <c r="BK51" s="409">
        <f t="shared" si="1"/>
        <v>0</v>
      </c>
      <c r="BL51" s="409">
        <f t="shared" si="2"/>
        <v>0</v>
      </c>
      <c r="BM51" s="143"/>
      <c r="BN51" s="143"/>
      <c r="BO51" s="143"/>
      <c r="BP51" s="143"/>
      <c r="BQ51" s="143"/>
      <c r="BR51" s="143"/>
      <c r="BS51" s="143"/>
      <c r="BT51" s="143"/>
    </row>
    <row r="52" spans="1:72">
      <c r="A52" s="141">
        <v>3572</v>
      </c>
      <c r="B52" s="203">
        <f>IF(NOT(ISBLANK('User Interface (Start Here!)'!$L$14)),IF(ISNUMBER(VLOOKUP($A52,$R$2:$U$24,4,FALSE)),VLOOKUP($A52,$R$2:$U$24,4,FALSE),0),IF(NOT(ISBLANK('User Interface (Start Here!)'!$M$14)),IF(ISNUMBER(VLOOKUP('Bathymetric Closures'!$A52,'Bathymetric Closures'!$AM$145:$AN$226,2,FALSE)),VLOOKUP('Bathymetric Closures'!$A52,'Bathymetric Closures'!$AM$145:$AN$226,2,FALSE)/100,0),IF(NOT(ISBLANK('User Interface (Start Here!)'!$N$14)),IF(ISNUMBER(VLOOKUP('Bathymetric Closures'!$A52,'Bathymetric Closures'!$AM$260:$AN$341,2,FALSE)),VLOOKUP('Bathymetric Closures'!$A52,'Bathymetric Closures'!$AM$260:$AN$341,2,FALSE)/100,0))))</f>
        <v>0</v>
      </c>
      <c r="C52" s="204">
        <f>IF(NOT(ISBLANK('User Interface (Start Here!)'!$M$14)),VLOOKUP('Bathymetric Closures'!$A52,'Bathymetric Closures'!$AM$146:$AQ$201,5,FALSE),IF(NOT(ISBLANK('User Interface (Start Here!)'!$N$14)),VLOOKUP('Bathymetric Closures'!$A52,'Bathymetric Closures'!$AM$260:$AQ$330,5,FALSE),IF(OR('User Interface (Start Here!)'!$L$32="m",'User Interface (Start Here!)'!$L$32="M"),VLOOKUP('Bathymetric Closures'!$A52,'Bathymetric Closures'!$BH:$BL,4,FALSE),IF(OR('User Interface (Start Here!)'!$L$32="L",'User Interface (Start Here!)'!$L$32="l"),VLOOKUP('Bathymetric Closures'!$A52,'Bathymetric Closures'!$BH$1:$BL$56,5,FALSE),VLOOKUP('Bathymetric Closures'!$A52,'Bathymetric Closures'!$BH$1:$BL$56,3,FALSE)))))</f>
        <v>0</v>
      </c>
      <c r="D52" s="204">
        <f t="shared" si="3"/>
        <v>1</v>
      </c>
      <c r="F52" s="6"/>
      <c r="G52" s="6"/>
      <c r="H52" s="6"/>
      <c r="I52" s="6"/>
      <c r="J52" s="6"/>
      <c r="K52" s="6"/>
      <c r="L52" s="6"/>
      <c r="M52" s="6"/>
      <c r="N52" s="6"/>
      <c r="O52" s="6"/>
      <c r="P52" s="6"/>
      <c r="Q52" s="6"/>
      <c r="R52" s="320"/>
      <c r="S52" s="6"/>
      <c r="T52" s="6"/>
      <c r="U52" s="6"/>
      <c r="V52" s="6"/>
      <c r="W52" s="321"/>
      <c r="X52" s="6"/>
      <c r="Y52" s="6"/>
      <c r="Z52" s="6"/>
      <c r="AA52" s="8"/>
      <c r="AB52" s="8"/>
      <c r="AC52" s="8"/>
      <c r="AD52" s="8"/>
      <c r="AE52" s="8"/>
      <c r="AF52" s="380"/>
      <c r="AG52" s="380"/>
      <c r="AH52" s="380"/>
      <c r="AI52" s="380"/>
      <c r="AJ52" s="380"/>
      <c r="AK52" s="380"/>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6"/>
      <c r="BH52" s="296">
        <v>3573</v>
      </c>
      <c r="BI52" s="408">
        <v>0</v>
      </c>
      <c r="BJ52" s="408">
        <f t="shared" si="0"/>
        <v>0</v>
      </c>
      <c r="BK52" s="409">
        <f t="shared" si="1"/>
        <v>0</v>
      </c>
      <c r="BL52" s="409">
        <f t="shared" si="2"/>
        <v>0</v>
      </c>
      <c r="BM52" s="143"/>
      <c r="BN52" s="143"/>
      <c r="BO52" s="143"/>
      <c r="BP52" s="143"/>
      <c r="BQ52" s="143"/>
      <c r="BR52" s="143"/>
      <c r="BS52" s="143"/>
      <c r="BT52" s="143"/>
    </row>
    <row r="53" spans="1:72">
      <c r="A53" s="141">
        <v>3573</v>
      </c>
      <c r="B53" s="203">
        <f>IF(NOT(ISBLANK('User Interface (Start Here!)'!$L$14)),IF(ISNUMBER(VLOOKUP($A53,$R$2:$U$24,4,FALSE)),VLOOKUP($A53,$R$2:$U$24,4,FALSE),0),IF(NOT(ISBLANK('User Interface (Start Here!)'!$M$14)),IF(ISNUMBER(VLOOKUP('Bathymetric Closures'!$A53,'Bathymetric Closures'!$AM$145:$AN$226,2,FALSE)),VLOOKUP('Bathymetric Closures'!$A53,'Bathymetric Closures'!$AM$145:$AN$226,2,FALSE)/100,0),IF(NOT(ISBLANK('User Interface (Start Here!)'!$N$14)),IF(ISNUMBER(VLOOKUP('Bathymetric Closures'!$A53,'Bathymetric Closures'!$AM$260:$AN$341,2,FALSE)),VLOOKUP('Bathymetric Closures'!$A53,'Bathymetric Closures'!$AM$260:$AN$341,2,FALSE)/100,0))))</f>
        <v>0</v>
      </c>
      <c r="C53" s="204">
        <f>IF(NOT(ISBLANK('User Interface (Start Here!)'!$M$14)),VLOOKUP('Bathymetric Closures'!$A53,'Bathymetric Closures'!$AM$146:$AQ$201,5,FALSE),IF(NOT(ISBLANK('User Interface (Start Here!)'!$N$14)),VLOOKUP('Bathymetric Closures'!$A53,'Bathymetric Closures'!$AM$260:$AQ$330,5,FALSE),IF(OR('User Interface (Start Here!)'!$L$32="m",'User Interface (Start Here!)'!$L$32="M"),VLOOKUP('Bathymetric Closures'!$A53,'Bathymetric Closures'!$BH:$BL,4,FALSE),IF(OR('User Interface (Start Here!)'!$L$32="L",'User Interface (Start Here!)'!$L$32="l"),VLOOKUP('Bathymetric Closures'!$A53,'Bathymetric Closures'!$BH$1:$BL$56,5,FALSE),VLOOKUP('Bathymetric Closures'!$A53,'Bathymetric Closures'!$BH$1:$BL$56,3,FALSE)))))</f>
        <v>0</v>
      </c>
      <c r="D53" s="204">
        <f t="shared" si="3"/>
        <v>1</v>
      </c>
      <c r="F53" s="6"/>
      <c r="G53" s="6"/>
      <c r="H53" s="6"/>
      <c r="I53" s="6"/>
      <c r="J53" s="6"/>
      <c r="K53" s="6"/>
      <c r="L53" s="6"/>
      <c r="M53" s="6"/>
      <c r="N53" s="6"/>
      <c r="O53" s="6"/>
      <c r="P53" s="6"/>
      <c r="Q53" s="6"/>
      <c r="R53" s="320"/>
      <c r="S53" s="6"/>
      <c r="T53" s="6"/>
      <c r="U53" s="6"/>
      <c r="V53" s="6"/>
      <c r="W53" s="321"/>
      <c r="X53" s="6"/>
      <c r="Y53" s="6"/>
      <c r="Z53" s="6"/>
      <c r="AA53" s="8"/>
      <c r="AB53" s="8"/>
      <c r="AC53" s="8"/>
      <c r="AD53" s="8"/>
      <c r="AE53" s="8"/>
      <c r="AF53" s="380"/>
      <c r="AG53" s="380"/>
      <c r="AH53" s="380"/>
      <c r="AI53" s="380"/>
      <c r="AJ53" s="380"/>
      <c r="AK53" s="380"/>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6"/>
      <c r="BH53" s="296">
        <v>3574</v>
      </c>
      <c r="BI53" s="408">
        <v>0.22234031836809168</v>
      </c>
      <c r="BJ53" s="408">
        <f t="shared" si="0"/>
        <v>0.22234031836809168</v>
      </c>
      <c r="BK53" s="409">
        <f t="shared" si="1"/>
        <v>0.86545646836830914</v>
      </c>
      <c r="BL53" s="409">
        <f t="shared" si="2"/>
        <v>0.62694243301984753</v>
      </c>
      <c r="BM53" s="143"/>
      <c r="BN53" s="143"/>
      <c r="BO53" s="143"/>
      <c r="BP53" s="143"/>
      <c r="BQ53" s="143"/>
      <c r="BR53" s="143"/>
      <c r="BS53" s="143"/>
      <c r="BT53" s="143"/>
    </row>
    <row r="54" spans="1:72">
      <c r="A54" s="141">
        <v>3574</v>
      </c>
      <c r="B54" s="203">
        <f>IF(NOT(ISBLANK('User Interface (Start Here!)'!$L$14)),IF(ISNUMBER(VLOOKUP($A54,$R$2:$U$24,4,FALSE)),VLOOKUP($A54,$R$2:$U$24,4,FALSE),0),IF(NOT(ISBLANK('User Interface (Start Here!)'!$M$14)),IF(ISNUMBER(VLOOKUP('Bathymetric Closures'!$A54,'Bathymetric Closures'!$AM$145:$AN$226,2,FALSE)),VLOOKUP('Bathymetric Closures'!$A54,'Bathymetric Closures'!$AM$145:$AN$226,2,FALSE)/100,0),IF(NOT(ISBLANK('User Interface (Start Here!)'!$N$14)),IF(ISNUMBER(VLOOKUP('Bathymetric Closures'!$A54,'Bathymetric Closures'!$AM$260:$AN$341,2,FALSE)),VLOOKUP('Bathymetric Closures'!$A54,'Bathymetric Closures'!$AM$260:$AN$341,2,FALSE)/100,0))))</f>
        <v>7.3985120233700005E-2</v>
      </c>
      <c r="C54" s="204">
        <f>IF(NOT(ISBLANK('User Interface (Start Here!)'!$M$14)),VLOOKUP('Bathymetric Closures'!$A54,'Bathymetric Closures'!$AM$146:$AQ$201,5,FALSE),IF(NOT(ISBLANK('User Interface (Start Here!)'!$N$14)),VLOOKUP('Bathymetric Closures'!$A54,'Bathymetric Closures'!$AM$260:$AQ$330,5,FALSE),IF(OR('User Interface (Start Here!)'!$L$32="m",'User Interface (Start Here!)'!$L$32="M"),VLOOKUP('Bathymetric Closures'!$A54,'Bathymetric Closures'!$BH:$BL,4,FALSE),IF(OR('User Interface (Start Here!)'!$L$32="L",'User Interface (Start Here!)'!$L$32="l"),VLOOKUP('Bathymetric Closures'!$A54,'Bathymetric Closures'!$BH$1:$BL$56,5,FALSE),VLOOKUP('Bathymetric Closures'!$A54,'Bathymetric Closures'!$BH$1:$BL$56,3,FALSE)))))</f>
        <v>0.63195776309280327</v>
      </c>
      <c r="D54" s="204">
        <f t="shared" si="3"/>
        <v>0.36804223690719673</v>
      </c>
      <c r="F54" s="6"/>
      <c r="G54" s="6"/>
      <c r="H54" s="6"/>
      <c r="I54" s="6"/>
      <c r="J54" s="6"/>
      <c r="K54" s="6"/>
      <c r="L54" s="6"/>
      <c r="M54" s="6"/>
      <c r="N54" s="6"/>
      <c r="O54" s="6"/>
      <c r="P54" s="6"/>
      <c r="Q54" s="6"/>
      <c r="R54" s="320"/>
      <c r="S54" s="6"/>
      <c r="T54" s="6"/>
      <c r="U54" s="6"/>
      <c r="V54" s="6"/>
      <c r="W54" s="321"/>
      <c r="X54" s="6"/>
      <c r="Y54" s="6"/>
      <c r="Z54" s="6"/>
      <c r="AA54" s="8"/>
      <c r="AB54" s="8"/>
      <c r="AC54" s="8"/>
      <c r="AD54" s="8"/>
      <c r="AE54" s="8"/>
      <c r="AF54" s="380"/>
      <c r="AG54" s="380"/>
      <c r="AH54" s="380"/>
      <c r="AI54" s="380"/>
      <c r="AJ54" s="380"/>
      <c r="AK54" s="380"/>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6"/>
      <c r="BH54" s="296">
        <v>3575</v>
      </c>
      <c r="BI54" s="408">
        <v>0.61973887850640819</v>
      </c>
      <c r="BJ54" s="408">
        <f t="shared" si="0"/>
        <v>0.61973887850640819</v>
      </c>
      <c r="BK54" s="409">
        <f t="shared" si="1"/>
        <v>0.94330684629940531</v>
      </c>
      <c r="BL54" s="409">
        <f t="shared" si="2"/>
        <v>0.90460526315789469</v>
      </c>
      <c r="BM54" s="143"/>
      <c r="BN54" s="143"/>
      <c r="BO54" s="143"/>
      <c r="BP54" s="143"/>
      <c r="BQ54" s="143"/>
      <c r="BR54" s="143"/>
      <c r="BS54" s="143"/>
      <c r="BT54" s="143"/>
    </row>
    <row r="55" spans="1:72">
      <c r="A55" s="141">
        <v>3575</v>
      </c>
      <c r="B55" s="203">
        <f>IF(NOT(ISBLANK('User Interface (Start Here!)'!$L$14)),IF(ISNUMBER(VLOOKUP($A55,$R$2:$U$24,4,FALSE)),VLOOKUP($A55,$R$2:$U$24,4,FALSE),0),IF(NOT(ISBLANK('User Interface (Start Here!)'!$M$14)),IF(ISNUMBER(VLOOKUP('Bathymetric Closures'!$A55,'Bathymetric Closures'!$AM$145:$AN$226,2,FALSE)),VLOOKUP('Bathymetric Closures'!$A55,'Bathymetric Closures'!$AM$145:$AN$226,2,FALSE)/100,0),IF(NOT(ISBLANK('User Interface (Start Here!)'!$N$14)),IF(ISNUMBER(VLOOKUP('Bathymetric Closures'!$A55,'Bathymetric Closures'!$AM$260:$AN$341,2,FALSE)),VLOOKUP('Bathymetric Closures'!$A55,'Bathymetric Closures'!$AM$260:$AN$341,2,FALSE)/100,0))))</f>
        <v>0.67845748989300003</v>
      </c>
      <c r="C55" s="204">
        <f>IF(NOT(ISBLANK('User Interface (Start Here!)'!$M$14)),VLOOKUP('Bathymetric Closures'!$A55,'Bathymetric Closures'!$AM$146:$AQ$201,5,FALSE),IF(NOT(ISBLANK('User Interface (Start Here!)'!$N$14)),VLOOKUP('Bathymetric Closures'!$A55,'Bathymetric Closures'!$AM$260:$AQ$330,5,FALSE),IF(OR('User Interface (Start Here!)'!$L$32="m",'User Interface (Start Here!)'!$L$32="M"),VLOOKUP('Bathymetric Closures'!$A55,'Bathymetric Closures'!$BH:$BL,4,FALSE),IF(OR('User Interface (Start Here!)'!$L$32="L",'User Interface (Start Here!)'!$L$32="l"),VLOOKUP('Bathymetric Closures'!$A55,'Bathymetric Closures'!$BH$1:$BL$56,5,FALSE),VLOOKUP('Bathymetric Closures'!$A55,'Bathymetric Closures'!$BH$1:$BL$56,3,FALSE)))))</f>
        <v>0.90460526315789469</v>
      </c>
      <c r="D55" s="204">
        <f t="shared" si="3"/>
        <v>9.539473684210531E-2</v>
      </c>
      <c r="F55" s="6"/>
      <c r="G55" s="6"/>
      <c r="H55" s="6"/>
      <c r="I55" s="6"/>
      <c r="J55" s="6"/>
      <c r="K55" s="6"/>
      <c r="L55" s="6"/>
      <c r="M55" s="6"/>
      <c r="N55" s="6"/>
      <c r="O55" s="6"/>
      <c r="P55" s="6"/>
      <c r="Q55" s="6"/>
      <c r="R55" s="320"/>
      <c r="S55" s="6"/>
      <c r="T55" s="6"/>
      <c r="U55" s="6"/>
      <c r="V55" s="6"/>
      <c r="W55" s="321"/>
      <c r="X55" s="6"/>
      <c r="Y55" s="6"/>
      <c r="Z55" s="6"/>
      <c r="AA55" s="8"/>
      <c r="AB55" s="8"/>
      <c r="AC55" s="8"/>
      <c r="AD55" s="8"/>
      <c r="AE55" s="8"/>
      <c r="AF55" s="380"/>
      <c r="AG55" s="380"/>
      <c r="AH55" s="380"/>
      <c r="AI55" s="380"/>
      <c r="AJ55" s="380"/>
      <c r="AK55" s="380"/>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6"/>
      <c r="BH55" s="296">
        <v>3674</v>
      </c>
      <c r="BI55" s="408">
        <v>0.14674233812021586</v>
      </c>
      <c r="BJ55" s="408">
        <f t="shared" si="0"/>
        <v>0.14674233812021586</v>
      </c>
      <c r="BK55" s="409">
        <f t="shared" si="1"/>
        <v>0.85064682403775027</v>
      </c>
      <c r="BL55" s="409">
        <f t="shared" si="2"/>
        <v>0.49218831230979232</v>
      </c>
      <c r="BM55" s="143"/>
      <c r="BN55" s="143"/>
      <c r="BO55" s="143"/>
      <c r="BP55" s="143"/>
      <c r="BQ55" s="143"/>
      <c r="BR55" s="143"/>
      <c r="BS55" s="143"/>
      <c r="BT55" s="143"/>
    </row>
    <row r="56" spans="1:72">
      <c r="A56" s="141">
        <v>3674</v>
      </c>
      <c r="B56" s="203">
        <f>IF(NOT(ISBLANK('User Interface (Start Here!)'!$L$14)),IF(ISNUMBER(VLOOKUP($A56,$R$2:$U$24,4,FALSE)),VLOOKUP($A56,$R$2:$U$24,4,FALSE),0),IF(NOT(ISBLANK('User Interface (Start Here!)'!$M$14)),IF(ISNUMBER(VLOOKUP('Bathymetric Closures'!$A56,'Bathymetric Closures'!$AM$145:$AN$226,2,FALSE)),VLOOKUP('Bathymetric Closures'!$A56,'Bathymetric Closures'!$AM$145:$AN$226,2,FALSE)/100,0),IF(NOT(ISBLANK('User Interface (Start Here!)'!$N$14)),IF(ISNUMBER(VLOOKUP('Bathymetric Closures'!$A56,'Bathymetric Closures'!$AM$260:$AN$341,2,FALSE)),VLOOKUP('Bathymetric Closures'!$A56,'Bathymetric Closures'!$AM$260:$AN$341,2,FALSE)/100,0))))</f>
        <v>0</v>
      </c>
      <c r="C56" s="204">
        <f>IF(NOT(ISBLANK('User Interface (Start Here!)'!$M$14)),VLOOKUP('Bathymetric Closures'!$A56,'Bathymetric Closures'!$AM$146:$AQ$201,5,FALSE),IF(NOT(ISBLANK('User Interface (Start Here!)'!$N$14)),VLOOKUP('Bathymetric Closures'!$A56,'Bathymetric Closures'!$AM$260:$AQ$330,5,FALSE),IF(OR('User Interface (Start Here!)'!$L$32="m",'User Interface (Start Here!)'!$L$32="M"),VLOOKUP('Bathymetric Closures'!$A56,'Bathymetric Closures'!$BH:$BL,4,FALSE),IF(OR('User Interface (Start Here!)'!$L$32="L",'User Interface (Start Here!)'!$L$32="l"),VLOOKUP('Bathymetric Closures'!$A56,'Bathymetric Closures'!$BH$1:$BL$56,5,FALSE),VLOOKUP('Bathymetric Closures'!$A56,'Bathymetric Closures'!$BH$1:$BL$56,3,FALSE)))))</f>
        <v>0</v>
      </c>
      <c r="D56" s="204">
        <f t="shared" si="3"/>
        <v>1</v>
      </c>
      <c r="F56" s="6"/>
      <c r="G56" s="6"/>
      <c r="H56" s="6"/>
      <c r="I56" s="6"/>
      <c r="J56" s="6"/>
      <c r="K56" s="6"/>
      <c r="L56" s="6"/>
      <c r="M56" s="6"/>
      <c r="N56" s="6"/>
      <c r="O56" s="6"/>
      <c r="P56" s="6"/>
      <c r="Q56" s="6"/>
      <c r="R56" s="320"/>
      <c r="S56" s="6"/>
      <c r="T56" s="6"/>
      <c r="U56" s="6"/>
      <c r="V56" s="6"/>
      <c r="W56" s="321"/>
      <c r="X56" s="6"/>
      <c r="Y56" s="6"/>
      <c r="Z56" s="6"/>
      <c r="AA56" s="8"/>
      <c r="AB56" s="8"/>
      <c r="AC56" s="8"/>
      <c r="AD56" s="8"/>
      <c r="AE56" s="8"/>
      <c r="AF56" s="380"/>
      <c r="AG56" s="380"/>
      <c r="AH56" s="380"/>
      <c r="AI56" s="380"/>
      <c r="AJ56" s="380"/>
      <c r="AK56" s="380"/>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6"/>
      <c r="BH56" s="296">
        <v>3675</v>
      </c>
      <c r="BI56" s="408">
        <v>0.3622637848205843</v>
      </c>
      <c r="BJ56" s="408">
        <f t="shared" si="0"/>
        <v>0.3622637848205843</v>
      </c>
      <c r="BK56" s="409">
        <f t="shared" si="1"/>
        <v>0.89286747544635237</v>
      </c>
      <c r="BL56" s="409">
        <f t="shared" si="2"/>
        <v>0.7516620978173022</v>
      </c>
      <c r="BM56" s="143"/>
      <c r="BN56" s="143"/>
      <c r="BO56" s="143"/>
      <c r="BP56" s="143"/>
      <c r="BQ56" s="143"/>
      <c r="BR56" s="143"/>
      <c r="BS56" s="143"/>
      <c r="BT56" s="143"/>
    </row>
    <row r="57" spans="1:72">
      <c r="A57" s="141">
        <v>3675</v>
      </c>
      <c r="B57" s="203">
        <f>IF(NOT(ISBLANK('User Interface (Start Here!)'!$L$14)),IF(ISNUMBER(VLOOKUP($A57,$R$2:$U$24,4,FALSE)),VLOOKUP($A57,$R$2:$U$24,4,FALSE),0),IF(NOT(ISBLANK('User Interface (Start Here!)'!$M$14)),IF(ISNUMBER(VLOOKUP('Bathymetric Closures'!$A57,'Bathymetric Closures'!$AM$145:$AN$226,2,FALSE)),VLOOKUP('Bathymetric Closures'!$A57,'Bathymetric Closures'!$AM$145:$AN$226,2,FALSE)/100,0),IF(NOT(ISBLANK('User Interface (Start Here!)'!$N$14)),IF(ISNUMBER(VLOOKUP('Bathymetric Closures'!$A57,'Bathymetric Closures'!$AM$260:$AN$341,2,FALSE)),VLOOKUP('Bathymetric Closures'!$A57,'Bathymetric Closures'!$AM$260:$AN$341,2,FALSE)/100,0))))</f>
        <v>0</v>
      </c>
      <c r="C57" s="204">
        <f>IF(NOT(ISBLANK('User Interface (Start Here!)'!$M$14)),VLOOKUP('Bathymetric Closures'!$A57,'Bathymetric Closures'!$AM$146:$AQ$201,5,FALSE),IF(NOT(ISBLANK('User Interface (Start Here!)'!$N$14)),VLOOKUP('Bathymetric Closures'!$A57,'Bathymetric Closures'!$AM$260:$AQ$330,5,FALSE),IF(OR('User Interface (Start Here!)'!$L$32="m",'User Interface (Start Here!)'!$L$32="M"),VLOOKUP('Bathymetric Closures'!$A57,'Bathymetric Closures'!$BH:$BL,4,FALSE),IF(OR('User Interface (Start Here!)'!$L$32="L",'User Interface (Start Here!)'!$L$32="l"),VLOOKUP('Bathymetric Closures'!$A57,'Bathymetric Closures'!$BH$1:$BL$56,5,FALSE),VLOOKUP('Bathymetric Closures'!$A57,'Bathymetric Closures'!$BH$1:$BL$56,3,FALSE)))))</f>
        <v>0</v>
      </c>
      <c r="D57" s="204">
        <f t="shared" si="3"/>
        <v>1</v>
      </c>
      <c r="F57" s="6"/>
      <c r="G57" s="6"/>
      <c r="H57" s="6"/>
      <c r="I57" s="6"/>
      <c r="J57" s="6"/>
      <c r="K57" s="6"/>
      <c r="L57" s="6"/>
      <c r="M57" s="6"/>
      <c r="N57" s="6"/>
      <c r="O57" s="6"/>
      <c r="P57" s="6"/>
      <c r="Q57" s="6"/>
      <c r="R57" s="320"/>
      <c r="S57" s="6"/>
      <c r="T57" s="6"/>
      <c r="U57" s="6"/>
      <c r="V57" s="6"/>
      <c r="W57" s="321"/>
      <c r="X57" s="6"/>
      <c r="Y57" s="6"/>
      <c r="Z57" s="6"/>
      <c r="AA57" s="8"/>
      <c r="AB57" s="8"/>
      <c r="AC57" s="8"/>
      <c r="AD57" s="8"/>
      <c r="AE57" s="8"/>
      <c r="AF57" s="380"/>
      <c r="AG57" s="380"/>
      <c r="AH57" s="380"/>
      <c r="AI57" s="380"/>
      <c r="AJ57" s="380"/>
      <c r="AK57" s="380"/>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410"/>
      <c r="BI57" s="410"/>
      <c r="BJ57" s="410"/>
      <c r="BK57" s="410"/>
      <c r="BL57" s="410"/>
      <c r="BM57" s="143"/>
      <c r="BN57" s="143"/>
      <c r="BO57" s="143"/>
      <c r="BP57" s="143"/>
      <c r="BQ57" s="143"/>
      <c r="BR57" s="143"/>
      <c r="BS57" s="143"/>
      <c r="BT57" s="143"/>
    </row>
    <row r="58" spans="1:72">
      <c r="F58" s="6"/>
      <c r="G58" s="6"/>
      <c r="H58" s="6"/>
      <c r="I58" s="6"/>
      <c r="J58" s="6"/>
      <c r="K58" s="6"/>
      <c r="L58" s="6"/>
      <c r="M58" s="6"/>
      <c r="N58" s="6"/>
      <c r="O58" s="6"/>
      <c r="P58" s="6"/>
      <c r="Q58" s="6"/>
      <c r="R58" s="320"/>
      <c r="S58" s="6"/>
      <c r="T58" s="6"/>
      <c r="U58" s="6"/>
      <c r="V58" s="6"/>
      <c r="W58" s="321"/>
      <c r="X58" s="6"/>
      <c r="Y58" s="6"/>
      <c r="Z58" s="6"/>
      <c r="AA58" s="8"/>
      <c r="AB58" s="8"/>
      <c r="AC58" s="8"/>
      <c r="AD58" s="8"/>
      <c r="AE58" s="8"/>
      <c r="AF58" s="380"/>
      <c r="AG58" s="380"/>
      <c r="AH58" s="380"/>
      <c r="AI58" s="380"/>
      <c r="AJ58" s="380"/>
      <c r="AK58" s="380"/>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410"/>
      <c r="BI58" s="410"/>
      <c r="BJ58" s="410"/>
      <c r="BK58" s="410"/>
      <c r="BL58" s="410"/>
      <c r="BM58" s="143"/>
      <c r="BN58" s="143"/>
      <c r="BO58" s="143"/>
      <c r="BP58" s="143"/>
      <c r="BQ58" s="143"/>
      <c r="BR58" s="143"/>
      <c r="BS58" s="143"/>
      <c r="BT58" s="143"/>
    </row>
    <row r="59" spans="1:72">
      <c r="F59" s="6"/>
      <c r="G59" s="6"/>
      <c r="H59" s="6"/>
      <c r="I59" s="6"/>
      <c r="J59" s="6"/>
      <c r="K59" s="6"/>
      <c r="L59" s="6"/>
      <c r="M59" s="6"/>
      <c r="N59" s="6"/>
      <c r="O59" s="6"/>
      <c r="P59" s="6"/>
      <c r="Q59" s="6"/>
      <c r="R59" s="320"/>
      <c r="S59" s="6"/>
      <c r="T59" s="6"/>
      <c r="U59" s="6"/>
      <c r="V59" s="6"/>
      <c r="W59" s="321"/>
      <c r="X59" s="6"/>
      <c r="Y59" s="6"/>
      <c r="Z59" s="6"/>
      <c r="AA59" s="8"/>
      <c r="AB59" s="8"/>
      <c r="AC59" s="8"/>
      <c r="AD59" s="8"/>
      <c r="AE59" s="8"/>
      <c r="AF59" s="380"/>
      <c r="AG59" s="380"/>
      <c r="AH59" s="380"/>
      <c r="AI59" s="380"/>
      <c r="AJ59" s="380"/>
      <c r="AK59" s="380"/>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410"/>
      <c r="BI59" s="410"/>
      <c r="BJ59" s="410"/>
      <c r="BK59" s="410"/>
      <c r="BL59" s="410"/>
      <c r="BM59" s="143"/>
      <c r="BN59" s="143"/>
      <c r="BO59" s="143"/>
      <c r="BP59" s="143"/>
      <c r="BQ59" s="143"/>
      <c r="BR59" s="143"/>
      <c r="BS59" s="143"/>
      <c r="BT59" s="143"/>
    </row>
    <row r="60" spans="1:72">
      <c r="F60" s="6"/>
      <c r="G60" s="6"/>
      <c r="H60" s="6"/>
      <c r="I60" s="6"/>
      <c r="J60" s="6"/>
      <c r="K60" s="6"/>
      <c r="L60" s="6"/>
      <c r="M60" s="6"/>
      <c r="N60" s="6"/>
      <c r="O60" s="6"/>
      <c r="P60" s="6"/>
      <c r="Q60" s="6"/>
      <c r="R60" s="320"/>
      <c r="S60" s="6"/>
      <c r="T60" s="6"/>
      <c r="U60" s="6"/>
      <c r="V60" s="6"/>
      <c r="W60" s="321"/>
      <c r="X60" s="6"/>
      <c r="Y60" s="6"/>
      <c r="Z60" s="6"/>
      <c r="AA60" s="8"/>
      <c r="AB60" s="8"/>
      <c r="AC60" s="8"/>
      <c r="AD60" s="8"/>
      <c r="AE60" s="8"/>
      <c r="AF60" s="380"/>
      <c r="AG60" s="380"/>
      <c r="AH60" s="380"/>
      <c r="AI60" s="380"/>
      <c r="AJ60" s="380"/>
      <c r="AK60" s="380"/>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410"/>
      <c r="BI60" s="410"/>
      <c r="BJ60" s="410"/>
      <c r="BK60" s="410"/>
      <c r="BL60" s="410"/>
      <c r="BM60" s="143"/>
      <c r="BN60" s="143"/>
      <c r="BO60" s="143"/>
      <c r="BP60" s="143"/>
      <c r="BQ60" s="143"/>
      <c r="BR60" s="143"/>
      <c r="BS60" s="143"/>
      <c r="BT60" s="143"/>
    </row>
    <row r="61" spans="1:72">
      <c r="F61" s="6"/>
      <c r="G61" s="6"/>
      <c r="H61" s="6"/>
      <c r="I61" s="6"/>
      <c r="J61" s="6"/>
      <c r="K61" s="6"/>
      <c r="L61" s="6"/>
      <c r="M61" s="6"/>
      <c r="N61" s="6"/>
      <c r="O61" s="6"/>
      <c r="P61" s="6"/>
      <c r="Q61" s="6"/>
      <c r="R61" s="320"/>
      <c r="S61" s="6"/>
      <c r="T61" s="6"/>
      <c r="U61" s="6"/>
      <c r="V61" s="6"/>
      <c r="W61" s="321"/>
      <c r="X61" s="6"/>
      <c r="Y61" s="6"/>
      <c r="Z61" s="6"/>
      <c r="AA61" s="8"/>
      <c r="AB61" s="8"/>
      <c r="AC61" s="8"/>
      <c r="AD61" s="8"/>
      <c r="AE61" s="8"/>
      <c r="AF61" s="380"/>
      <c r="AG61" s="380"/>
      <c r="AH61" s="380"/>
      <c r="AI61" s="380"/>
      <c r="AJ61" s="380"/>
      <c r="AK61" s="380"/>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410"/>
      <c r="BI61" s="410"/>
      <c r="BJ61" s="410"/>
      <c r="BK61" s="410"/>
      <c r="BL61" s="410"/>
      <c r="BM61" s="143"/>
      <c r="BN61" s="143"/>
      <c r="BO61" s="143"/>
      <c r="BP61" s="143"/>
      <c r="BQ61" s="143"/>
      <c r="BR61" s="143"/>
      <c r="BS61" s="143"/>
      <c r="BT61" s="143"/>
    </row>
    <row r="62" spans="1:72">
      <c r="F62" s="6"/>
      <c r="G62" s="6"/>
      <c r="H62" s="6"/>
      <c r="I62" s="6"/>
      <c r="J62" s="6"/>
      <c r="K62" s="6"/>
      <c r="L62" s="6"/>
      <c r="M62" s="6"/>
      <c r="N62" s="6"/>
      <c r="O62" s="6"/>
      <c r="P62" s="6"/>
      <c r="Q62" s="6"/>
      <c r="R62" s="320"/>
      <c r="S62" s="6"/>
      <c r="T62" s="6"/>
      <c r="U62" s="6"/>
      <c r="V62" s="6"/>
      <c r="W62" s="321"/>
      <c r="X62" s="6"/>
      <c r="Y62" s="6"/>
      <c r="Z62" s="6"/>
      <c r="AA62" s="8"/>
      <c r="AB62" s="8"/>
      <c r="AC62" s="8"/>
      <c r="AD62" s="8"/>
      <c r="AE62" s="8"/>
      <c r="AF62" s="380"/>
      <c r="AG62" s="380"/>
      <c r="AH62" s="380"/>
      <c r="AI62" s="380"/>
      <c r="AJ62" s="380"/>
      <c r="AK62" s="380"/>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410"/>
      <c r="BI62" s="410"/>
      <c r="BJ62" s="410"/>
      <c r="BK62" s="410"/>
      <c r="BL62" s="410"/>
      <c r="BM62" s="143"/>
      <c r="BN62" s="143"/>
      <c r="BO62" s="143"/>
      <c r="BP62" s="143"/>
      <c r="BQ62" s="143"/>
      <c r="BR62" s="143"/>
      <c r="BS62" s="143"/>
      <c r="BT62" s="143"/>
    </row>
    <row r="63" spans="1:72">
      <c r="F63" s="6"/>
      <c r="G63" s="6"/>
      <c r="H63" s="6"/>
      <c r="I63" s="6"/>
      <c r="J63" s="6"/>
      <c r="K63" s="6"/>
      <c r="L63" s="6"/>
      <c r="M63" s="6"/>
      <c r="N63" s="6"/>
      <c r="O63" s="6"/>
      <c r="P63" s="6"/>
      <c r="Q63" s="6"/>
      <c r="R63" s="320"/>
      <c r="S63" s="6"/>
      <c r="T63" s="6"/>
      <c r="U63" s="6"/>
      <c r="V63" s="6"/>
      <c r="W63" s="321"/>
      <c r="X63" s="6"/>
      <c r="Y63" s="6"/>
      <c r="Z63" s="6"/>
      <c r="AA63" s="8"/>
      <c r="AB63" s="8"/>
      <c r="AC63" s="8"/>
      <c r="AD63" s="8"/>
      <c r="AE63" s="8"/>
      <c r="AF63" s="380"/>
      <c r="AG63" s="380"/>
      <c r="AH63" s="380"/>
      <c r="AI63" s="380"/>
      <c r="AJ63" s="380"/>
      <c r="AK63" s="380"/>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410"/>
      <c r="BI63" s="410"/>
      <c r="BJ63" s="410"/>
      <c r="BK63" s="410"/>
      <c r="BL63" s="410"/>
      <c r="BM63" s="143"/>
      <c r="BN63" s="143"/>
      <c r="BO63" s="143"/>
      <c r="BP63" s="143"/>
      <c r="BQ63" s="143"/>
      <c r="BR63" s="143"/>
      <c r="BS63" s="143"/>
      <c r="BT63" s="143"/>
    </row>
    <row r="64" spans="1:72">
      <c r="F64" s="6"/>
      <c r="G64" s="6"/>
      <c r="H64" s="6"/>
      <c r="I64" s="6"/>
      <c r="J64" s="6"/>
      <c r="K64" s="6"/>
      <c r="L64" s="6"/>
      <c r="M64" s="6"/>
      <c r="N64" s="6"/>
      <c r="O64" s="6"/>
      <c r="P64" s="6"/>
      <c r="Q64" s="6"/>
      <c r="R64" s="320"/>
      <c r="S64" s="6"/>
      <c r="T64" s="6"/>
      <c r="U64" s="6"/>
      <c r="V64" s="6"/>
      <c r="W64" s="321"/>
      <c r="X64" s="6"/>
      <c r="Y64" s="6"/>
      <c r="Z64" s="6"/>
      <c r="AA64" s="8"/>
      <c r="AB64" s="8"/>
      <c r="AC64" s="8"/>
      <c r="AD64" s="8"/>
      <c r="AE64" s="8"/>
      <c r="AF64" s="380"/>
      <c r="AG64" s="380"/>
      <c r="AH64" s="380"/>
      <c r="AI64" s="380"/>
      <c r="AJ64" s="380"/>
      <c r="AK64" s="380"/>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410"/>
      <c r="BI64" s="410"/>
      <c r="BJ64" s="410"/>
      <c r="BK64" s="410"/>
      <c r="BL64" s="410"/>
      <c r="BM64" s="143"/>
      <c r="BN64" s="143"/>
      <c r="BO64" s="143"/>
      <c r="BP64" s="143"/>
      <c r="BQ64" s="143"/>
      <c r="BR64" s="143"/>
      <c r="BS64" s="143"/>
      <c r="BT64" s="143"/>
    </row>
    <row r="65" spans="6:72">
      <c r="F65" s="6"/>
      <c r="G65" s="6"/>
      <c r="H65" s="6"/>
      <c r="I65" s="6"/>
      <c r="J65" s="6"/>
      <c r="K65" s="6"/>
      <c r="L65" s="6"/>
      <c r="M65" s="6"/>
      <c r="N65" s="6"/>
      <c r="O65" s="6"/>
      <c r="P65" s="6"/>
      <c r="Q65" s="6"/>
      <c r="R65" s="320"/>
      <c r="S65" s="6"/>
      <c r="T65" s="6"/>
      <c r="U65" s="6"/>
      <c r="V65" s="6"/>
      <c r="W65" s="321"/>
      <c r="X65" s="6"/>
      <c r="Y65" s="6"/>
      <c r="Z65" s="6"/>
      <c r="AA65" s="8"/>
      <c r="AB65" s="8"/>
      <c r="AC65" s="8"/>
      <c r="AD65" s="8"/>
      <c r="AE65" s="8"/>
      <c r="AF65" s="380"/>
      <c r="AG65" s="380"/>
      <c r="AH65" s="380"/>
      <c r="AI65" s="380"/>
      <c r="AJ65" s="380"/>
      <c r="AK65" s="380"/>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410"/>
      <c r="BI65" s="410"/>
      <c r="BJ65" s="410"/>
      <c r="BK65" s="410"/>
      <c r="BL65" s="410"/>
      <c r="BM65" s="143"/>
      <c r="BN65" s="143"/>
      <c r="BO65" s="143"/>
      <c r="BP65" s="143"/>
      <c r="BQ65" s="143"/>
      <c r="BR65" s="143"/>
      <c r="BS65" s="143"/>
      <c r="BT65" s="143"/>
    </row>
    <row r="66" spans="6:72">
      <c r="F66" s="6"/>
      <c r="G66" s="6"/>
      <c r="H66" s="6"/>
      <c r="I66" s="6"/>
      <c r="J66" s="6"/>
      <c r="K66" s="6"/>
      <c r="L66" s="6"/>
      <c r="M66" s="6"/>
      <c r="N66" s="6"/>
      <c r="O66" s="6"/>
      <c r="P66" s="6"/>
      <c r="Q66" s="6"/>
      <c r="R66" s="320"/>
      <c r="S66" s="6"/>
      <c r="T66" s="6"/>
      <c r="U66" s="6"/>
      <c r="V66" s="6"/>
      <c r="W66" s="321"/>
      <c r="X66" s="6"/>
      <c r="Y66" s="6"/>
      <c r="Z66" s="6"/>
      <c r="AA66" s="8"/>
      <c r="AB66" s="8"/>
      <c r="AC66" s="8"/>
      <c r="AD66" s="8"/>
      <c r="AE66" s="8"/>
      <c r="AF66" s="380"/>
      <c r="AG66" s="380"/>
      <c r="AH66" s="380"/>
      <c r="AI66" s="380"/>
      <c r="AJ66" s="380"/>
      <c r="AK66" s="380"/>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410"/>
      <c r="BI66" s="410"/>
      <c r="BJ66" s="410"/>
      <c r="BK66" s="410"/>
      <c r="BL66" s="410"/>
      <c r="BM66" s="143"/>
      <c r="BN66" s="143"/>
      <c r="BO66" s="143"/>
      <c r="BP66" s="143"/>
      <c r="BQ66" s="143"/>
      <c r="BR66" s="143"/>
      <c r="BS66" s="143"/>
      <c r="BT66" s="143"/>
    </row>
    <row r="67" spans="6:72">
      <c r="F67" s="6"/>
      <c r="G67" s="6"/>
      <c r="H67" s="6"/>
      <c r="I67" s="6"/>
      <c r="J67" s="6"/>
      <c r="K67" s="6"/>
      <c r="L67" s="6"/>
      <c r="M67" s="6"/>
      <c r="N67" s="6"/>
      <c r="O67" s="6"/>
      <c r="P67" s="6"/>
      <c r="Q67" s="6"/>
      <c r="R67" s="320"/>
      <c r="S67" s="6"/>
      <c r="T67" s="6"/>
      <c r="U67" s="6"/>
      <c r="V67" s="6"/>
      <c r="W67" s="321"/>
      <c r="X67" s="6"/>
      <c r="Y67" s="6"/>
      <c r="Z67" s="6"/>
      <c r="AA67" s="8"/>
      <c r="AB67" s="8"/>
      <c r="AC67" s="8"/>
      <c r="AD67" s="8"/>
      <c r="AE67" s="8"/>
      <c r="AF67" s="380"/>
      <c r="AG67" s="380"/>
      <c r="AH67" s="380"/>
      <c r="AI67" s="380"/>
      <c r="AJ67" s="380"/>
      <c r="AK67" s="380"/>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410"/>
      <c r="BI67" s="410"/>
      <c r="BJ67" s="410"/>
      <c r="BK67" s="410"/>
      <c r="BL67" s="410"/>
      <c r="BM67" s="143"/>
      <c r="BN67" s="143"/>
      <c r="BO67" s="143"/>
      <c r="BP67" s="143"/>
      <c r="BQ67" s="143"/>
      <c r="BR67" s="143"/>
      <c r="BS67" s="143"/>
      <c r="BT67" s="143"/>
    </row>
    <row r="68" spans="6:72">
      <c r="F68" s="6"/>
      <c r="G68" s="6"/>
      <c r="H68" s="6"/>
      <c r="I68" s="6"/>
      <c r="J68" s="6"/>
      <c r="K68" s="6"/>
      <c r="L68" s="6"/>
      <c r="M68" s="6"/>
      <c r="N68" s="6"/>
      <c r="O68" s="6"/>
      <c r="P68" s="6"/>
      <c r="Q68" s="6"/>
      <c r="R68" s="320"/>
      <c r="S68" s="6"/>
      <c r="T68" s="6"/>
      <c r="U68" s="6"/>
      <c r="V68" s="6"/>
      <c r="W68" s="321"/>
      <c r="X68" s="6"/>
      <c r="Y68" s="6"/>
      <c r="Z68" s="6"/>
      <c r="AA68" s="8"/>
      <c r="AB68" s="8"/>
      <c r="AC68" s="8"/>
      <c r="AD68" s="8"/>
      <c r="AE68" s="8"/>
      <c r="AF68" s="380"/>
      <c r="AG68" s="380"/>
      <c r="AH68" s="380"/>
      <c r="AI68" s="380"/>
      <c r="AJ68" s="380"/>
      <c r="AK68" s="380"/>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410"/>
      <c r="BI68" s="410"/>
      <c r="BJ68" s="410"/>
      <c r="BK68" s="410"/>
      <c r="BL68" s="410"/>
      <c r="BM68" s="143"/>
      <c r="BN68" s="143"/>
      <c r="BO68" s="143"/>
      <c r="BP68" s="143"/>
      <c r="BQ68" s="143"/>
      <c r="BR68" s="143"/>
      <c r="BS68" s="143"/>
      <c r="BT68" s="143"/>
    </row>
    <row r="69" spans="6:72">
      <c r="F69" s="6"/>
      <c r="G69" s="6"/>
      <c r="H69" s="6"/>
      <c r="I69" s="6"/>
      <c r="J69" s="6"/>
      <c r="K69" s="6"/>
      <c r="L69" s="6"/>
      <c r="M69" s="6"/>
      <c r="N69" s="6"/>
      <c r="O69" s="6"/>
      <c r="P69" s="6"/>
      <c r="Q69" s="6"/>
      <c r="R69" s="320"/>
      <c r="S69" s="6"/>
      <c r="T69" s="6"/>
      <c r="U69" s="6"/>
      <c r="V69" s="6"/>
      <c r="W69" s="321"/>
      <c r="X69" s="6"/>
      <c r="Y69" s="6"/>
      <c r="Z69" s="6"/>
      <c r="AA69" s="8"/>
      <c r="AB69" s="8"/>
      <c r="AC69" s="8"/>
      <c r="AD69" s="8"/>
      <c r="AE69" s="8"/>
      <c r="AF69" s="380"/>
      <c r="AG69" s="380"/>
      <c r="AH69" s="380"/>
      <c r="AI69" s="380"/>
      <c r="AJ69" s="380"/>
      <c r="AK69" s="380"/>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410"/>
      <c r="BI69" s="410"/>
      <c r="BJ69" s="410"/>
      <c r="BK69" s="410"/>
      <c r="BL69" s="410"/>
      <c r="BM69" s="143"/>
      <c r="BN69" s="143"/>
      <c r="BO69" s="143"/>
      <c r="BP69" s="143"/>
      <c r="BQ69" s="143"/>
      <c r="BR69" s="143"/>
      <c r="BS69" s="143"/>
      <c r="BT69" s="143"/>
    </row>
    <row r="70" spans="6:72">
      <c r="F70" s="6"/>
      <c r="G70" s="6"/>
      <c r="H70" s="6"/>
      <c r="I70" s="6"/>
      <c r="J70" s="6"/>
      <c r="K70" s="6"/>
      <c r="L70" s="6"/>
      <c r="M70" s="6"/>
      <c r="N70" s="6"/>
      <c r="O70" s="6"/>
      <c r="P70" s="6"/>
      <c r="Q70" s="6"/>
      <c r="R70" s="320"/>
      <c r="S70" s="6"/>
      <c r="T70" s="6"/>
      <c r="U70" s="6"/>
      <c r="V70" s="6"/>
      <c r="W70" s="321"/>
      <c r="X70" s="6"/>
      <c r="Y70" s="6"/>
      <c r="Z70" s="6"/>
      <c r="AA70" s="8"/>
      <c r="AB70" s="8"/>
      <c r="AC70" s="8"/>
      <c r="AD70" s="8"/>
      <c r="AE70" s="8"/>
      <c r="AF70" s="380"/>
      <c r="AG70" s="380"/>
      <c r="AH70" s="380"/>
      <c r="AI70" s="380"/>
      <c r="AJ70" s="380"/>
      <c r="AK70" s="380"/>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410"/>
      <c r="BI70" s="410"/>
      <c r="BJ70" s="410"/>
      <c r="BK70" s="410"/>
      <c r="BL70" s="410"/>
      <c r="BM70" s="143"/>
      <c r="BN70" s="143"/>
      <c r="BO70" s="143"/>
      <c r="BP70" s="143"/>
      <c r="BQ70" s="143"/>
      <c r="BR70" s="143"/>
      <c r="BS70" s="143"/>
      <c r="BT70" s="143"/>
    </row>
    <row r="71" spans="6:72">
      <c r="F71" s="6"/>
      <c r="G71" s="6"/>
      <c r="H71" s="6"/>
      <c r="I71" s="6"/>
      <c r="J71" s="6"/>
      <c r="K71" s="6"/>
      <c r="L71" s="6"/>
      <c r="M71" s="6"/>
      <c r="N71" s="6"/>
      <c r="O71" s="6"/>
      <c r="P71" s="6"/>
      <c r="Q71" s="6"/>
      <c r="R71" s="320"/>
      <c r="S71" s="6"/>
      <c r="T71" s="6"/>
      <c r="U71" s="6"/>
      <c r="V71" s="6"/>
      <c r="W71" s="321"/>
      <c r="X71" s="6"/>
      <c r="Y71" s="6"/>
      <c r="Z71" s="6"/>
      <c r="AA71" s="8"/>
      <c r="AB71" s="8"/>
      <c r="AC71" s="8"/>
      <c r="AD71" s="8"/>
      <c r="AE71" s="8"/>
      <c r="AF71" s="380"/>
      <c r="AG71" s="380"/>
      <c r="AH71" s="380"/>
      <c r="AI71" s="380"/>
      <c r="AJ71" s="380"/>
      <c r="AK71" s="380"/>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410"/>
      <c r="BI71" s="410"/>
      <c r="BJ71" s="410"/>
      <c r="BK71" s="410"/>
      <c r="BL71" s="410"/>
      <c r="BM71" s="143"/>
      <c r="BN71" s="143"/>
      <c r="BO71" s="143"/>
      <c r="BP71" s="143"/>
      <c r="BQ71" s="143"/>
      <c r="BR71" s="143"/>
      <c r="BS71" s="143"/>
      <c r="BT71" s="143"/>
    </row>
    <row r="72" spans="6:72">
      <c r="F72" s="6"/>
      <c r="G72" s="6"/>
      <c r="H72" s="6"/>
      <c r="I72" s="6"/>
      <c r="J72" s="6"/>
      <c r="K72" s="6"/>
      <c r="L72" s="6"/>
      <c r="M72" s="6"/>
      <c r="N72" s="6"/>
      <c r="O72" s="6"/>
      <c r="P72" s="6"/>
      <c r="Q72" s="6"/>
      <c r="R72" s="320"/>
      <c r="S72" s="6"/>
      <c r="T72" s="6"/>
      <c r="U72" s="6"/>
      <c r="V72" s="6"/>
      <c r="W72" s="321"/>
      <c r="X72" s="6"/>
      <c r="Y72" s="6"/>
      <c r="Z72" s="6"/>
      <c r="AA72" s="8"/>
      <c r="AB72" s="8"/>
      <c r="AC72" s="8"/>
      <c r="AD72" s="8"/>
      <c r="AE72" s="8"/>
      <c r="AF72" s="327"/>
      <c r="AG72" s="327"/>
      <c r="AH72" s="327"/>
      <c r="AI72" s="327"/>
      <c r="AJ72" s="327"/>
      <c r="AK72" s="327"/>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74"/>
      <c r="BI72" s="328"/>
      <c r="BJ72" s="328"/>
      <c r="BK72" s="328"/>
      <c r="BL72" s="327"/>
      <c r="BM72" s="327"/>
      <c r="BN72" s="328"/>
      <c r="BO72" s="328"/>
      <c r="BP72" s="328"/>
      <c r="BQ72" s="327"/>
      <c r="BR72" s="327"/>
      <c r="BS72" s="327"/>
      <c r="BT72" s="327"/>
    </row>
    <row r="73" spans="6:72">
      <c r="F73" s="6"/>
      <c r="G73" s="6"/>
      <c r="H73" s="6"/>
      <c r="I73" s="6"/>
      <c r="J73" s="6"/>
      <c r="K73" s="6"/>
      <c r="L73" s="6"/>
      <c r="M73" s="6"/>
      <c r="N73" s="6"/>
      <c r="O73" s="6"/>
      <c r="P73" s="6"/>
      <c r="Q73" s="6"/>
      <c r="R73" s="320"/>
      <c r="S73" s="6"/>
      <c r="T73" s="6"/>
      <c r="U73" s="6"/>
      <c r="V73" s="6"/>
      <c r="W73" s="321"/>
      <c r="X73" s="6"/>
      <c r="Y73" s="6"/>
      <c r="Z73" s="6"/>
      <c r="AA73" s="8"/>
      <c r="AB73" s="8"/>
      <c r="AC73" s="8"/>
      <c r="AD73" s="8"/>
      <c r="AE73" s="8"/>
      <c r="AF73" s="327"/>
      <c r="AG73" s="327"/>
      <c r="AH73" s="327"/>
      <c r="AI73" s="327"/>
      <c r="AJ73" s="327"/>
      <c r="AK73" s="327"/>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74"/>
      <c r="BI73" s="328"/>
      <c r="BJ73" s="328"/>
      <c r="BK73" s="328"/>
      <c r="BL73" s="327"/>
      <c r="BM73" s="327"/>
      <c r="BN73" s="328"/>
      <c r="BO73" s="328"/>
      <c r="BP73" s="328"/>
      <c r="BQ73" s="327"/>
      <c r="BR73" s="327"/>
      <c r="BS73" s="327"/>
      <c r="BT73" s="327"/>
    </row>
    <row r="74" spans="6:72">
      <c r="F74" s="6"/>
      <c r="G74" s="6"/>
      <c r="H74" s="6"/>
      <c r="I74" s="6"/>
      <c r="J74" s="6"/>
      <c r="K74" s="6"/>
      <c r="L74" s="6"/>
      <c r="M74" s="6"/>
      <c r="N74" s="6"/>
      <c r="O74" s="6"/>
      <c r="P74" s="6"/>
      <c r="Q74" s="6"/>
      <c r="R74" s="320"/>
      <c r="S74" s="6"/>
      <c r="T74" s="6"/>
      <c r="U74" s="6"/>
      <c r="V74" s="6"/>
      <c r="W74" s="321"/>
      <c r="X74" s="6"/>
      <c r="Y74" s="6"/>
      <c r="Z74" s="6"/>
      <c r="AA74" s="8"/>
      <c r="AB74" s="8"/>
      <c r="AC74" s="8"/>
      <c r="AD74" s="8"/>
      <c r="AE74" s="8"/>
      <c r="AF74" s="327"/>
      <c r="AG74" s="327"/>
      <c r="AH74" s="327"/>
      <c r="AI74" s="327"/>
      <c r="AJ74" s="327"/>
      <c r="AK74" s="327"/>
      <c r="AL74" s="328"/>
      <c r="AM74" s="328"/>
      <c r="AN74" s="328"/>
      <c r="AO74" s="328"/>
      <c r="AP74" s="328"/>
      <c r="AQ74" s="328"/>
      <c r="AR74" s="328"/>
      <c r="AS74" s="328"/>
      <c r="AT74" s="328"/>
      <c r="AU74" s="329"/>
      <c r="AV74" s="329"/>
      <c r="AW74" s="329"/>
      <c r="AX74" s="328"/>
      <c r="AY74" s="328"/>
      <c r="AZ74" s="328"/>
      <c r="BA74" s="328"/>
      <c r="BB74" s="328"/>
      <c r="BC74" s="328"/>
      <c r="BD74" s="328"/>
      <c r="BE74" s="328"/>
      <c r="BF74" s="328"/>
      <c r="BG74" s="328"/>
      <c r="BH74" s="374"/>
      <c r="BI74" s="328"/>
      <c r="BJ74" s="328"/>
      <c r="BK74" s="328"/>
      <c r="BL74" s="327"/>
      <c r="BM74" s="327"/>
      <c r="BN74" s="328"/>
      <c r="BO74" s="328"/>
      <c r="BP74" s="328"/>
      <c r="BQ74" s="327"/>
      <c r="BR74" s="327"/>
      <c r="BS74" s="327"/>
      <c r="BT74" s="327"/>
    </row>
    <row r="75" spans="6:72">
      <c r="F75" s="6"/>
      <c r="G75" s="6"/>
      <c r="H75" s="6"/>
      <c r="I75" s="6"/>
      <c r="J75" s="6"/>
      <c r="K75" s="6"/>
      <c r="L75" s="6"/>
      <c r="M75" s="6"/>
      <c r="N75" s="6"/>
      <c r="O75" s="6"/>
      <c r="P75" s="6"/>
      <c r="Q75" s="6"/>
      <c r="R75" s="320"/>
      <c r="S75" s="6"/>
      <c r="T75" s="6"/>
      <c r="U75" s="6"/>
      <c r="V75" s="6"/>
      <c r="W75" s="321"/>
      <c r="X75" s="6"/>
      <c r="Y75" s="6"/>
      <c r="Z75" s="6"/>
      <c r="AA75" s="8"/>
      <c r="AB75" s="8"/>
      <c r="AC75" s="8"/>
      <c r="AD75" s="8"/>
      <c r="AE75" s="8"/>
      <c r="AF75" s="327"/>
      <c r="AG75" s="327"/>
      <c r="AH75" s="327"/>
      <c r="AI75" s="327"/>
      <c r="AJ75" s="327"/>
      <c r="AK75" s="327"/>
      <c r="AL75" s="328"/>
      <c r="AM75" s="328"/>
      <c r="AN75" s="328"/>
      <c r="AO75" s="328"/>
      <c r="AP75" s="328"/>
      <c r="AQ75" s="328"/>
      <c r="AR75" s="328"/>
      <c r="AS75" s="328"/>
      <c r="AT75" s="328"/>
      <c r="AU75" s="330">
        <v>-10.444000000000001</v>
      </c>
      <c r="AV75" s="331"/>
      <c r="AW75" s="332">
        <v>4.6079999999999997</v>
      </c>
      <c r="AX75" s="328"/>
      <c r="AY75" s="328"/>
      <c r="AZ75" s="328"/>
      <c r="BA75" s="328"/>
      <c r="BB75" s="328"/>
      <c r="BC75" s="328"/>
      <c r="BD75" s="328"/>
      <c r="BE75" s="328"/>
      <c r="BF75" s="328"/>
      <c r="BG75" s="328"/>
      <c r="BH75" s="374"/>
      <c r="BI75" s="328"/>
      <c r="BJ75" s="328"/>
      <c r="BK75" s="328"/>
      <c r="BL75" s="327"/>
      <c r="BM75" s="327"/>
      <c r="BN75" s="328"/>
      <c r="BO75" s="328"/>
      <c r="BP75" s="328"/>
      <c r="BQ75" s="327"/>
      <c r="BR75" s="327"/>
      <c r="BS75" s="327"/>
      <c r="BT75" s="327"/>
    </row>
    <row r="76" spans="6:72">
      <c r="F76" s="6"/>
      <c r="G76" s="6"/>
      <c r="H76" s="6"/>
      <c r="I76" s="6"/>
      <c r="J76" s="6"/>
      <c r="K76" s="6"/>
      <c r="L76" s="6"/>
      <c r="M76" s="6"/>
      <c r="N76" s="6"/>
      <c r="O76" s="6"/>
      <c r="P76" s="6"/>
      <c r="Q76" s="6"/>
      <c r="R76" s="320"/>
      <c r="S76" s="6"/>
      <c r="T76" s="6"/>
      <c r="U76" s="6"/>
      <c r="V76" s="6"/>
      <c r="W76" s="321"/>
      <c r="X76" s="6"/>
      <c r="Y76" s="6"/>
      <c r="Z76" s="6"/>
      <c r="AA76" s="8"/>
      <c r="AB76" s="8"/>
      <c r="AC76" s="8"/>
      <c r="AD76" s="8"/>
      <c r="AE76" s="8"/>
      <c r="AF76" s="327"/>
      <c r="AG76" s="327"/>
      <c r="AH76" s="327"/>
      <c r="AI76" s="327"/>
      <c r="AJ76" s="327"/>
      <c r="AK76" s="327"/>
      <c r="AL76" s="328"/>
      <c r="AM76" s="328"/>
      <c r="AN76" s="328"/>
      <c r="AO76" s="328"/>
      <c r="AP76" s="328"/>
      <c r="AQ76" s="328"/>
      <c r="AR76" s="328"/>
      <c r="AS76" s="328"/>
      <c r="AT76" s="328"/>
      <c r="AU76" s="328"/>
      <c r="AV76" s="328"/>
      <c r="AW76" s="328"/>
      <c r="AX76" s="328"/>
      <c r="AY76" s="328"/>
      <c r="AZ76" s="328"/>
      <c r="BA76" s="328"/>
      <c r="BB76" s="328"/>
      <c r="BC76" s="328"/>
      <c r="BD76" s="328"/>
      <c r="BE76" s="328"/>
      <c r="BF76" s="328"/>
      <c r="BG76" s="328"/>
      <c r="BH76" s="374"/>
      <c r="BI76" s="328"/>
      <c r="BJ76" s="328"/>
      <c r="BK76" s="328"/>
      <c r="BL76" s="327"/>
      <c r="BM76" s="327"/>
      <c r="BN76" s="328"/>
      <c r="BO76" s="328"/>
      <c r="BP76" s="328"/>
      <c r="BQ76" s="327"/>
      <c r="BR76" s="327"/>
      <c r="BS76" s="327"/>
      <c r="BT76" s="327"/>
    </row>
    <row r="77" spans="6:72">
      <c r="F77" s="6"/>
      <c r="G77" s="6"/>
      <c r="H77" s="6"/>
      <c r="I77" s="6"/>
      <c r="J77" s="6"/>
      <c r="K77" s="6"/>
      <c r="L77" s="6"/>
      <c r="M77" s="6"/>
      <c r="N77" s="6"/>
      <c r="O77" s="6"/>
      <c r="P77" s="6"/>
      <c r="Q77" s="6"/>
      <c r="R77" s="320"/>
      <c r="S77" s="6"/>
      <c r="T77" s="6"/>
      <c r="U77" s="6"/>
      <c r="V77" s="6"/>
      <c r="W77" s="321"/>
      <c r="X77" s="6"/>
      <c r="Y77" s="6"/>
      <c r="Z77" s="6"/>
      <c r="AA77" s="8"/>
      <c r="AB77" s="8"/>
      <c r="AC77" s="8"/>
      <c r="AD77" s="8"/>
      <c r="AE77" s="8"/>
      <c r="AF77" s="327"/>
      <c r="AG77" s="327"/>
      <c r="AH77" s="327"/>
      <c r="AI77" s="327"/>
      <c r="AJ77" s="327"/>
      <c r="AK77" s="327"/>
      <c r="AL77" s="328"/>
      <c r="AM77" s="328"/>
      <c r="AN77" s="328"/>
      <c r="AO77" s="328"/>
      <c r="AP77" s="328"/>
      <c r="AQ77" s="328"/>
      <c r="AR77" s="328"/>
      <c r="AS77" s="328"/>
      <c r="AT77" s="328"/>
      <c r="AU77" s="328"/>
      <c r="AV77" s="328"/>
      <c r="AW77" s="328"/>
      <c r="AX77" s="328"/>
      <c r="AY77" s="328"/>
      <c r="AZ77" s="328"/>
      <c r="BA77" s="328"/>
      <c r="BB77" s="328"/>
      <c r="BC77" s="328"/>
      <c r="BD77" s="328"/>
      <c r="BE77" s="328"/>
      <c r="BF77" s="328"/>
      <c r="BG77" s="328"/>
      <c r="BH77" s="374"/>
      <c r="BI77" s="328"/>
      <c r="BJ77" s="328"/>
      <c r="BK77" s="328"/>
      <c r="BL77" s="327"/>
      <c r="BM77" s="327"/>
      <c r="BN77" s="328"/>
      <c r="BO77" s="328"/>
      <c r="BP77" s="328"/>
      <c r="BQ77" s="327"/>
      <c r="BR77" s="327"/>
      <c r="BS77" s="327"/>
      <c r="BT77" s="327"/>
    </row>
    <row r="78" spans="6:72">
      <c r="F78" s="6"/>
      <c r="G78" s="6"/>
      <c r="H78" s="6"/>
      <c r="I78" s="6"/>
      <c r="J78" s="6"/>
      <c r="K78" s="6"/>
      <c r="L78" s="6"/>
      <c r="M78" s="6"/>
      <c r="N78" s="6"/>
      <c r="O78" s="6"/>
      <c r="P78" s="6"/>
      <c r="Q78" s="6"/>
      <c r="R78" s="320"/>
      <c r="S78" s="6"/>
      <c r="T78" s="6"/>
      <c r="U78" s="6"/>
      <c r="V78" s="6"/>
      <c r="W78" s="321"/>
      <c r="X78" s="6"/>
      <c r="Y78" s="6"/>
      <c r="Z78" s="6"/>
      <c r="AA78" s="8"/>
      <c r="AB78" s="8"/>
      <c r="AC78" s="8"/>
      <c r="AD78" s="8"/>
      <c r="AE78" s="8"/>
      <c r="AF78" s="327"/>
      <c r="AG78" s="327"/>
      <c r="AH78" s="327"/>
      <c r="AI78" s="327"/>
      <c r="AJ78" s="327"/>
      <c r="AK78" s="327"/>
      <c r="AL78" s="328"/>
      <c r="AM78" s="328"/>
      <c r="AN78" s="328"/>
      <c r="AO78" s="328"/>
      <c r="AP78" s="328"/>
      <c r="AQ78" s="328"/>
      <c r="AR78" s="328"/>
      <c r="AS78" s="328"/>
      <c r="AT78" s="328"/>
      <c r="AU78" s="328"/>
      <c r="AV78" s="328"/>
      <c r="AW78" s="328"/>
      <c r="AX78" s="328"/>
      <c r="AY78" s="328"/>
      <c r="AZ78" s="328"/>
      <c r="BA78" s="328"/>
      <c r="BB78" s="328"/>
      <c r="BC78" s="328"/>
      <c r="BD78" s="328"/>
      <c r="BE78" s="328"/>
      <c r="BF78" s="328"/>
      <c r="BG78" s="328"/>
      <c r="BH78" s="374"/>
      <c r="BI78" s="328"/>
      <c r="BJ78" s="328"/>
      <c r="BK78" s="328"/>
      <c r="BL78" s="327"/>
      <c r="BM78" s="327"/>
      <c r="BN78" s="328"/>
      <c r="BO78" s="328"/>
      <c r="BP78" s="328"/>
      <c r="BQ78" s="327"/>
      <c r="BR78" s="327"/>
      <c r="BS78" s="327"/>
      <c r="BT78" s="327"/>
    </row>
    <row r="79" spans="6:72">
      <c r="F79" s="6"/>
      <c r="G79" s="6"/>
      <c r="H79" s="6"/>
      <c r="I79" s="6"/>
      <c r="J79" s="6"/>
      <c r="K79" s="6"/>
      <c r="L79" s="6"/>
      <c r="M79" s="6"/>
      <c r="N79" s="6"/>
      <c r="O79" s="6"/>
      <c r="P79" s="6"/>
      <c r="Q79" s="6"/>
      <c r="R79" s="320"/>
      <c r="S79" s="6"/>
      <c r="T79" s="6"/>
      <c r="U79" s="6"/>
      <c r="V79" s="6"/>
      <c r="W79" s="321"/>
      <c r="X79" s="6"/>
      <c r="Y79" s="6"/>
      <c r="Z79" s="6"/>
      <c r="AA79" s="8"/>
      <c r="AB79" s="8"/>
      <c r="AC79" s="8"/>
      <c r="AD79" s="8"/>
      <c r="AE79" s="8"/>
      <c r="AF79" s="327"/>
      <c r="AG79" s="327"/>
      <c r="AH79" s="327"/>
      <c r="AI79" s="327"/>
      <c r="AJ79" s="327"/>
      <c r="AK79" s="362"/>
      <c r="AL79" s="363"/>
      <c r="AM79" s="329"/>
      <c r="AN79" s="329"/>
      <c r="AO79" s="367" t="s">
        <v>231</v>
      </c>
      <c r="AP79" s="367" t="s">
        <v>232</v>
      </c>
      <c r="AQ79" s="367" t="s">
        <v>233</v>
      </c>
      <c r="AR79" s="328"/>
      <c r="AS79" s="328"/>
      <c r="AT79" s="328"/>
      <c r="AU79" s="328"/>
      <c r="AV79" s="328"/>
      <c r="AW79" s="328"/>
      <c r="AX79" s="328"/>
      <c r="AY79" s="328"/>
      <c r="AZ79" s="328"/>
      <c r="BA79" s="328"/>
      <c r="BB79" s="328"/>
      <c r="BC79" s="328"/>
      <c r="BD79" s="328"/>
      <c r="BE79" s="328"/>
      <c r="BF79" s="328"/>
      <c r="BG79" s="328"/>
      <c r="BH79" s="374"/>
      <c r="BI79" s="328"/>
      <c r="BJ79" s="328"/>
      <c r="BK79" s="328"/>
      <c r="BL79" s="327"/>
      <c r="BM79" s="327"/>
      <c r="BN79" s="328"/>
      <c r="BO79" s="328"/>
      <c r="BP79" s="328"/>
      <c r="BQ79" s="327"/>
      <c r="BR79" s="327"/>
      <c r="BS79" s="327"/>
      <c r="BT79" s="327"/>
    </row>
    <row r="80" spans="6:72">
      <c r="F80" s="6"/>
      <c r="G80" s="6"/>
      <c r="H80" s="6"/>
      <c r="I80" s="6"/>
      <c r="J80" s="6"/>
      <c r="K80" s="6"/>
      <c r="L80" s="6"/>
      <c r="M80" s="6"/>
      <c r="N80" s="6"/>
      <c r="O80" s="6"/>
      <c r="P80" s="6"/>
      <c r="Q80" s="6"/>
      <c r="R80" s="320"/>
      <c r="S80" s="6"/>
      <c r="T80" s="6"/>
      <c r="U80" s="6"/>
      <c r="V80" s="6"/>
      <c r="W80" s="321"/>
      <c r="X80" s="6"/>
      <c r="Y80" s="6"/>
      <c r="Z80" s="6"/>
      <c r="AA80" s="8"/>
      <c r="AB80" s="8"/>
      <c r="AC80" s="8"/>
      <c r="AD80" s="8"/>
      <c r="AE80" s="8"/>
      <c r="AF80" s="327"/>
      <c r="AG80" s="334" t="s">
        <v>226</v>
      </c>
      <c r="AH80" s="334" t="s">
        <v>227</v>
      </c>
      <c r="AI80" s="334" t="s">
        <v>228</v>
      </c>
      <c r="AJ80" s="334" t="s">
        <v>229</v>
      </c>
      <c r="AK80" s="364" t="s">
        <v>230</v>
      </c>
      <c r="AL80" s="363"/>
      <c r="AM80" s="334" t="s">
        <v>226</v>
      </c>
      <c r="AN80" s="334" t="s">
        <v>227</v>
      </c>
      <c r="AO80" s="334" t="s">
        <v>230</v>
      </c>
      <c r="AP80" s="334" t="s">
        <v>230</v>
      </c>
      <c r="AQ80" s="334" t="s">
        <v>230</v>
      </c>
      <c r="AR80" s="328"/>
      <c r="AS80" s="328"/>
      <c r="AT80" s="328"/>
      <c r="AU80" s="328"/>
      <c r="AV80" s="328"/>
      <c r="AW80" s="328"/>
      <c r="AX80" s="328"/>
      <c r="AY80" s="328"/>
      <c r="AZ80" s="328"/>
      <c r="BA80" s="328"/>
      <c r="BB80" s="328"/>
      <c r="BC80" s="328"/>
      <c r="BD80" s="328"/>
      <c r="BE80" s="328"/>
      <c r="BF80" s="328"/>
      <c r="BG80" s="328"/>
      <c r="BH80" s="374"/>
      <c r="BI80" s="328"/>
      <c r="BJ80" s="328"/>
      <c r="BK80" s="328"/>
      <c r="BL80" s="327"/>
      <c r="BM80" s="327"/>
      <c r="BN80" s="328"/>
      <c r="BO80" s="328"/>
      <c r="BP80" s="328"/>
      <c r="BQ80" s="327"/>
      <c r="BR80" s="327"/>
      <c r="BS80" s="327"/>
      <c r="BT80" s="327"/>
    </row>
    <row r="81" spans="6:72" ht="18">
      <c r="F81" s="6"/>
      <c r="G81" s="6"/>
      <c r="H81" s="6"/>
      <c r="I81" s="6"/>
      <c r="J81" s="6"/>
      <c r="K81" s="6"/>
      <c r="L81" s="6"/>
      <c r="M81" s="6"/>
      <c r="N81" s="6"/>
      <c r="O81" s="6"/>
      <c r="P81" s="6"/>
      <c r="Q81" s="6"/>
      <c r="R81" s="320"/>
      <c r="S81" s="6"/>
      <c r="T81" s="6"/>
      <c r="U81" s="6"/>
      <c r="V81" s="6"/>
      <c r="W81" s="321"/>
      <c r="X81" s="6"/>
      <c r="Y81" s="6"/>
      <c r="Z81" s="6"/>
      <c r="AA81" s="8"/>
      <c r="AB81" s="8"/>
      <c r="AC81" s="8"/>
      <c r="AD81" s="8"/>
      <c r="AE81" s="8"/>
      <c r="AF81" s="327"/>
      <c r="AG81" s="335">
        <v>2779</v>
      </c>
      <c r="AH81" s="336">
        <v>8.4654474564175283E-2</v>
      </c>
      <c r="AI81" s="335">
        <v>346</v>
      </c>
      <c r="AJ81" s="335">
        <v>100</v>
      </c>
      <c r="AK81" s="365">
        <v>0.22421524663677131</v>
      </c>
      <c r="AL81" s="363"/>
      <c r="AM81" s="368">
        <v>2479</v>
      </c>
      <c r="AN81" s="369">
        <v>0</v>
      </c>
      <c r="AO81" s="369">
        <f>IF(AN81=0,0,IF(AN81=1,100,EXP($AW$75+$AU$75/(100*AN81))))/100</f>
        <v>0</v>
      </c>
      <c r="AP81" s="369" t="e">
        <f>VLOOKUP(AM81,$AG$81:$AK$96,5,FALSE)</f>
        <v>#N/A</v>
      </c>
      <c r="AQ81" s="370">
        <f>IF(ISNUMBER(AP81),AP81,AO81)</f>
        <v>0</v>
      </c>
      <c r="AR81" s="328"/>
      <c r="AS81" s="328"/>
      <c r="AT81" s="328"/>
      <c r="AU81" s="328"/>
      <c r="AV81" s="328"/>
      <c r="AW81" s="328"/>
      <c r="AX81" s="328"/>
      <c r="AY81" s="328"/>
      <c r="AZ81" s="328"/>
      <c r="BA81" s="328"/>
      <c r="BB81" s="328"/>
      <c r="BC81" s="328"/>
      <c r="BD81" s="328"/>
      <c r="BE81" s="328"/>
      <c r="BF81" s="328"/>
      <c r="BG81" s="328"/>
      <c r="BH81" s="374"/>
      <c r="BI81" s="328"/>
      <c r="BJ81" s="328"/>
      <c r="BK81" s="328"/>
      <c r="BL81" s="327"/>
      <c r="BM81" s="327"/>
      <c r="BN81" s="328"/>
      <c r="BO81" s="328"/>
      <c r="BP81" s="328"/>
      <c r="BQ81" s="327"/>
      <c r="BR81" s="327"/>
      <c r="BS81" s="327"/>
      <c r="BT81" s="327"/>
    </row>
    <row r="82" spans="6:72" ht="18">
      <c r="F82" s="6"/>
      <c r="G82" s="6"/>
      <c r="H82" s="6"/>
      <c r="I82" s="6"/>
      <c r="J82" s="6"/>
      <c r="K82" s="6"/>
      <c r="L82" s="6"/>
      <c r="M82" s="6"/>
      <c r="N82" s="6"/>
      <c r="O82" s="6"/>
      <c r="P82" s="6"/>
      <c r="Q82" s="6"/>
      <c r="R82" s="320"/>
      <c r="S82" s="6"/>
      <c r="T82" s="6"/>
      <c r="U82" s="6"/>
      <c r="V82" s="6"/>
      <c r="W82" s="321"/>
      <c r="X82" s="6"/>
      <c r="Y82" s="6"/>
      <c r="Z82" s="6"/>
      <c r="AA82" s="8"/>
      <c r="AB82" s="8"/>
      <c r="AC82" s="8"/>
      <c r="AD82" s="8"/>
      <c r="AE82" s="8"/>
      <c r="AF82" s="327"/>
      <c r="AG82" s="335">
        <v>2780</v>
      </c>
      <c r="AH82" s="336">
        <v>0.41809202860723732</v>
      </c>
      <c r="AI82" s="337">
        <v>1941</v>
      </c>
      <c r="AJ82" s="337">
        <v>1839</v>
      </c>
      <c r="AK82" s="365">
        <v>0.4865079365079365</v>
      </c>
      <c r="AL82" s="363"/>
      <c r="AM82" s="368">
        <v>2480</v>
      </c>
      <c r="AN82" s="369">
        <v>0</v>
      </c>
      <c r="AO82" s="369">
        <f t="shared" ref="AO82:AO135" si="4">IF(AN82=0,0,IF(AN82=1,100,EXP($AW$75+$AU$75/(100*AN82))))/100</f>
        <v>0</v>
      </c>
      <c r="AP82" s="369" t="e">
        <f t="shared" ref="AP82:AP135" si="5">VLOOKUP(AM82,$AG$81:$AK$96,5,FALSE)</f>
        <v>#N/A</v>
      </c>
      <c r="AQ82" s="370">
        <f t="shared" ref="AQ82:AQ135" si="6">IF(ISNUMBER(AP82),AP82,AO82)</f>
        <v>0</v>
      </c>
      <c r="AR82" s="328"/>
      <c r="AS82" s="328"/>
      <c r="AT82" s="328"/>
      <c r="AU82" s="328"/>
      <c r="AV82" s="328"/>
      <c r="AW82" s="328"/>
      <c r="AX82" s="328"/>
      <c r="AY82" s="328"/>
      <c r="AZ82" s="328"/>
      <c r="BA82" s="328"/>
      <c r="BB82" s="328"/>
      <c r="BC82" s="328"/>
      <c r="BD82" s="328"/>
      <c r="BE82" s="328"/>
      <c r="BF82" s="328"/>
      <c r="BG82" s="328"/>
      <c r="BH82" s="374"/>
      <c r="BI82" s="328"/>
      <c r="BJ82" s="328"/>
      <c r="BK82" s="328"/>
      <c r="BL82" s="327"/>
      <c r="BM82" s="327"/>
      <c r="BN82" s="328"/>
      <c r="BO82" s="328"/>
      <c r="BP82" s="328"/>
      <c r="BQ82" s="327"/>
      <c r="BR82" s="327"/>
      <c r="BS82" s="327"/>
      <c r="BT82" s="327"/>
    </row>
    <row r="83" spans="6:72" ht="18">
      <c r="F83" s="6"/>
      <c r="G83" s="6"/>
      <c r="H83" s="6"/>
      <c r="I83" s="6"/>
      <c r="J83" s="6"/>
      <c r="K83" s="6"/>
      <c r="L83" s="6"/>
      <c r="M83" s="6"/>
      <c r="N83" s="6"/>
      <c r="O83" s="6"/>
      <c r="P83" s="6"/>
      <c r="Q83" s="6"/>
      <c r="R83" s="320"/>
      <c r="S83" s="6"/>
      <c r="T83" s="6"/>
      <c r="U83" s="6"/>
      <c r="V83" s="6"/>
      <c r="W83" s="321"/>
      <c r="X83" s="6"/>
      <c r="Y83" s="6"/>
      <c r="Z83" s="6"/>
      <c r="AA83" s="8"/>
      <c r="AB83" s="8"/>
      <c r="AC83" s="8"/>
      <c r="AD83" s="8"/>
      <c r="AE83" s="8"/>
      <c r="AF83" s="327"/>
      <c r="AG83" s="335">
        <v>2880</v>
      </c>
      <c r="AH83" s="336">
        <v>0.49014273437163336</v>
      </c>
      <c r="AI83" s="337">
        <v>13206</v>
      </c>
      <c r="AJ83" s="337">
        <v>17124</v>
      </c>
      <c r="AK83" s="365">
        <v>0.56458951533135504</v>
      </c>
      <c r="AL83" s="363"/>
      <c r="AM83" s="368">
        <v>2481</v>
      </c>
      <c r="AN83" s="369">
        <v>0</v>
      </c>
      <c r="AO83" s="369">
        <f t="shared" si="4"/>
        <v>0</v>
      </c>
      <c r="AP83" s="369" t="e">
        <f t="shared" si="5"/>
        <v>#N/A</v>
      </c>
      <c r="AQ83" s="370">
        <f t="shared" si="6"/>
        <v>0</v>
      </c>
      <c r="AR83" s="328"/>
      <c r="AS83" s="328"/>
      <c r="AT83" s="328"/>
      <c r="AU83" s="328"/>
      <c r="AV83" s="328"/>
      <c r="AW83" s="328"/>
      <c r="AX83" s="328"/>
      <c r="AY83" s="328"/>
      <c r="AZ83" s="328"/>
      <c r="BA83" s="328"/>
      <c r="BB83" s="328"/>
      <c r="BC83" s="328"/>
      <c r="BD83" s="328"/>
      <c r="BE83" s="328"/>
      <c r="BF83" s="328"/>
      <c r="BG83" s="328"/>
      <c r="BH83" s="374"/>
      <c r="BI83" s="328"/>
      <c r="BJ83" s="328"/>
      <c r="BK83" s="328"/>
      <c r="BL83" s="327"/>
      <c r="BM83" s="327"/>
      <c r="BN83" s="328"/>
      <c r="BO83" s="328"/>
      <c r="BP83" s="328"/>
      <c r="BQ83" s="327"/>
      <c r="BR83" s="327"/>
      <c r="BS83" s="327"/>
      <c r="BT83" s="327"/>
    </row>
    <row r="84" spans="6:72" ht="18">
      <c r="F84" s="6"/>
      <c r="G84" s="6"/>
      <c r="H84" s="6"/>
      <c r="I84" s="6"/>
      <c r="J84" s="6"/>
      <c r="K84" s="6"/>
      <c r="L84" s="6"/>
      <c r="M84" s="6"/>
      <c r="N84" s="6"/>
      <c r="O84" s="6"/>
      <c r="P84" s="6"/>
      <c r="Q84" s="6"/>
      <c r="R84" s="320"/>
      <c r="S84" s="6"/>
      <c r="T84" s="6"/>
      <c r="U84" s="6"/>
      <c r="V84" s="6"/>
      <c r="W84" s="321"/>
      <c r="X84" s="6"/>
      <c r="Y84" s="6"/>
      <c r="Z84" s="6"/>
      <c r="AA84" s="8"/>
      <c r="AB84" s="8"/>
      <c r="AC84" s="8"/>
      <c r="AD84" s="8"/>
      <c r="AE84" s="8"/>
      <c r="AF84" s="327"/>
      <c r="AG84" s="335">
        <v>2980</v>
      </c>
      <c r="AH84" s="336">
        <v>0.43625185414871492</v>
      </c>
      <c r="AI84" s="337">
        <v>11731</v>
      </c>
      <c r="AJ84" s="337">
        <v>55017</v>
      </c>
      <c r="AK84" s="365">
        <v>0.82424941571283039</v>
      </c>
      <c r="AL84" s="363"/>
      <c r="AM84" s="368">
        <v>2482</v>
      </c>
      <c r="AN84" s="369">
        <v>0</v>
      </c>
      <c r="AO84" s="369">
        <f t="shared" si="4"/>
        <v>0</v>
      </c>
      <c r="AP84" s="369" t="e">
        <f t="shared" si="5"/>
        <v>#N/A</v>
      </c>
      <c r="AQ84" s="370">
        <f t="shared" si="6"/>
        <v>0</v>
      </c>
      <c r="AR84" s="328"/>
      <c r="AS84" s="328"/>
      <c r="AT84" s="328"/>
      <c r="AU84" s="328"/>
      <c r="AV84" s="328"/>
      <c r="AW84" s="328"/>
      <c r="AX84" s="328"/>
      <c r="AY84" s="328"/>
      <c r="AZ84" s="328"/>
      <c r="BA84" s="328"/>
      <c r="BB84" s="328"/>
      <c r="BC84" s="328"/>
      <c r="BD84" s="328"/>
      <c r="BE84" s="328"/>
      <c r="BF84" s="328"/>
      <c r="BG84" s="328"/>
      <c r="BH84" s="374"/>
      <c r="BI84" s="328"/>
      <c r="BJ84" s="328"/>
      <c r="BK84" s="328"/>
      <c r="BL84" s="327"/>
      <c r="BM84" s="327"/>
      <c r="BN84" s="328"/>
      <c r="BO84" s="328"/>
      <c r="BP84" s="328"/>
      <c r="BQ84" s="327"/>
      <c r="BR84" s="327"/>
      <c r="BS84" s="327"/>
      <c r="BT84" s="327"/>
    </row>
    <row r="85" spans="6:72" ht="18">
      <c r="F85" s="6"/>
      <c r="G85" s="6"/>
      <c r="H85" s="6"/>
      <c r="I85" s="6"/>
      <c r="J85" s="6"/>
      <c r="K85" s="6"/>
      <c r="L85" s="6"/>
      <c r="M85" s="6"/>
      <c r="N85" s="6"/>
      <c r="O85" s="6"/>
      <c r="P85" s="6"/>
      <c r="Q85" s="6"/>
      <c r="R85" s="320"/>
      <c r="S85" s="6"/>
      <c r="T85" s="6"/>
      <c r="U85" s="6"/>
      <c r="V85" s="6"/>
      <c r="W85" s="321"/>
      <c r="X85" s="6"/>
      <c r="Y85" s="6"/>
      <c r="Z85" s="6"/>
      <c r="AA85" s="8"/>
      <c r="AB85" s="8"/>
      <c r="AC85" s="8"/>
      <c r="AD85" s="8"/>
      <c r="AE85" s="8"/>
      <c r="AF85" s="327"/>
      <c r="AG85" s="335">
        <v>3080</v>
      </c>
      <c r="AH85" s="336">
        <v>0.72899667342345464</v>
      </c>
      <c r="AI85" s="337">
        <v>11699</v>
      </c>
      <c r="AJ85" s="337">
        <v>170121</v>
      </c>
      <c r="AK85" s="365">
        <v>0.93565614343856562</v>
      </c>
      <c r="AL85" s="363"/>
      <c r="AM85" s="368">
        <v>2579</v>
      </c>
      <c r="AN85" s="369">
        <v>0</v>
      </c>
      <c r="AO85" s="369">
        <f t="shared" si="4"/>
        <v>0</v>
      </c>
      <c r="AP85" s="369" t="e">
        <f t="shared" si="5"/>
        <v>#N/A</v>
      </c>
      <c r="AQ85" s="370">
        <f t="shared" si="6"/>
        <v>0</v>
      </c>
      <c r="AR85" s="328"/>
      <c r="AS85" s="328"/>
      <c r="AT85" s="328"/>
      <c r="AU85" s="328"/>
      <c r="AV85" s="328"/>
      <c r="AW85" s="328"/>
      <c r="AX85" s="328"/>
      <c r="AY85" s="328"/>
      <c r="AZ85" s="328"/>
      <c r="BA85" s="328"/>
      <c r="BB85" s="328"/>
      <c r="BC85" s="328"/>
      <c r="BD85" s="328"/>
      <c r="BE85" s="328"/>
      <c r="BF85" s="328"/>
      <c r="BG85" s="328"/>
      <c r="BH85" s="374"/>
      <c r="BI85" s="328"/>
      <c r="BJ85" s="328"/>
      <c r="BK85" s="328"/>
      <c r="BL85" s="327"/>
      <c r="BM85" s="327"/>
      <c r="BN85" s="328"/>
      <c r="BO85" s="328"/>
      <c r="BP85" s="328"/>
      <c r="BQ85" s="327"/>
      <c r="BR85" s="327"/>
      <c r="BS85" s="327"/>
      <c r="BT85" s="327"/>
    </row>
    <row r="86" spans="6:72" ht="18">
      <c r="F86" s="6"/>
      <c r="G86" s="6"/>
      <c r="H86" s="6"/>
      <c r="I86" s="6"/>
      <c r="J86" s="6"/>
      <c r="K86" s="6"/>
      <c r="L86" s="6"/>
      <c r="M86" s="6"/>
      <c r="N86" s="6"/>
      <c r="O86" s="6"/>
      <c r="P86" s="6"/>
      <c r="Q86" s="6"/>
      <c r="R86" s="320"/>
      <c r="S86" s="6"/>
      <c r="T86" s="6"/>
      <c r="U86" s="6"/>
      <c r="V86" s="6"/>
      <c r="W86" s="321"/>
      <c r="X86" s="6"/>
      <c r="Y86" s="6"/>
      <c r="Z86" s="6"/>
      <c r="AA86" s="8"/>
      <c r="AB86" s="8"/>
      <c r="AC86" s="8"/>
      <c r="AD86" s="8"/>
      <c r="AE86" s="8"/>
      <c r="AF86" s="327"/>
      <c r="AG86" s="335">
        <v>3179</v>
      </c>
      <c r="AH86" s="336">
        <v>0.42438686754582028</v>
      </c>
      <c r="AI86" s="337">
        <v>1876</v>
      </c>
      <c r="AJ86" s="337">
        <v>21975</v>
      </c>
      <c r="AK86" s="365">
        <v>0.92134501698042015</v>
      </c>
      <c r="AL86" s="363"/>
      <c r="AM86" s="368">
        <v>2580</v>
      </c>
      <c r="AN86" s="369">
        <v>0</v>
      </c>
      <c r="AO86" s="369">
        <f t="shared" si="4"/>
        <v>0</v>
      </c>
      <c r="AP86" s="369" t="e">
        <f t="shared" si="5"/>
        <v>#N/A</v>
      </c>
      <c r="AQ86" s="370">
        <f t="shared" si="6"/>
        <v>0</v>
      </c>
      <c r="AR86" s="328"/>
      <c r="AS86" s="328"/>
      <c r="AT86" s="328"/>
      <c r="AU86" s="328"/>
      <c r="AV86" s="328"/>
      <c r="AW86" s="328"/>
      <c r="AX86" s="328"/>
      <c r="AY86" s="328"/>
      <c r="AZ86" s="328"/>
      <c r="BA86" s="328"/>
      <c r="BB86" s="328"/>
      <c r="BC86" s="328"/>
      <c r="BD86" s="328"/>
      <c r="BE86" s="328"/>
      <c r="BF86" s="328"/>
      <c r="BG86" s="328"/>
      <c r="BH86" s="374"/>
      <c r="BI86" s="328"/>
      <c r="BJ86" s="328"/>
      <c r="BK86" s="328"/>
      <c r="BL86" s="327"/>
      <c r="BM86" s="327"/>
      <c r="BN86" s="328"/>
      <c r="BO86" s="328"/>
      <c r="BP86" s="328"/>
      <c r="BQ86" s="327"/>
      <c r="BR86" s="327"/>
      <c r="BS86" s="327"/>
      <c r="BT86" s="327"/>
    </row>
    <row r="87" spans="6:72" ht="18">
      <c r="F87" s="6"/>
      <c r="G87" s="6"/>
      <c r="H87" s="6"/>
      <c r="I87" s="6"/>
      <c r="J87" s="6"/>
      <c r="K87" s="6"/>
      <c r="L87" s="6"/>
      <c r="M87" s="6"/>
      <c r="N87" s="6"/>
      <c r="O87" s="6"/>
      <c r="P87" s="6"/>
      <c r="Q87" s="6"/>
      <c r="R87" s="320"/>
      <c r="S87" s="6"/>
      <c r="T87" s="6"/>
      <c r="U87" s="6"/>
      <c r="V87" s="6"/>
      <c r="W87" s="321"/>
      <c r="X87" s="6"/>
      <c r="Y87" s="6"/>
      <c r="Z87" s="6"/>
      <c r="AA87" s="8"/>
      <c r="AB87" s="8"/>
      <c r="AC87" s="8"/>
      <c r="AD87" s="8"/>
      <c r="AE87" s="8"/>
      <c r="AF87" s="327"/>
      <c r="AG87" s="335">
        <v>3180</v>
      </c>
      <c r="AH87" s="336">
        <v>0.54490170175939789</v>
      </c>
      <c r="AI87" s="337">
        <v>1188</v>
      </c>
      <c r="AJ87" s="337">
        <v>23595</v>
      </c>
      <c r="AK87" s="365">
        <v>0.95206391478029295</v>
      </c>
      <c r="AL87" s="363"/>
      <c r="AM87" s="368">
        <v>2674</v>
      </c>
      <c r="AN87" s="369">
        <v>0</v>
      </c>
      <c r="AO87" s="369">
        <f t="shared" si="4"/>
        <v>0</v>
      </c>
      <c r="AP87" s="369" t="e">
        <f t="shared" si="5"/>
        <v>#N/A</v>
      </c>
      <c r="AQ87" s="370">
        <f t="shared" si="6"/>
        <v>0</v>
      </c>
      <c r="AR87" s="328"/>
      <c r="AS87" s="328"/>
      <c r="AT87" s="328"/>
      <c r="AU87" s="328"/>
      <c r="AV87" s="328"/>
      <c r="AW87" s="328"/>
      <c r="AX87" s="328"/>
      <c r="AY87" s="328"/>
      <c r="AZ87" s="328"/>
      <c r="BA87" s="328"/>
      <c r="BB87" s="328"/>
      <c r="BC87" s="328"/>
      <c r="BD87" s="328"/>
      <c r="BE87" s="328"/>
      <c r="BF87" s="328"/>
      <c r="BG87" s="328"/>
      <c r="BH87" s="374"/>
      <c r="BI87" s="328"/>
      <c r="BJ87" s="328"/>
      <c r="BK87" s="328"/>
      <c r="BL87" s="327"/>
      <c r="BM87" s="327"/>
      <c r="BN87" s="328"/>
      <c r="BO87" s="328"/>
      <c r="BP87" s="328"/>
      <c r="BQ87" s="327"/>
      <c r="BR87" s="327"/>
      <c r="BS87" s="327"/>
      <c r="BT87" s="327"/>
    </row>
    <row r="88" spans="6:72" ht="18">
      <c r="F88" s="6"/>
      <c r="G88" s="6"/>
      <c r="H88" s="6"/>
      <c r="I88" s="6"/>
      <c r="J88" s="6"/>
      <c r="K88" s="6"/>
      <c r="L88" s="6"/>
      <c r="M88" s="6"/>
      <c r="N88" s="6"/>
      <c r="O88" s="6"/>
      <c r="P88" s="6"/>
      <c r="Q88" s="6"/>
      <c r="R88" s="320"/>
      <c r="S88" s="6"/>
      <c r="T88" s="6"/>
      <c r="U88" s="6"/>
      <c r="V88" s="6"/>
      <c r="W88" s="321"/>
      <c r="X88" s="6"/>
      <c r="Y88" s="6"/>
      <c r="Z88" s="6"/>
      <c r="AA88" s="8"/>
      <c r="AB88" s="8"/>
      <c r="AC88" s="8"/>
      <c r="AD88" s="8"/>
      <c r="AE88" s="8"/>
      <c r="AF88" s="327"/>
      <c r="AG88" s="335">
        <v>3278</v>
      </c>
      <c r="AH88" s="336">
        <v>0.47195683300009483</v>
      </c>
      <c r="AI88" s="337">
        <v>5337</v>
      </c>
      <c r="AJ88" s="337">
        <v>19271</v>
      </c>
      <c r="AK88" s="365">
        <v>0.78311931079323793</v>
      </c>
      <c r="AL88" s="363"/>
      <c r="AM88" s="368">
        <v>2679</v>
      </c>
      <c r="AN88" s="369">
        <v>8.7458310269272199E-2</v>
      </c>
      <c r="AO88" s="369">
        <f t="shared" si="4"/>
        <v>0.30381413801842916</v>
      </c>
      <c r="AP88" s="369" t="e">
        <f t="shared" si="5"/>
        <v>#N/A</v>
      </c>
      <c r="AQ88" s="370">
        <f t="shared" si="6"/>
        <v>0.30381413801842916</v>
      </c>
      <c r="AR88" s="328"/>
      <c r="AS88" s="328"/>
      <c r="AT88" s="328"/>
      <c r="AU88" s="328"/>
      <c r="AV88" s="328"/>
      <c r="AW88" s="328"/>
      <c r="AX88" s="328"/>
      <c r="AY88" s="328"/>
      <c r="AZ88" s="328"/>
      <c r="BA88" s="328"/>
      <c r="BB88" s="328"/>
      <c r="BC88" s="328"/>
      <c r="BD88" s="328"/>
      <c r="BE88" s="328"/>
      <c r="BF88" s="328"/>
      <c r="BG88" s="328"/>
      <c r="BH88" s="374"/>
      <c r="BI88" s="328"/>
      <c r="BJ88" s="328"/>
      <c r="BK88" s="328"/>
      <c r="BL88" s="327"/>
      <c r="BM88" s="327"/>
      <c r="BN88" s="328"/>
      <c r="BO88" s="328"/>
      <c r="BP88" s="328"/>
      <c r="BQ88" s="327"/>
      <c r="BR88" s="327"/>
      <c r="BS88" s="327"/>
      <c r="BT88" s="327"/>
    </row>
    <row r="89" spans="6:72" ht="18">
      <c r="F89" s="6"/>
      <c r="G89" s="6"/>
      <c r="H89" s="6"/>
      <c r="I89" s="6"/>
      <c r="J89" s="6"/>
      <c r="K89" s="6"/>
      <c r="L89" s="6"/>
      <c r="M89" s="6"/>
      <c r="N89" s="6"/>
      <c r="O89" s="6"/>
      <c r="P89" s="6"/>
      <c r="Q89" s="6"/>
      <c r="R89" s="320"/>
      <c r="S89" s="6"/>
      <c r="T89" s="6"/>
      <c r="U89" s="6"/>
      <c r="V89" s="6"/>
      <c r="W89" s="321"/>
      <c r="X89" s="6"/>
      <c r="Y89" s="6"/>
      <c r="Z89" s="6"/>
      <c r="AA89" s="8"/>
      <c r="AB89" s="8"/>
      <c r="AC89" s="8"/>
      <c r="AD89" s="8"/>
      <c r="AE89" s="8"/>
      <c r="AF89" s="327"/>
      <c r="AG89" s="335">
        <v>3279</v>
      </c>
      <c r="AH89" s="336">
        <v>0.51074899565246656</v>
      </c>
      <c r="AI89" s="337">
        <v>10251</v>
      </c>
      <c r="AJ89" s="337">
        <v>23170</v>
      </c>
      <c r="AK89" s="365">
        <v>0.69327668232548401</v>
      </c>
      <c r="AL89" s="363"/>
      <c r="AM89" s="368">
        <v>2680</v>
      </c>
      <c r="AN89" s="369">
        <v>0.17665126022762759</v>
      </c>
      <c r="AO89" s="369">
        <f t="shared" si="4"/>
        <v>0.55521960683278271</v>
      </c>
      <c r="AP89" s="369" t="e">
        <f t="shared" si="5"/>
        <v>#N/A</v>
      </c>
      <c r="AQ89" s="370">
        <f t="shared" si="6"/>
        <v>0.55521960683278271</v>
      </c>
      <c r="AR89" s="328"/>
      <c r="AS89" s="328"/>
      <c r="AT89" s="328"/>
      <c r="AU89" s="328"/>
      <c r="AV89" s="328"/>
      <c r="AW89" s="328"/>
      <c r="AX89" s="328"/>
      <c r="AY89" s="328"/>
      <c r="AZ89" s="328"/>
      <c r="BA89" s="328"/>
      <c r="BB89" s="328"/>
      <c r="BC89" s="328"/>
      <c r="BD89" s="328"/>
      <c r="BE89" s="328"/>
      <c r="BF89" s="328"/>
      <c r="BG89" s="328"/>
      <c r="BH89" s="374"/>
      <c r="BI89" s="328"/>
      <c r="BJ89" s="328"/>
      <c r="BK89" s="328"/>
      <c r="BL89" s="327"/>
      <c r="BM89" s="327"/>
      <c r="BN89" s="328"/>
      <c r="BO89" s="328"/>
      <c r="BP89" s="328"/>
      <c r="BQ89" s="327"/>
      <c r="BR89" s="327"/>
      <c r="BS89" s="327"/>
      <c r="BT89" s="327"/>
    </row>
    <row r="90" spans="6:72" ht="18">
      <c r="F90" s="6"/>
      <c r="G90" s="6"/>
      <c r="H90" s="6"/>
      <c r="I90" s="6"/>
      <c r="J90" s="6"/>
      <c r="K90" s="6"/>
      <c r="L90" s="6"/>
      <c r="M90" s="6"/>
      <c r="N90" s="6"/>
      <c r="O90" s="6"/>
      <c r="P90" s="6"/>
      <c r="Q90" s="6"/>
      <c r="R90" s="320"/>
      <c r="S90" s="6"/>
      <c r="T90" s="6"/>
      <c r="U90" s="6"/>
      <c r="V90" s="6"/>
      <c r="W90" s="321"/>
      <c r="X90" s="6"/>
      <c r="Y90" s="6"/>
      <c r="Z90" s="6"/>
      <c r="AA90" s="8"/>
      <c r="AB90" s="8"/>
      <c r="AC90" s="8"/>
      <c r="AD90" s="8"/>
      <c r="AE90" s="8"/>
      <c r="AF90" s="327"/>
      <c r="AG90" s="335">
        <v>3376</v>
      </c>
      <c r="AH90" s="336">
        <v>0.27480357720803877</v>
      </c>
      <c r="AI90" s="335">
        <v>481</v>
      </c>
      <c r="AJ90" s="337">
        <v>3420</v>
      </c>
      <c r="AK90" s="365">
        <v>0.87669828249166881</v>
      </c>
      <c r="AL90" s="363"/>
      <c r="AM90" s="368">
        <v>2770</v>
      </c>
      <c r="AN90" s="369">
        <v>0</v>
      </c>
      <c r="AO90" s="369">
        <f t="shared" si="4"/>
        <v>0</v>
      </c>
      <c r="AP90" s="369" t="e">
        <f t="shared" si="5"/>
        <v>#N/A</v>
      </c>
      <c r="AQ90" s="370">
        <f t="shared" si="6"/>
        <v>0</v>
      </c>
      <c r="AR90" s="328"/>
      <c r="AS90" s="328"/>
      <c r="AT90" s="328"/>
      <c r="AU90" s="328"/>
      <c r="AV90" s="328"/>
      <c r="AW90" s="328"/>
      <c r="AX90" s="328"/>
      <c r="AY90" s="328"/>
      <c r="AZ90" s="328"/>
      <c r="BA90" s="328"/>
      <c r="BB90" s="328"/>
      <c r="BC90" s="328"/>
      <c r="BD90" s="328"/>
      <c r="BE90" s="328"/>
      <c r="BF90" s="328"/>
      <c r="BG90" s="328"/>
      <c r="BH90" s="374"/>
      <c r="BI90" s="328"/>
      <c r="BJ90" s="328"/>
      <c r="BK90" s="328"/>
      <c r="BL90" s="327"/>
      <c r="BM90" s="327"/>
      <c r="BN90" s="328"/>
      <c r="BO90" s="328"/>
      <c r="BP90" s="328"/>
      <c r="BQ90" s="327"/>
      <c r="BR90" s="327"/>
      <c r="BS90" s="327"/>
      <c r="BT90" s="327"/>
    </row>
    <row r="91" spans="6:72" ht="18">
      <c r="F91" s="6"/>
      <c r="G91" s="6"/>
      <c r="H91" s="6"/>
      <c r="I91" s="6"/>
      <c r="J91" s="6"/>
      <c r="K91" s="6"/>
      <c r="L91" s="6"/>
      <c r="M91" s="6"/>
      <c r="N91" s="6"/>
      <c r="O91" s="6"/>
      <c r="P91" s="6"/>
      <c r="Q91" s="6"/>
      <c r="R91" s="320"/>
      <c r="S91" s="6"/>
      <c r="T91" s="6"/>
      <c r="U91" s="6"/>
      <c r="V91" s="6"/>
      <c r="W91" s="321"/>
      <c r="X91" s="6"/>
      <c r="Y91" s="6"/>
      <c r="Z91" s="6"/>
      <c r="AA91" s="8"/>
      <c r="AB91" s="8"/>
      <c r="AC91" s="8"/>
      <c r="AD91" s="8"/>
      <c r="AE91" s="8"/>
      <c r="AF91" s="327"/>
      <c r="AG91" s="335">
        <v>3377</v>
      </c>
      <c r="AH91" s="336">
        <v>0.57458484995643089</v>
      </c>
      <c r="AI91" s="337">
        <v>1574</v>
      </c>
      <c r="AJ91" s="337">
        <v>4397</v>
      </c>
      <c r="AK91" s="365">
        <v>0.7363925640596215</v>
      </c>
      <c r="AL91" s="363"/>
      <c r="AM91" s="368">
        <v>2778</v>
      </c>
      <c r="AN91" s="369">
        <v>0</v>
      </c>
      <c r="AO91" s="369">
        <f t="shared" si="4"/>
        <v>0</v>
      </c>
      <c r="AP91" s="369" t="e">
        <f t="shared" si="5"/>
        <v>#N/A</v>
      </c>
      <c r="AQ91" s="370">
        <f t="shared" si="6"/>
        <v>0</v>
      </c>
      <c r="AR91" s="328"/>
      <c r="AS91" s="328"/>
      <c r="AT91" s="328"/>
      <c r="AU91" s="328"/>
      <c r="AV91" s="328"/>
      <c r="AW91" s="328"/>
      <c r="AX91" s="328"/>
      <c r="AY91" s="328"/>
      <c r="AZ91" s="328"/>
      <c r="BA91" s="328"/>
      <c r="BB91" s="328"/>
      <c r="BC91" s="328"/>
      <c r="BD91" s="328"/>
      <c r="BE91" s="328"/>
      <c r="BF91" s="328"/>
      <c r="BG91" s="328"/>
      <c r="BH91" s="374"/>
      <c r="BI91" s="328"/>
      <c r="BJ91" s="328"/>
      <c r="BK91" s="328"/>
      <c r="BL91" s="327"/>
      <c r="BM91" s="327"/>
      <c r="BN91" s="328"/>
      <c r="BO91" s="328"/>
      <c r="BP91" s="328"/>
      <c r="BQ91" s="327"/>
      <c r="BR91" s="327"/>
      <c r="BS91" s="327"/>
      <c r="BT91" s="327"/>
    </row>
    <row r="92" spans="6:72" ht="18">
      <c r="F92" s="6"/>
      <c r="G92" s="6"/>
      <c r="H92" s="6"/>
      <c r="I92" s="6"/>
      <c r="J92" s="6"/>
      <c r="K92" s="6"/>
      <c r="L92" s="6"/>
      <c r="M92" s="6"/>
      <c r="N92" s="6"/>
      <c r="O92" s="6"/>
      <c r="P92" s="6"/>
      <c r="Q92" s="6"/>
      <c r="R92" s="320"/>
      <c r="S92" s="6"/>
      <c r="T92" s="6"/>
      <c r="U92" s="6"/>
      <c r="V92" s="6"/>
      <c r="W92" s="321"/>
      <c r="X92" s="6"/>
      <c r="Y92" s="6"/>
      <c r="Z92" s="6"/>
      <c r="AA92" s="8"/>
      <c r="AB92" s="8"/>
      <c r="AC92" s="8"/>
      <c r="AD92" s="8"/>
      <c r="AE92" s="8"/>
      <c r="AF92" s="327"/>
      <c r="AG92" s="335">
        <v>3378</v>
      </c>
      <c r="AH92" s="336">
        <v>0.31074095749594816</v>
      </c>
      <c r="AI92" s="337">
        <v>5079</v>
      </c>
      <c r="AJ92" s="337">
        <v>20610</v>
      </c>
      <c r="AK92" s="365">
        <v>0.80228891743547825</v>
      </c>
      <c r="AL92" s="363"/>
      <c r="AM92" s="368">
        <v>2779</v>
      </c>
      <c r="AN92" s="369">
        <v>8.4654474564175283E-2</v>
      </c>
      <c r="AO92" s="369">
        <f t="shared" si="4"/>
        <v>0.29203221706459453</v>
      </c>
      <c r="AP92" s="369">
        <f t="shared" si="5"/>
        <v>0.22421524663677131</v>
      </c>
      <c r="AQ92" s="370">
        <f t="shared" si="6"/>
        <v>0.22421524663677131</v>
      </c>
      <c r="AR92" s="328"/>
      <c r="AS92" s="328"/>
      <c r="AT92" s="328"/>
      <c r="AU92" s="328"/>
      <c r="AV92" s="328"/>
      <c r="AW92" s="328"/>
      <c r="AX92" s="328"/>
      <c r="AY92" s="328"/>
      <c r="AZ92" s="328"/>
      <c r="BA92" s="328"/>
      <c r="BB92" s="328"/>
      <c r="BC92" s="328"/>
      <c r="BD92" s="328"/>
      <c r="BE92" s="328"/>
      <c r="BF92" s="328"/>
      <c r="BG92" s="328"/>
      <c r="BH92" s="374"/>
      <c r="BI92" s="328"/>
      <c r="BJ92" s="328"/>
      <c r="BK92" s="328"/>
      <c r="BL92" s="327"/>
      <c r="BM92" s="327"/>
      <c r="BN92" s="328"/>
      <c r="BO92" s="328"/>
      <c r="BP92" s="328"/>
      <c r="BQ92" s="327"/>
      <c r="BR92" s="327"/>
      <c r="BS92" s="327"/>
      <c r="BT92" s="327"/>
    </row>
    <row r="93" spans="6:72" ht="18">
      <c r="F93" s="6"/>
      <c r="G93" s="6"/>
      <c r="H93" s="6"/>
      <c r="I93" s="6"/>
      <c r="J93" s="6"/>
      <c r="K93" s="6"/>
      <c r="L93" s="6"/>
      <c r="M93" s="6"/>
      <c r="N93" s="6"/>
      <c r="O93" s="6"/>
      <c r="P93" s="6"/>
      <c r="Q93" s="6"/>
      <c r="R93" s="320"/>
      <c r="S93" s="6"/>
      <c r="T93" s="6"/>
      <c r="U93" s="6"/>
      <c r="V93" s="6"/>
      <c r="W93" s="321"/>
      <c r="X93" s="6"/>
      <c r="Y93" s="6"/>
      <c r="Z93" s="6"/>
      <c r="AA93" s="8"/>
      <c r="AB93" s="8"/>
      <c r="AC93" s="8"/>
      <c r="AD93" s="8"/>
      <c r="AE93" s="8"/>
      <c r="AF93" s="327"/>
      <c r="AG93" s="335">
        <v>3475</v>
      </c>
      <c r="AH93" s="336">
        <v>0.32881817481697612</v>
      </c>
      <c r="AI93" s="335">
        <v>31</v>
      </c>
      <c r="AJ93" s="335">
        <v>144</v>
      </c>
      <c r="AK93" s="365">
        <v>0.82285714285714284</v>
      </c>
      <c r="AL93" s="363"/>
      <c r="AM93" s="368">
        <v>2780</v>
      </c>
      <c r="AN93" s="369">
        <v>0.41809202860723732</v>
      </c>
      <c r="AO93" s="369">
        <f t="shared" si="4"/>
        <v>0.78116284074928932</v>
      </c>
      <c r="AP93" s="369">
        <f t="shared" si="5"/>
        <v>0.4865079365079365</v>
      </c>
      <c r="AQ93" s="370">
        <f t="shared" si="6"/>
        <v>0.4865079365079365</v>
      </c>
      <c r="AR93" s="328"/>
      <c r="AS93" s="328"/>
      <c r="AT93" s="328"/>
      <c r="AU93" s="328"/>
      <c r="AV93" s="328"/>
      <c r="AW93" s="328"/>
      <c r="AX93" s="328"/>
      <c r="AY93" s="328"/>
      <c r="AZ93" s="328"/>
      <c r="BA93" s="328"/>
      <c r="BB93" s="328"/>
      <c r="BC93" s="328"/>
      <c r="BD93" s="328"/>
      <c r="BE93" s="328"/>
      <c r="BF93" s="328"/>
      <c r="BG93" s="328"/>
      <c r="BH93" s="374"/>
      <c r="BI93" s="328"/>
      <c r="BJ93" s="328"/>
      <c r="BK93" s="328"/>
      <c r="BL93" s="327"/>
      <c r="BM93" s="327"/>
      <c r="BN93" s="328"/>
      <c r="BO93" s="328"/>
      <c r="BP93" s="328"/>
      <c r="BQ93" s="327"/>
      <c r="BR93" s="327"/>
      <c r="BS93" s="327"/>
      <c r="BT93" s="327"/>
    </row>
    <row r="94" spans="6:72" ht="18">
      <c r="F94" s="6"/>
      <c r="G94" s="6"/>
      <c r="H94" s="6"/>
      <c r="I94" s="6"/>
      <c r="J94" s="6"/>
      <c r="K94" s="6"/>
      <c r="L94" s="6"/>
      <c r="M94" s="6"/>
      <c r="N94" s="6"/>
      <c r="O94" s="6"/>
      <c r="P94" s="6"/>
      <c r="Q94" s="6"/>
      <c r="R94" s="320"/>
      <c r="S94" s="6"/>
      <c r="T94" s="6"/>
      <c r="U94" s="6"/>
      <c r="V94" s="6"/>
      <c r="W94" s="321"/>
      <c r="X94" s="6"/>
      <c r="Y94" s="6"/>
      <c r="Z94" s="6"/>
      <c r="AA94" s="8"/>
      <c r="AB94" s="8"/>
      <c r="AC94" s="8"/>
      <c r="AD94" s="8"/>
      <c r="AE94" s="8"/>
      <c r="AF94" s="327"/>
      <c r="AG94" s="335">
        <v>3476</v>
      </c>
      <c r="AH94" s="336">
        <v>0.58396245721472029</v>
      </c>
      <c r="AI94" s="337">
        <v>1889</v>
      </c>
      <c r="AJ94" s="337">
        <v>8253</v>
      </c>
      <c r="AK94" s="365">
        <v>0.8137448235062118</v>
      </c>
      <c r="AL94" s="363"/>
      <c r="AM94" s="368">
        <v>2878</v>
      </c>
      <c r="AN94" s="369">
        <v>0</v>
      </c>
      <c r="AO94" s="369">
        <f t="shared" si="4"/>
        <v>0</v>
      </c>
      <c r="AP94" s="369" t="e">
        <f t="shared" si="5"/>
        <v>#N/A</v>
      </c>
      <c r="AQ94" s="370">
        <f t="shared" si="6"/>
        <v>0</v>
      </c>
      <c r="AR94" s="328"/>
      <c r="AS94" s="328"/>
      <c r="AT94" s="328"/>
      <c r="AU94" s="328"/>
      <c r="AV94" s="328"/>
      <c r="AW94" s="328"/>
      <c r="AX94" s="328"/>
      <c r="AY94" s="328"/>
      <c r="AZ94" s="328"/>
      <c r="BA94" s="328"/>
      <c r="BB94" s="328"/>
      <c r="BC94" s="328"/>
      <c r="BD94" s="328"/>
      <c r="BE94" s="328"/>
      <c r="BF94" s="328"/>
      <c r="BG94" s="328"/>
      <c r="BH94" s="374"/>
      <c r="BI94" s="328"/>
      <c r="BJ94" s="328"/>
      <c r="BK94" s="328"/>
      <c r="BL94" s="327"/>
      <c r="BM94" s="327"/>
      <c r="BN94" s="328"/>
      <c r="BO94" s="328"/>
      <c r="BP94" s="328"/>
      <c r="BQ94" s="327"/>
      <c r="BR94" s="327"/>
      <c r="BS94" s="327"/>
      <c r="BT94" s="327"/>
    </row>
    <row r="95" spans="6:72" ht="18">
      <c r="F95" s="6"/>
      <c r="G95" s="6"/>
      <c r="H95" s="6"/>
      <c r="I95" s="6"/>
      <c r="J95" s="6"/>
      <c r="K95" s="6"/>
      <c r="L95" s="6"/>
      <c r="M95" s="6"/>
      <c r="N95" s="6"/>
      <c r="O95" s="6"/>
      <c r="P95" s="6"/>
      <c r="Q95" s="6"/>
      <c r="R95" s="320"/>
      <c r="S95" s="6"/>
      <c r="T95" s="6"/>
      <c r="U95" s="6"/>
      <c r="V95" s="6"/>
      <c r="W95" s="321"/>
      <c r="X95" s="6"/>
      <c r="Y95" s="6"/>
      <c r="Z95" s="6"/>
      <c r="AA95" s="8"/>
      <c r="AB95" s="8"/>
      <c r="AC95" s="8"/>
      <c r="AD95" s="8"/>
      <c r="AE95" s="8"/>
      <c r="AF95" s="327"/>
      <c r="AG95" s="335">
        <v>3477</v>
      </c>
      <c r="AH95" s="336">
        <v>0.16587714108589266</v>
      </c>
      <c r="AI95" s="335">
        <v>299</v>
      </c>
      <c r="AJ95" s="337">
        <v>1569</v>
      </c>
      <c r="AK95" s="365">
        <v>0.83993576017130622</v>
      </c>
      <c r="AL95" s="363"/>
      <c r="AM95" s="368">
        <v>2879</v>
      </c>
      <c r="AN95" s="369">
        <v>0</v>
      </c>
      <c r="AO95" s="369">
        <f t="shared" si="4"/>
        <v>0</v>
      </c>
      <c r="AP95" s="369" t="e">
        <f t="shared" si="5"/>
        <v>#N/A</v>
      </c>
      <c r="AQ95" s="370">
        <f t="shared" si="6"/>
        <v>0</v>
      </c>
      <c r="AR95" s="328"/>
      <c r="AS95" s="328"/>
      <c r="AT95" s="328"/>
      <c r="AU95" s="328"/>
      <c r="AV95" s="328"/>
      <c r="AW95" s="328"/>
      <c r="AX95" s="328"/>
      <c r="AY95" s="328"/>
      <c r="AZ95" s="328"/>
      <c r="BA95" s="328"/>
      <c r="BB95" s="328"/>
      <c r="BC95" s="328"/>
      <c r="BD95" s="328"/>
      <c r="BE95" s="328"/>
      <c r="BF95" s="328"/>
      <c r="BG95" s="328"/>
      <c r="BH95" s="374"/>
      <c r="BI95" s="328"/>
      <c r="BJ95" s="328"/>
      <c r="BK95" s="328"/>
      <c r="BL95" s="327"/>
      <c r="BM95" s="327"/>
      <c r="BN95" s="328"/>
      <c r="BO95" s="328"/>
      <c r="BP95" s="328"/>
      <c r="BQ95" s="327"/>
      <c r="BR95" s="327"/>
      <c r="BS95" s="327"/>
      <c r="BT95" s="327"/>
    </row>
    <row r="96" spans="6:72" ht="18">
      <c r="F96" s="6"/>
      <c r="G96" s="6"/>
      <c r="H96" s="6"/>
      <c r="I96" s="6"/>
      <c r="J96" s="6"/>
      <c r="K96" s="6"/>
      <c r="L96" s="6"/>
      <c r="M96" s="6"/>
      <c r="N96" s="6"/>
      <c r="O96" s="6"/>
      <c r="P96" s="6"/>
      <c r="Q96" s="6"/>
      <c r="R96" s="320"/>
      <c r="S96" s="6"/>
      <c r="T96" s="6"/>
      <c r="U96" s="6"/>
      <c r="V96" s="6"/>
      <c r="W96" s="321"/>
      <c r="X96" s="6"/>
      <c r="Y96" s="6"/>
      <c r="Z96" s="6"/>
      <c r="AA96" s="8"/>
      <c r="AB96" s="8"/>
      <c r="AC96" s="8"/>
      <c r="AD96" s="8"/>
      <c r="AE96" s="8"/>
      <c r="AF96" s="327"/>
      <c r="AG96" s="335">
        <v>3575</v>
      </c>
      <c r="AH96" s="336">
        <v>0.61973887850640819</v>
      </c>
      <c r="AI96" s="335">
        <v>29</v>
      </c>
      <c r="AJ96" s="335">
        <v>275</v>
      </c>
      <c r="AK96" s="365">
        <v>0.90460526315789469</v>
      </c>
      <c r="AL96" s="363"/>
      <c r="AM96" s="368">
        <v>2880</v>
      </c>
      <c r="AN96" s="369">
        <v>0.49014273437163336</v>
      </c>
      <c r="AO96" s="369">
        <f t="shared" si="4"/>
        <v>0.8103808360553465</v>
      </c>
      <c r="AP96" s="369">
        <f t="shared" si="5"/>
        <v>0.56458951533135504</v>
      </c>
      <c r="AQ96" s="370">
        <f t="shared" si="6"/>
        <v>0.56458951533135504</v>
      </c>
      <c r="AR96" s="328"/>
      <c r="AS96" s="328"/>
      <c r="AT96" s="328"/>
      <c r="AU96" s="328"/>
      <c r="AV96" s="328"/>
      <c r="AW96" s="328"/>
      <c r="AX96" s="328"/>
      <c r="AY96" s="328"/>
      <c r="AZ96" s="328"/>
      <c r="BA96" s="328"/>
      <c r="BB96" s="328"/>
      <c r="BC96" s="328"/>
      <c r="BD96" s="328"/>
      <c r="BE96" s="328"/>
      <c r="BF96" s="328"/>
      <c r="BG96" s="328"/>
      <c r="BH96" s="374"/>
      <c r="BI96" s="328"/>
      <c r="BJ96" s="328"/>
      <c r="BK96" s="328"/>
      <c r="BL96" s="327"/>
      <c r="BM96" s="327"/>
      <c r="BN96" s="328"/>
      <c r="BO96" s="328"/>
      <c r="BP96" s="328"/>
      <c r="BQ96" s="327"/>
      <c r="BR96" s="327"/>
      <c r="BS96" s="327"/>
      <c r="BT96" s="327"/>
    </row>
    <row r="97" spans="6:72" ht="18">
      <c r="F97" s="6"/>
      <c r="G97" s="6"/>
      <c r="H97" s="6"/>
      <c r="I97" s="6"/>
      <c r="J97" s="6"/>
      <c r="K97" s="6"/>
      <c r="L97" s="6"/>
      <c r="M97" s="6"/>
      <c r="N97" s="6"/>
      <c r="O97" s="6"/>
      <c r="P97" s="6"/>
      <c r="Q97" s="6"/>
      <c r="R97" s="320"/>
      <c r="S97" s="6"/>
      <c r="T97" s="6"/>
      <c r="U97" s="6"/>
      <c r="V97" s="6"/>
      <c r="W97" s="321"/>
      <c r="X97" s="6"/>
      <c r="Y97" s="6"/>
      <c r="Z97" s="6"/>
      <c r="AA97" s="8"/>
      <c r="AB97" s="8"/>
      <c r="AC97" s="8"/>
      <c r="AD97" s="8"/>
      <c r="AE97" s="8"/>
      <c r="AF97" s="327"/>
      <c r="AG97" s="327"/>
      <c r="AH97" s="327"/>
      <c r="AI97" s="327"/>
      <c r="AJ97" s="327"/>
      <c r="AK97" s="362"/>
      <c r="AL97" s="363"/>
      <c r="AM97" s="368">
        <v>2979</v>
      </c>
      <c r="AN97" s="369">
        <v>0</v>
      </c>
      <c r="AO97" s="369">
        <f t="shared" si="4"/>
        <v>0</v>
      </c>
      <c r="AP97" s="369" t="e">
        <f t="shared" si="5"/>
        <v>#N/A</v>
      </c>
      <c r="AQ97" s="370">
        <f t="shared" si="6"/>
        <v>0</v>
      </c>
      <c r="AR97" s="328"/>
      <c r="AS97" s="328"/>
      <c r="AT97" s="328"/>
      <c r="AU97" s="328"/>
      <c r="AV97" s="328"/>
      <c r="AW97" s="328"/>
      <c r="AX97" s="328"/>
      <c r="AY97" s="328"/>
      <c r="AZ97" s="328"/>
      <c r="BA97" s="328"/>
      <c r="BB97" s="328"/>
      <c r="BC97" s="328"/>
      <c r="BD97" s="328"/>
      <c r="BE97" s="328"/>
      <c r="BF97" s="328"/>
      <c r="BG97" s="328"/>
      <c r="BH97" s="374"/>
      <c r="BI97" s="328"/>
      <c r="BJ97" s="328"/>
      <c r="BK97" s="328"/>
      <c r="BL97" s="327"/>
      <c r="BM97" s="327"/>
      <c r="BN97" s="328"/>
      <c r="BO97" s="328"/>
      <c r="BP97" s="328"/>
      <c r="BQ97" s="327"/>
      <c r="BR97" s="327"/>
      <c r="BS97" s="327"/>
      <c r="BT97" s="327"/>
    </row>
    <row r="98" spans="6:72" ht="18">
      <c r="F98" s="6"/>
      <c r="G98" s="6"/>
      <c r="H98" s="6"/>
      <c r="I98" s="6"/>
      <c r="J98" s="6"/>
      <c r="K98" s="6"/>
      <c r="L98" s="6"/>
      <c r="M98" s="6"/>
      <c r="N98" s="6"/>
      <c r="O98" s="6"/>
      <c r="P98" s="6"/>
      <c r="Q98" s="6"/>
      <c r="R98" s="320"/>
      <c r="S98" s="6"/>
      <c r="T98" s="6"/>
      <c r="U98" s="6"/>
      <c r="V98" s="6"/>
      <c r="W98" s="321"/>
      <c r="X98" s="6"/>
      <c r="Y98" s="6"/>
      <c r="Z98" s="6"/>
      <c r="AA98" s="8"/>
      <c r="AB98" s="8"/>
      <c r="AC98" s="8"/>
      <c r="AD98" s="8"/>
      <c r="AE98" s="8"/>
      <c r="AF98" s="327"/>
      <c r="AG98" s="327"/>
      <c r="AH98" s="327"/>
      <c r="AI98" s="327"/>
      <c r="AJ98" s="327"/>
      <c r="AK98" s="362"/>
      <c r="AL98" s="363"/>
      <c r="AM98" s="368">
        <v>2980</v>
      </c>
      <c r="AN98" s="369">
        <v>0.43625185414871492</v>
      </c>
      <c r="AO98" s="369">
        <f t="shared" si="4"/>
        <v>0.78932811720460905</v>
      </c>
      <c r="AP98" s="369">
        <f t="shared" si="5"/>
        <v>0.82424941571283039</v>
      </c>
      <c r="AQ98" s="370">
        <f t="shared" si="6"/>
        <v>0.82424941571283039</v>
      </c>
      <c r="AR98" s="328"/>
      <c r="AS98" s="328"/>
      <c r="AT98" s="328"/>
      <c r="AU98" s="328"/>
      <c r="AV98" s="328"/>
      <c r="AW98" s="328"/>
      <c r="AX98" s="328"/>
      <c r="AY98" s="328"/>
      <c r="AZ98" s="328"/>
      <c r="BA98" s="328"/>
      <c r="BB98" s="328"/>
      <c r="BC98" s="328"/>
      <c r="BD98" s="328"/>
      <c r="BE98" s="328"/>
      <c r="BF98" s="328"/>
      <c r="BG98" s="328"/>
      <c r="BH98" s="374"/>
      <c r="BI98" s="328"/>
      <c r="BJ98" s="328"/>
      <c r="BK98" s="328"/>
      <c r="BL98" s="327"/>
      <c r="BM98" s="327"/>
      <c r="BN98" s="328"/>
      <c r="BO98" s="328"/>
      <c r="BP98" s="328"/>
      <c r="BQ98" s="327"/>
      <c r="BR98" s="327"/>
      <c r="BS98" s="327"/>
      <c r="BT98" s="327"/>
    </row>
    <row r="99" spans="6:72" ht="18">
      <c r="F99" s="6"/>
      <c r="G99" s="6"/>
      <c r="H99" s="6"/>
      <c r="I99" s="6"/>
      <c r="J99" s="6"/>
      <c r="K99" s="6"/>
      <c r="L99" s="6"/>
      <c r="M99" s="6"/>
      <c r="N99" s="6"/>
      <c r="O99" s="6"/>
      <c r="P99" s="6"/>
      <c r="Q99" s="6"/>
      <c r="R99" s="320"/>
      <c r="S99" s="6"/>
      <c r="T99" s="6"/>
      <c r="U99" s="6"/>
      <c r="V99" s="6"/>
      <c r="W99" s="321"/>
      <c r="X99" s="6"/>
      <c r="Y99" s="6"/>
      <c r="Z99" s="6"/>
      <c r="AA99" s="8"/>
      <c r="AB99" s="8"/>
      <c r="AC99" s="8"/>
      <c r="AD99" s="8"/>
      <c r="AE99" s="8"/>
      <c r="AF99" s="327"/>
      <c r="AG99" s="327"/>
      <c r="AH99" s="327"/>
      <c r="AI99" s="327"/>
      <c r="AJ99" s="327"/>
      <c r="AK99" s="362"/>
      <c r="AL99" s="363"/>
      <c r="AM99" s="368">
        <v>2981</v>
      </c>
      <c r="AN99" s="369">
        <v>0</v>
      </c>
      <c r="AO99" s="369">
        <f t="shared" si="4"/>
        <v>0</v>
      </c>
      <c r="AP99" s="369" t="e">
        <f t="shared" si="5"/>
        <v>#N/A</v>
      </c>
      <c r="AQ99" s="370">
        <f t="shared" si="6"/>
        <v>0</v>
      </c>
      <c r="AR99" s="328"/>
      <c r="AS99" s="328"/>
      <c r="AT99" s="328"/>
      <c r="AU99" s="328"/>
      <c r="AV99" s="328"/>
      <c r="AW99" s="328"/>
      <c r="AX99" s="328"/>
      <c r="AY99" s="328"/>
      <c r="AZ99" s="328"/>
      <c r="BA99" s="328"/>
      <c r="BB99" s="328"/>
      <c r="BC99" s="328"/>
      <c r="BD99" s="328"/>
      <c r="BE99" s="328"/>
      <c r="BF99" s="328"/>
      <c r="BG99" s="328"/>
      <c r="BH99" s="374"/>
      <c r="BI99" s="328"/>
      <c r="BJ99" s="328"/>
      <c r="BK99" s="328"/>
      <c r="BL99" s="327"/>
      <c r="BM99" s="327"/>
      <c r="BN99" s="328"/>
      <c r="BO99" s="328"/>
      <c r="BP99" s="328"/>
      <c r="BQ99" s="327"/>
      <c r="BR99" s="327"/>
      <c r="BS99" s="327"/>
      <c r="BT99" s="327"/>
    </row>
    <row r="100" spans="6:72" ht="18">
      <c r="F100" s="6"/>
      <c r="G100" s="6"/>
      <c r="H100" s="6"/>
      <c r="I100" s="6"/>
      <c r="J100" s="6"/>
      <c r="K100" s="6"/>
      <c r="L100" s="6"/>
      <c r="M100" s="6"/>
      <c r="N100" s="6"/>
      <c r="O100" s="6"/>
      <c r="P100" s="6"/>
      <c r="Q100" s="6"/>
      <c r="R100" s="320"/>
      <c r="S100" s="6"/>
      <c r="T100" s="6"/>
      <c r="U100" s="6"/>
      <c r="V100" s="6"/>
      <c r="W100" s="321"/>
      <c r="X100" s="6"/>
      <c r="Y100" s="6"/>
      <c r="Z100" s="6"/>
      <c r="AA100" s="8"/>
      <c r="AB100" s="8"/>
      <c r="AC100" s="8"/>
      <c r="AD100" s="8"/>
      <c r="AE100" s="8"/>
      <c r="AF100" s="327"/>
      <c r="AG100" s="327"/>
      <c r="AH100" s="327"/>
      <c r="AI100" s="327"/>
      <c r="AJ100" s="327"/>
      <c r="AK100" s="362"/>
      <c r="AL100" s="363"/>
      <c r="AM100" s="368">
        <v>3079</v>
      </c>
      <c r="AN100" s="369">
        <v>1.9502470122177266E-2</v>
      </c>
      <c r="AO100" s="369">
        <f t="shared" si="4"/>
        <v>4.7368199711665887E-3</v>
      </c>
      <c r="AP100" s="369" t="e">
        <f t="shared" si="5"/>
        <v>#N/A</v>
      </c>
      <c r="AQ100" s="370">
        <f t="shared" si="6"/>
        <v>4.7368199711665887E-3</v>
      </c>
      <c r="AR100" s="328"/>
      <c r="AS100" s="328"/>
      <c r="AT100" s="328"/>
      <c r="AU100" s="328"/>
      <c r="AV100" s="328"/>
      <c r="AW100" s="328"/>
      <c r="AX100" s="328"/>
      <c r="AY100" s="328"/>
      <c r="AZ100" s="328"/>
      <c r="BA100" s="328"/>
      <c r="BB100" s="328"/>
      <c r="BC100" s="328"/>
      <c r="BD100" s="328"/>
      <c r="BE100" s="328"/>
      <c r="BF100" s="328"/>
      <c r="BG100" s="328"/>
      <c r="BH100" s="374"/>
      <c r="BI100" s="328"/>
      <c r="BJ100" s="328"/>
      <c r="BK100" s="328"/>
      <c r="BL100" s="327"/>
      <c r="BM100" s="327"/>
      <c r="BN100" s="328"/>
      <c r="BO100" s="328"/>
      <c r="BP100" s="328"/>
      <c r="BQ100" s="327"/>
      <c r="BR100" s="327"/>
      <c r="BS100" s="327"/>
      <c r="BT100" s="327"/>
    </row>
    <row r="101" spans="6:72" ht="18">
      <c r="F101" s="6"/>
      <c r="G101" s="6"/>
      <c r="H101" s="6"/>
      <c r="I101" s="6"/>
      <c r="J101" s="6"/>
      <c r="K101" s="6"/>
      <c r="L101" s="6"/>
      <c r="M101" s="6"/>
      <c r="N101" s="6"/>
      <c r="O101" s="6"/>
      <c r="P101" s="6"/>
      <c r="Q101" s="6"/>
      <c r="R101" s="320"/>
      <c r="S101" s="6"/>
      <c r="T101" s="6"/>
      <c r="U101" s="6"/>
      <c r="V101" s="6"/>
      <c r="W101" s="321"/>
      <c r="X101" s="6"/>
      <c r="Y101" s="6"/>
      <c r="Z101" s="6"/>
      <c r="AA101" s="8"/>
      <c r="AB101" s="8"/>
      <c r="AC101" s="8"/>
      <c r="AD101" s="8"/>
      <c r="AE101" s="8"/>
      <c r="AF101" s="327"/>
      <c r="AG101" s="327"/>
      <c r="AH101" s="327"/>
      <c r="AI101" s="327"/>
      <c r="AJ101" s="327"/>
      <c r="AK101" s="362"/>
      <c r="AL101" s="363"/>
      <c r="AM101" s="368">
        <v>3080</v>
      </c>
      <c r="AN101" s="369">
        <v>0.72899667342345464</v>
      </c>
      <c r="AO101" s="369">
        <f t="shared" si="4"/>
        <v>0.86897963761465291</v>
      </c>
      <c r="AP101" s="369">
        <f t="shared" si="5"/>
        <v>0.93565614343856562</v>
      </c>
      <c r="AQ101" s="370">
        <f t="shared" si="6"/>
        <v>0.93565614343856562</v>
      </c>
      <c r="AR101" s="328"/>
      <c r="AS101" s="328"/>
      <c r="AT101" s="328"/>
      <c r="AU101" s="328"/>
      <c r="AV101" s="328"/>
      <c r="AW101" s="328"/>
      <c r="AX101" s="328"/>
      <c r="AY101" s="328"/>
      <c r="AZ101" s="328"/>
      <c r="BA101" s="328"/>
      <c r="BB101" s="328"/>
      <c r="BC101" s="328"/>
      <c r="BD101" s="328"/>
      <c r="BE101" s="328"/>
      <c r="BF101" s="328"/>
      <c r="BG101" s="328"/>
      <c r="BH101" s="374"/>
      <c r="BI101" s="328"/>
      <c r="BJ101" s="328"/>
      <c r="BK101" s="328"/>
      <c r="BL101" s="327"/>
      <c r="BM101" s="327"/>
      <c r="BN101" s="328"/>
      <c r="BO101" s="328"/>
      <c r="BP101" s="328"/>
      <c r="BQ101" s="327"/>
      <c r="BR101" s="327"/>
      <c r="BS101" s="327"/>
      <c r="BT101" s="327"/>
    </row>
    <row r="102" spans="6:72" ht="18">
      <c r="F102" s="6"/>
      <c r="G102" s="6"/>
      <c r="H102" s="6"/>
      <c r="I102" s="6"/>
      <c r="J102" s="6"/>
      <c r="K102" s="6"/>
      <c r="L102" s="6"/>
      <c r="M102" s="6"/>
      <c r="N102" s="6"/>
      <c r="O102" s="6"/>
      <c r="P102" s="6"/>
      <c r="Q102" s="6"/>
      <c r="R102" s="320"/>
      <c r="S102" s="6"/>
      <c r="T102" s="6"/>
      <c r="U102" s="6"/>
      <c r="V102" s="6"/>
      <c r="W102" s="321"/>
      <c r="X102" s="6"/>
      <c r="Y102" s="6"/>
      <c r="Z102" s="6"/>
      <c r="AA102" s="8"/>
      <c r="AB102" s="8"/>
      <c r="AC102" s="8"/>
      <c r="AD102" s="8"/>
      <c r="AE102" s="8"/>
      <c r="AF102" s="327"/>
      <c r="AG102" s="327"/>
      <c r="AH102" s="327"/>
      <c r="AI102" s="327"/>
      <c r="AJ102" s="327"/>
      <c r="AK102" s="362"/>
      <c r="AL102" s="363"/>
      <c r="AM102" s="368">
        <v>3081</v>
      </c>
      <c r="AN102" s="369">
        <v>0</v>
      </c>
      <c r="AO102" s="369">
        <f t="shared" si="4"/>
        <v>0</v>
      </c>
      <c r="AP102" s="369" t="e">
        <f t="shared" si="5"/>
        <v>#N/A</v>
      </c>
      <c r="AQ102" s="370">
        <f t="shared" si="6"/>
        <v>0</v>
      </c>
      <c r="AR102" s="328"/>
      <c r="AS102" s="328"/>
      <c r="AT102" s="328"/>
      <c r="AU102" s="328"/>
      <c r="AV102" s="328"/>
      <c r="AW102" s="328"/>
      <c r="AX102" s="328"/>
      <c r="AY102" s="328"/>
      <c r="AZ102" s="328"/>
      <c r="BA102" s="328"/>
      <c r="BB102" s="328"/>
      <c r="BC102" s="328"/>
      <c r="BD102" s="328"/>
      <c r="BE102" s="328"/>
      <c r="BF102" s="328"/>
      <c r="BG102" s="328"/>
      <c r="BH102" s="374"/>
      <c r="BI102" s="328"/>
      <c r="BJ102" s="328"/>
      <c r="BK102" s="328"/>
      <c r="BL102" s="327"/>
      <c r="BM102" s="327"/>
      <c r="BN102" s="328"/>
      <c r="BO102" s="328"/>
      <c r="BP102" s="328"/>
      <c r="BQ102" s="327"/>
      <c r="BR102" s="327"/>
      <c r="BS102" s="327"/>
      <c r="BT102" s="327"/>
    </row>
    <row r="103" spans="6:72" ht="18">
      <c r="F103" s="6"/>
      <c r="G103" s="6"/>
      <c r="H103" s="6"/>
      <c r="I103" s="6"/>
      <c r="J103" s="6"/>
      <c r="K103" s="6"/>
      <c r="L103" s="6"/>
      <c r="M103" s="6"/>
      <c r="N103" s="6"/>
      <c r="O103" s="6"/>
      <c r="P103" s="6"/>
      <c r="Q103" s="6"/>
      <c r="R103" s="320"/>
      <c r="S103" s="6"/>
      <c r="T103" s="6"/>
      <c r="U103" s="6"/>
      <c r="V103" s="6"/>
      <c r="W103" s="321"/>
      <c r="X103" s="6"/>
      <c r="Y103" s="6"/>
      <c r="Z103" s="6"/>
      <c r="AA103" s="8"/>
      <c r="AB103" s="8"/>
      <c r="AC103" s="8"/>
      <c r="AD103" s="8"/>
      <c r="AE103" s="8"/>
      <c r="AF103" s="327"/>
      <c r="AG103" s="327"/>
      <c r="AH103" s="327"/>
      <c r="AI103" s="327"/>
      <c r="AJ103" s="327"/>
      <c r="AK103" s="362"/>
      <c r="AL103" s="363"/>
      <c r="AM103" s="368">
        <v>3174</v>
      </c>
      <c r="AN103" s="369">
        <v>0</v>
      </c>
      <c r="AO103" s="369">
        <f t="shared" si="4"/>
        <v>0</v>
      </c>
      <c r="AP103" s="369" t="e">
        <f t="shared" si="5"/>
        <v>#N/A</v>
      </c>
      <c r="AQ103" s="370">
        <f t="shared" si="6"/>
        <v>0</v>
      </c>
      <c r="AR103" s="328"/>
      <c r="AS103" s="328"/>
      <c r="AT103" s="328"/>
      <c r="AU103" s="328"/>
      <c r="AV103" s="328"/>
      <c r="AW103" s="328"/>
      <c r="AX103" s="328"/>
      <c r="AY103" s="328"/>
      <c r="AZ103" s="328"/>
      <c r="BA103" s="328"/>
      <c r="BB103" s="328"/>
      <c r="BC103" s="328"/>
      <c r="BD103" s="328"/>
      <c r="BE103" s="328"/>
      <c r="BF103" s="328"/>
      <c r="BG103" s="328"/>
      <c r="BH103" s="374"/>
      <c r="BI103" s="328"/>
      <c r="BJ103" s="328"/>
      <c r="BK103" s="328"/>
      <c r="BL103" s="327"/>
      <c r="BM103" s="327"/>
      <c r="BN103" s="328"/>
      <c r="BO103" s="328"/>
      <c r="BP103" s="328"/>
      <c r="BQ103" s="327"/>
      <c r="BR103" s="327"/>
      <c r="BS103" s="327"/>
      <c r="BT103" s="327"/>
    </row>
    <row r="104" spans="6:72" ht="18">
      <c r="F104" s="6"/>
      <c r="G104" s="6"/>
      <c r="H104" s="6"/>
      <c r="I104" s="6"/>
      <c r="J104" s="6"/>
      <c r="K104" s="6"/>
      <c r="L104" s="6"/>
      <c r="M104" s="6"/>
      <c r="N104" s="6"/>
      <c r="O104" s="6"/>
      <c r="P104" s="6"/>
      <c r="Q104" s="6"/>
      <c r="R104" s="320"/>
      <c r="S104" s="6"/>
      <c r="T104" s="6"/>
      <c r="U104" s="6"/>
      <c r="V104" s="6"/>
      <c r="W104" s="321"/>
      <c r="X104" s="6"/>
      <c r="Y104" s="6"/>
      <c r="Z104" s="6"/>
      <c r="AA104" s="8"/>
      <c r="AB104" s="8"/>
      <c r="AC104" s="8"/>
      <c r="AD104" s="8"/>
      <c r="AE104" s="8"/>
      <c r="AF104" s="327"/>
      <c r="AG104" s="327"/>
      <c r="AH104" s="327"/>
      <c r="AI104" s="327"/>
      <c r="AJ104" s="327"/>
      <c r="AK104" s="362"/>
      <c r="AL104" s="363"/>
      <c r="AM104" s="368">
        <v>3175</v>
      </c>
      <c r="AN104" s="369">
        <v>0</v>
      </c>
      <c r="AO104" s="369">
        <f t="shared" si="4"/>
        <v>0</v>
      </c>
      <c r="AP104" s="369" t="e">
        <f t="shared" si="5"/>
        <v>#N/A</v>
      </c>
      <c r="AQ104" s="370">
        <f t="shared" si="6"/>
        <v>0</v>
      </c>
      <c r="AR104" s="328"/>
      <c r="AS104" s="328"/>
      <c r="AT104" s="328"/>
      <c r="AU104" s="328"/>
      <c r="AV104" s="328"/>
      <c r="AW104" s="328"/>
      <c r="AX104" s="328"/>
      <c r="AY104" s="328"/>
      <c r="AZ104" s="328"/>
      <c r="BA104" s="328"/>
      <c r="BB104" s="328"/>
      <c r="BC104" s="328"/>
      <c r="BD104" s="328"/>
      <c r="BE104" s="328"/>
      <c r="BF104" s="328"/>
      <c r="BG104" s="328"/>
      <c r="BH104" s="374"/>
      <c r="BI104" s="328"/>
      <c r="BJ104" s="328"/>
      <c r="BK104" s="328"/>
      <c r="BL104" s="327"/>
      <c r="BM104" s="327"/>
      <c r="BN104" s="328"/>
      <c r="BO104" s="328"/>
      <c r="BP104" s="328"/>
      <c r="BQ104" s="327"/>
      <c r="BR104" s="327"/>
      <c r="BS104" s="327"/>
      <c r="BT104" s="327"/>
    </row>
    <row r="105" spans="6:72" ht="18">
      <c r="F105" s="6"/>
      <c r="G105" s="6"/>
      <c r="H105" s="6"/>
      <c r="I105" s="6"/>
      <c r="J105" s="6"/>
      <c r="K105" s="6"/>
      <c r="L105" s="6"/>
      <c r="M105" s="6"/>
      <c r="N105" s="6"/>
      <c r="O105" s="6"/>
      <c r="P105" s="6"/>
      <c r="Q105" s="6"/>
      <c r="R105" s="320"/>
      <c r="S105" s="6"/>
      <c r="T105" s="6"/>
      <c r="U105" s="6"/>
      <c r="V105" s="6"/>
      <c r="W105" s="321"/>
      <c r="X105" s="6"/>
      <c r="Y105" s="6"/>
      <c r="Z105" s="6"/>
      <c r="AA105" s="8"/>
      <c r="AB105" s="8"/>
      <c r="AC105" s="8"/>
      <c r="AD105" s="8"/>
      <c r="AE105" s="8"/>
      <c r="AF105" s="327"/>
      <c r="AG105" s="327"/>
      <c r="AH105" s="327"/>
      <c r="AI105" s="327"/>
      <c r="AJ105" s="327"/>
      <c r="AK105" s="362"/>
      <c r="AL105" s="363"/>
      <c r="AM105" s="368">
        <v>3176</v>
      </c>
      <c r="AN105" s="369">
        <v>0</v>
      </c>
      <c r="AO105" s="369">
        <f t="shared" si="4"/>
        <v>0</v>
      </c>
      <c r="AP105" s="369" t="e">
        <f t="shared" si="5"/>
        <v>#N/A</v>
      </c>
      <c r="AQ105" s="370">
        <f t="shared" si="6"/>
        <v>0</v>
      </c>
      <c r="AR105" s="328"/>
      <c r="AS105" s="328"/>
      <c r="AT105" s="328"/>
      <c r="AU105" s="328"/>
      <c r="AV105" s="328"/>
      <c r="AW105" s="328"/>
      <c r="AX105" s="328"/>
      <c r="AY105" s="328"/>
      <c r="AZ105" s="328"/>
      <c r="BA105" s="328"/>
      <c r="BB105" s="328"/>
      <c r="BC105" s="328"/>
      <c r="BD105" s="328"/>
      <c r="BE105" s="328"/>
      <c r="BF105" s="328"/>
      <c r="BG105" s="328"/>
      <c r="BH105" s="374"/>
      <c r="BI105" s="328"/>
      <c r="BJ105" s="328"/>
      <c r="BK105" s="328"/>
      <c r="BL105" s="327"/>
      <c r="BM105" s="327"/>
      <c r="BN105" s="328"/>
      <c r="BO105" s="328"/>
      <c r="BP105" s="328"/>
      <c r="BQ105" s="327"/>
      <c r="BR105" s="327"/>
      <c r="BS105" s="327"/>
      <c r="BT105" s="327"/>
    </row>
    <row r="106" spans="6:72" ht="18">
      <c r="F106" s="6"/>
      <c r="G106" s="6"/>
      <c r="H106" s="6"/>
      <c r="I106" s="6"/>
      <c r="J106" s="6"/>
      <c r="K106" s="6"/>
      <c r="L106" s="6"/>
      <c r="M106" s="6"/>
      <c r="N106" s="6"/>
      <c r="O106" s="6"/>
      <c r="P106" s="6"/>
      <c r="Q106" s="6"/>
      <c r="R106" s="320"/>
      <c r="S106" s="6"/>
      <c r="T106" s="6"/>
      <c r="U106" s="6"/>
      <c r="V106" s="6"/>
      <c r="W106" s="321"/>
      <c r="X106" s="6"/>
      <c r="Y106" s="6"/>
      <c r="Z106" s="6"/>
      <c r="AA106" s="8"/>
      <c r="AB106" s="8"/>
      <c r="AC106" s="8"/>
      <c r="AD106" s="8"/>
      <c r="AE106" s="8"/>
      <c r="AF106" s="327"/>
      <c r="AG106" s="327"/>
      <c r="AH106" s="327"/>
      <c r="AI106" s="327"/>
      <c r="AJ106" s="327"/>
      <c r="AK106" s="362"/>
      <c r="AL106" s="363"/>
      <c r="AM106" s="368">
        <v>3177</v>
      </c>
      <c r="AN106" s="369">
        <v>0</v>
      </c>
      <c r="AO106" s="369">
        <f t="shared" si="4"/>
        <v>0</v>
      </c>
      <c r="AP106" s="369" t="e">
        <f t="shared" si="5"/>
        <v>#N/A</v>
      </c>
      <c r="AQ106" s="370">
        <f t="shared" si="6"/>
        <v>0</v>
      </c>
      <c r="AR106" s="328"/>
      <c r="AS106" s="328"/>
      <c r="AT106" s="328"/>
      <c r="AU106" s="328"/>
      <c r="AV106" s="328"/>
      <c r="AW106" s="328"/>
      <c r="AX106" s="328"/>
      <c r="AY106" s="328"/>
      <c r="AZ106" s="328"/>
      <c r="BA106" s="328"/>
      <c r="BB106" s="328"/>
      <c r="BC106" s="328"/>
      <c r="BD106" s="328"/>
      <c r="BE106" s="328"/>
      <c r="BF106" s="328"/>
      <c r="BG106" s="328"/>
      <c r="BH106" s="374"/>
      <c r="BI106" s="328"/>
      <c r="BJ106" s="328"/>
      <c r="BK106" s="328"/>
      <c r="BL106" s="327"/>
      <c r="BM106" s="327"/>
      <c r="BN106" s="328"/>
      <c r="BO106" s="328"/>
      <c r="BP106" s="328"/>
      <c r="BQ106" s="327"/>
      <c r="BR106" s="327"/>
      <c r="BS106" s="327"/>
      <c r="BT106" s="327"/>
    </row>
    <row r="107" spans="6:72" ht="18">
      <c r="F107" s="6"/>
      <c r="G107" s="6"/>
      <c r="H107" s="6"/>
      <c r="I107" s="6"/>
      <c r="J107" s="6"/>
      <c r="K107" s="6"/>
      <c r="L107" s="6"/>
      <c r="M107" s="6"/>
      <c r="N107" s="6"/>
      <c r="O107" s="6"/>
      <c r="P107" s="6"/>
      <c r="Q107" s="6"/>
      <c r="R107" s="320"/>
      <c r="S107" s="6"/>
      <c r="T107" s="6"/>
      <c r="U107" s="6"/>
      <c r="V107" s="6"/>
      <c r="W107" s="321"/>
      <c r="X107" s="6"/>
      <c r="Y107" s="6"/>
      <c r="Z107" s="6"/>
      <c r="AA107" s="8"/>
      <c r="AB107" s="8"/>
      <c r="AC107" s="8"/>
      <c r="AD107" s="8"/>
      <c r="AE107" s="8"/>
      <c r="AF107" s="327"/>
      <c r="AG107" s="327"/>
      <c r="AH107" s="327"/>
      <c r="AI107" s="327"/>
      <c r="AJ107" s="327"/>
      <c r="AK107" s="362"/>
      <c r="AL107" s="363"/>
      <c r="AM107" s="368">
        <v>3178</v>
      </c>
      <c r="AN107" s="369">
        <v>0</v>
      </c>
      <c r="AO107" s="369">
        <f t="shared" si="4"/>
        <v>0</v>
      </c>
      <c r="AP107" s="369" t="e">
        <f t="shared" si="5"/>
        <v>#N/A</v>
      </c>
      <c r="AQ107" s="370">
        <f t="shared" si="6"/>
        <v>0</v>
      </c>
      <c r="AR107" s="328"/>
      <c r="AS107" s="328"/>
      <c r="AT107" s="328"/>
      <c r="AU107" s="328"/>
      <c r="AV107" s="328"/>
      <c r="AW107" s="328"/>
      <c r="AX107" s="328"/>
      <c r="AY107" s="328"/>
      <c r="AZ107" s="328"/>
      <c r="BA107" s="328"/>
      <c r="BB107" s="328"/>
      <c r="BC107" s="328"/>
      <c r="BD107" s="328"/>
      <c r="BE107" s="328"/>
      <c r="BF107" s="328"/>
      <c r="BG107" s="328"/>
      <c r="BH107" s="374"/>
      <c r="BI107" s="328"/>
      <c r="BJ107" s="328"/>
      <c r="BK107" s="328"/>
      <c r="BL107" s="327"/>
      <c r="BM107" s="327"/>
      <c r="BN107" s="328"/>
      <c r="BO107" s="328"/>
      <c r="BP107" s="328"/>
      <c r="BQ107" s="327"/>
      <c r="BR107" s="327"/>
      <c r="BS107" s="327"/>
      <c r="BT107" s="327"/>
    </row>
    <row r="108" spans="6:72" ht="18">
      <c r="F108" s="6"/>
      <c r="G108" s="6"/>
      <c r="H108" s="6"/>
      <c r="I108" s="6"/>
      <c r="J108" s="6"/>
      <c r="K108" s="6"/>
      <c r="L108" s="6"/>
      <c r="M108" s="6"/>
      <c r="N108" s="6"/>
      <c r="O108" s="6"/>
      <c r="P108" s="6"/>
      <c r="Q108" s="6"/>
      <c r="R108" s="320"/>
      <c r="S108" s="6"/>
      <c r="T108" s="6"/>
      <c r="U108" s="6"/>
      <c r="V108" s="6"/>
      <c r="W108" s="321"/>
      <c r="X108" s="6"/>
      <c r="Y108" s="6"/>
      <c r="Z108" s="6"/>
      <c r="AA108" s="8"/>
      <c r="AB108" s="8"/>
      <c r="AC108" s="8"/>
      <c r="AD108" s="8"/>
      <c r="AE108" s="8"/>
      <c r="AF108" s="327"/>
      <c r="AG108" s="327"/>
      <c r="AH108" s="327"/>
      <c r="AI108" s="327"/>
      <c r="AJ108" s="327"/>
      <c r="AK108" s="362"/>
      <c r="AL108" s="363"/>
      <c r="AM108" s="368">
        <v>3179</v>
      </c>
      <c r="AN108" s="369">
        <v>0.42438686754582028</v>
      </c>
      <c r="AO108" s="369">
        <f t="shared" si="4"/>
        <v>0.78406261421574963</v>
      </c>
      <c r="AP108" s="369">
        <f t="shared" si="5"/>
        <v>0.92134501698042015</v>
      </c>
      <c r="AQ108" s="370">
        <f t="shared" si="6"/>
        <v>0.92134501698042015</v>
      </c>
      <c r="AR108" s="328"/>
      <c r="AS108" s="328"/>
      <c r="AT108" s="328"/>
      <c r="AU108" s="328"/>
      <c r="AV108" s="328"/>
      <c r="AW108" s="328"/>
      <c r="AX108" s="328"/>
      <c r="AY108" s="328"/>
      <c r="AZ108" s="328"/>
      <c r="BA108" s="328"/>
      <c r="BB108" s="328"/>
      <c r="BC108" s="328"/>
      <c r="BD108" s="328"/>
      <c r="BE108" s="328"/>
      <c r="BF108" s="328"/>
      <c r="BG108" s="328"/>
      <c r="BH108" s="374"/>
      <c r="BI108" s="328"/>
      <c r="BJ108" s="328"/>
      <c r="BK108" s="328"/>
      <c r="BL108" s="327"/>
      <c r="BM108" s="327"/>
      <c r="BN108" s="328"/>
      <c r="BO108" s="328"/>
      <c r="BP108" s="328"/>
      <c r="BQ108" s="327"/>
      <c r="BR108" s="327"/>
      <c r="BS108" s="327"/>
      <c r="BT108" s="327"/>
    </row>
    <row r="109" spans="6:72" ht="18">
      <c r="F109" s="6"/>
      <c r="G109" s="6"/>
      <c r="H109" s="6"/>
      <c r="I109" s="6"/>
      <c r="J109" s="6"/>
      <c r="K109" s="6"/>
      <c r="L109" s="6"/>
      <c r="M109" s="6"/>
      <c r="N109" s="6"/>
      <c r="O109" s="6"/>
      <c r="P109" s="6"/>
      <c r="Q109" s="6"/>
      <c r="R109" s="320"/>
      <c r="S109" s="6"/>
      <c r="T109" s="6"/>
      <c r="U109" s="6"/>
      <c r="V109" s="6"/>
      <c r="W109" s="321"/>
      <c r="X109" s="6"/>
      <c r="Y109" s="6"/>
      <c r="Z109" s="6"/>
      <c r="AA109" s="8"/>
      <c r="AB109" s="8"/>
      <c r="AC109" s="8"/>
      <c r="AD109" s="8"/>
      <c r="AE109" s="8"/>
      <c r="AF109" s="327"/>
      <c r="AG109" s="327"/>
      <c r="AH109" s="327"/>
      <c r="AI109" s="327"/>
      <c r="AJ109" s="327"/>
      <c r="AK109" s="362"/>
      <c r="AL109" s="363"/>
      <c r="AM109" s="368">
        <v>3180</v>
      </c>
      <c r="AN109" s="369">
        <v>0.54490170175939789</v>
      </c>
      <c r="AO109" s="369">
        <f t="shared" si="4"/>
        <v>0.82792079830210752</v>
      </c>
      <c r="AP109" s="369">
        <f t="shared" si="5"/>
        <v>0.95206391478029295</v>
      </c>
      <c r="AQ109" s="370">
        <f t="shared" si="6"/>
        <v>0.95206391478029295</v>
      </c>
      <c r="AR109" s="328"/>
      <c r="AS109" s="328"/>
      <c r="AT109" s="328"/>
      <c r="AU109" s="328"/>
      <c r="AV109" s="328"/>
      <c r="AW109" s="328"/>
      <c r="AX109" s="328"/>
      <c r="AY109" s="328"/>
      <c r="AZ109" s="328"/>
      <c r="BA109" s="328"/>
      <c r="BB109" s="328"/>
      <c r="BC109" s="328"/>
      <c r="BD109" s="328"/>
      <c r="BE109" s="328"/>
      <c r="BF109" s="328"/>
      <c r="BG109" s="328"/>
      <c r="BH109" s="374"/>
      <c r="BI109" s="328"/>
      <c r="BJ109" s="328"/>
      <c r="BK109" s="328"/>
      <c r="BL109" s="327"/>
      <c r="BM109" s="327"/>
      <c r="BN109" s="328"/>
      <c r="BO109" s="328"/>
      <c r="BP109" s="328"/>
      <c r="BQ109" s="327"/>
      <c r="BR109" s="327"/>
      <c r="BS109" s="327"/>
      <c r="BT109" s="327"/>
    </row>
    <row r="110" spans="6:72" ht="18">
      <c r="F110" s="6"/>
      <c r="G110" s="6"/>
      <c r="H110" s="6"/>
      <c r="I110" s="6"/>
      <c r="J110" s="6"/>
      <c r="K110" s="6"/>
      <c r="L110" s="6"/>
      <c r="M110" s="6"/>
      <c r="N110" s="6"/>
      <c r="O110" s="6"/>
      <c r="P110" s="6"/>
      <c r="Q110" s="6"/>
      <c r="R110" s="320"/>
      <c r="S110" s="6"/>
      <c r="T110" s="6"/>
      <c r="U110" s="6"/>
      <c r="V110" s="6"/>
      <c r="W110" s="321"/>
      <c r="X110" s="6"/>
      <c r="Y110" s="6"/>
      <c r="Z110" s="6"/>
      <c r="AA110" s="8"/>
      <c r="AB110" s="8"/>
      <c r="AC110" s="8"/>
      <c r="AD110" s="8"/>
      <c r="AE110" s="8"/>
      <c r="AF110" s="327"/>
      <c r="AG110" s="327"/>
      <c r="AH110" s="327"/>
      <c r="AI110" s="327"/>
      <c r="AJ110" s="327"/>
      <c r="AK110" s="362"/>
      <c r="AL110" s="363"/>
      <c r="AM110" s="368">
        <v>3274</v>
      </c>
      <c r="AN110" s="369">
        <v>0</v>
      </c>
      <c r="AO110" s="369">
        <f t="shared" si="4"/>
        <v>0</v>
      </c>
      <c r="AP110" s="369" t="e">
        <f t="shared" si="5"/>
        <v>#N/A</v>
      </c>
      <c r="AQ110" s="370">
        <f t="shared" si="6"/>
        <v>0</v>
      </c>
      <c r="AR110" s="328"/>
      <c r="AS110" s="328"/>
      <c r="AT110" s="328"/>
      <c r="AU110" s="328"/>
      <c r="AV110" s="328"/>
      <c r="AW110" s="328"/>
      <c r="AX110" s="328"/>
      <c r="AY110" s="328"/>
      <c r="AZ110" s="328"/>
      <c r="BA110" s="328"/>
      <c r="BB110" s="328"/>
      <c r="BC110" s="328"/>
      <c r="BD110" s="328"/>
      <c r="BE110" s="328"/>
      <c r="BF110" s="328"/>
      <c r="BG110" s="328"/>
      <c r="BH110" s="374"/>
      <c r="BI110" s="328"/>
      <c r="BJ110" s="328"/>
      <c r="BK110" s="328"/>
      <c r="BL110" s="327"/>
      <c r="BM110" s="327"/>
      <c r="BN110" s="328"/>
      <c r="BO110" s="328"/>
      <c r="BP110" s="328"/>
      <c r="BQ110" s="327"/>
      <c r="BR110" s="327"/>
      <c r="BS110" s="327"/>
      <c r="BT110" s="327"/>
    </row>
    <row r="111" spans="6:72" ht="18">
      <c r="F111" s="6"/>
      <c r="G111" s="6"/>
      <c r="H111" s="6"/>
      <c r="I111" s="6"/>
      <c r="J111" s="6"/>
      <c r="K111" s="6"/>
      <c r="L111" s="6"/>
      <c r="M111" s="6"/>
      <c r="N111" s="6"/>
      <c r="O111" s="6"/>
      <c r="P111" s="6"/>
      <c r="Q111" s="6"/>
      <c r="R111" s="320"/>
      <c r="S111" s="6"/>
      <c r="T111" s="6"/>
      <c r="U111" s="6"/>
      <c r="V111" s="6"/>
      <c r="W111" s="321"/>
      <c r="X111" s="6"/>
      <c r="Y111" s="6"/>
      <c r="Z111" s="6"/>
      <c r="AA111" s="8"/>
      <c r="AB111" s="8"/>
      <c r="AC111" s="8"/>
      <c r="AD111" s="8"/>
      <c r="AE111" s="8"/>
      <c r="AF111" s="327"/>
      <c r="AG111" s="327"/>
      <c r="AH111" s="327"/>
      <c r="AI111" s="327"/>
      <c r="AJ111" s="327"/>
      <c r="AK111" s="362"/>
      <c r="AL111" s="363"/>
      <c r="AM111" s="368">
        <v>3276</v>
      </c>
      <c r="AN111" s="369">
        <v>0</v>
      </c>
      <c r="AO111" s="369">
        <f t="shared" si="4"/>
        <v>0</v>
      </c>
      <c r="AP111" s="369" t="e">
        <f t="shared" si="5"/>
        <v>#N/A</v>
      </c>
      <c r="AQ111" s="370">
        <f t="shared" si="6"/>
        <v>0</v>
      </c>
      <c r="AR111" s="328"/>
      <c r="AS111" s="328"/>
      <c r="AT111" s="328"/>
      <c r="AU111" s="328"/>
      <c r="AV111" s="328"/>
      <c r="AW111" s="328"/>
      <c r="AX111" s="328"/>
      <c r="AY111" s="328"/>
      <c r="AZ111" s="328"/>
      <c r="BA111" s="328"/>
      <c r="BB111" s="328"/>
      <c r="BC111" s="328"/>
      <c r="BD111" s="328"/>
      <c r="BE111" s="328"/>
      <c r="BF111" s="328"/>
      <c r="BG111" s="328"/>
      <c r="BH111" s="374"/>
      <c r="BI111" s="328"/>
      <c r="BJ111" s="328"/>
      <c r="BK111" s="328"/>
      <c r="BL111" s="327"/>
      <c r="BM111" s="327"/>
      <c r="BN111" s="328"/>
      <c r="BO111" s="328"/>
      <c r="BP111" s="328"/>
      <c r="BQ111" s="327"/>
      <c r="BR111" s="327"/>
      <c r="BS111" s="327"/>
      <c r="BT111" s="327"/>
    </row>
    <row r="112" spans="6:72" ht="18">
      <c r="F112" s="6"/>
      <c r="G112" s="6"/>
      <c r="H112" s="6"/>
      <c r="I112" s="6"/>
      <c r="J112" s="6"/>
      <c r="K112" s="6"/>
      <c r="L112" s="6"/>
      <c r="M112" s="6"/>
      <c r="N112" s="6"/>
      <c r="O112" s="6"/>
      <c r="P112" s="6"/>
      <c r="Q112" s="6"/>
      <c r="R112" s="320"/>
      <c r="S112" s="6"/>
      <c r="T112" s="6"/>
      <c r="U112" s="6"/>
      <c r="V112" s="6"/>
      <c r="W112" s="321"/>
      <c r="X112" s="6"/>
      <c r="Y112" s="6"/>
      <c r="Z112" s="6"/>
      <c r="AA112" s="8"/>
      <c r="AB112" s="8"/>
      <c r="AC112" s="8"/>
      <c r="AD112" s="8"/>
      <c r="AE112" s="8"/>
      <c r="AF112" s="327"/>
      <c r="AG112" s="327"/>
      <c r="AH112" s="327"/>
      <c r="AI112" s="327"/>
      <c r="AJ112" s="327"/>
      <c r="AK112" s="362"/>
      <c r="AL112" s="363"/>
      <c r="AM112" s="368">
        <v>3277</v>
      </c>
      <c r="AN112" s="369">
        <v>3.1646394480798197E-3</v>
      </c>
      <c r="AO112" s="369">
        <f t="shared" si="4"/>
        <v>4.6619155705580945E-15</v>
      </c>
      <c r="AP112" s="369" t="e">
        <f t="shared" si="5"/>
        <v>#N/A</v>
      </c>
      <c r="AQ112" s="370">
        <f t="shared" si="6"/>
        <v>4.6619155705580945E-15</v>
      </c>
      <c r="AR112" s="328"/>
      <c r="AS112" s="328"/>
      <c r="AT112" s="328"/>
      <c r="AU112" s="328"/>
      <c r="AV112" s="328"/>
      <c r="AW112" s="328"/>
      <c r="AX112" s="328"/>
      <c r="AY112" s="328"/>
      <c r="AZ112" s="328"/>
      <c r="BA112" s="328"/>
      <c r="BB112" s="328"/>
      <c r="BC112" s="328"/>
      <c r="BD112" s="328"/>
      <c r="BE112" s="328"/>
      <c r="BF112" s="328"/>
      <c r="BG112" s="328"/>
      <c r="BH112" s="374"/>
      <c r="BI112" s="328"/>
      <c r="BJ112" s="328"/>
      <c r="BK112" s="328"/>
      <c r="BL112" s="327"/>
      <c r="BM112" s="327"/>
      <c r="BN112" s="328"/>
      <c r="BO112" s="328"/>
      <c r="BP112" s="328"/>
      <c r="BQ112" s="327"/>
      <c r="BR112" s="327"/>
      <c r="BS112" s="327"/>
      <c r="BT112" s="327"/>
    </row>
    <row r="113" spans="6:72" ht="18">
      <c r="F113" s="6"/>
      <c r="G113" s="6"/>
      <c r="H113" s="6"/>
      <c r="I113" s="6"/>
      <c r="J113" s="6"/>
      <c r="K113" s="6"/>
      <c r="L113" s="6"/>
      <c r="M113" s="6"/>
      <c r="N113" s="6"/>
      <c r="O113" s="6"/>
      <c r="P113" s="6"/>
      <c r="Q113" s="6"/>
      <c r="R113" s="320"/>
      <c r="S113" s="6"/>
      <c r="T113" s="6"/>
      <c r="U113" s="6"/>
      <c r="V113" s="6"/>
      <c r="W113" s="321"/>
      <c r="X113" s="6"/>
      <c r="Y113" s="6"/>
      <c r="Z113" s="6"/>
      <c r="AA113" s="8"/>
      <c r="AB113" s="8"/>
      <c r="AC113" s="8"/>
      <c r="AD113" s="8"/>
      <c r="AE113" s="8"/>
      <c r="AF113" s="327"/>
      <c r="AG113" s="327"/>
      <c r="AH113" s="327"/>
      <c r="AI113" s="327"/>
      <c r="AJ113" s="327"/>
      <c r="AK113" s="362"/>
      <c r="AL113" s="363"/>
      <c r="AM113" s="368">
        <v>3278</v>
      </c>
      <c r="AN113" s="369">
        <v>0.47195683300009483</v>
      </c>
      <c r="AO113" s="369">
        <f t="shared" si="4"/>
        <v>0.80375433437969168</v>
      </c>
      <c r="AP113" s="369">
        <f t="shared" si="5"/>
        <v>0.78311931079323793</v>
      </c>
      <c r="AQ113" s="370">
        <f t="shared" si="6"/>
        <v>0.78311931079323793</v>
      </c>
      <c r="AR113" s="328"/>
      <c r="AS113" s="328"/>
      <c r="AT113" s="328"/>
      <c r="AU113" s="328"/>
      <c r="AV113" s="328"/>
      <c r="AW113" s="328"/>
      <c r="AX113" s="328"/>
      <c r="AY113" s="328"/>
      <c r="AZ113" s="328"/>
      <c r="BA113" s="328"/>
      <c r="BB113" s="328"/>
      <c r="BC113" s="328"/>
      <c r="BD113" s="328"/>
      <c r="BE113" s="328"/>
      <c r="BF113" s="328"/>
      <c r="BG113" s="328"/>
      <c r="BH113" s="374"/>
      <c r="BI113" s="328"/>
      <c r="BJ113" s="328"/>
      <c r="BK113" s="328"/>
      <c r="BL113" s="327"/>
      <c r="BM113" s="327"/>
      <c r="BN113" s="328"/>
      <c r="BO113" s="328"/>
      <c r="BP113" s="328"/>
      <c r="BQ113" s="327"/>
      <c r="BR113" s="327"/>
      <c r="BS113" s="327"/>
      <c r="BT113" s="327"/>
    </row>
    <row r="114" spans="6:72" ht="18">
      <c r="F114" s="6"/>
      <c r="G114" s="6"/>
      <c r="H114" s="6"/>
      <c r="I114" s="6"/>
      <c r="J114" s="6"/>
      <c r="K114" s="6"/>
      <c r="L114" s="6"/>
      <c r="M114" s="6"/>
      <c r="N114" s="6"/>
      <c r="O114" s="6"/>
      <c r="P114" s="6"/>
      <c r="Q114" s="6"/>
      <c r="R114" s="320"/>
      <c r="S114" s="6"/>
      <c r="T114" s="6"/>
      <c r="U114" s="6"/>
      <c r="V114" s="6"/>
      <c r="W114" s="321"/>
      <c r="X114" s="6"/>
      <c r="Y114" s="6"/>
      <c r="Z114" s="6"/>
      <c r="AA114" s="8"/>
      <c r="AB114" s="8"/>
      <c r="AC114" s="8"/>
      <c r="AD114" s="8"/>
      <c r="AE114" s="8"/>
      <c r="AF114" s="327"/>
      <c r="AG114" s="327"/>
      <c r="AH114" s="327"/>
      <c r="AI114" s="327"/>
      <c r="AJ114" s="327"/>
      <c r="AK114" s="362"/>
      <c r="AL114" s="363"/>
      <c r="AM114" s="368">
        <v>3279</v>
      </c>
      <c r="AN114" s="369">
        <v>0.51074899565246656</v>
      </c>
      <c r="AO114" s="369">
        <f t="shared" si="4"/>
        <v>0.8173775358824773</v>
      </c>
      <c r="AP114" s="369">
        <f t="shared" si="5"/>
        <v>0.69327668232548401</v>
      </c>
      <c r="AQ114" s="370">
        <f t="shared" si="6"/>
        <v>0.69327668232548401</v>
      </c>
      <c r="AR114" s="328"/>
      <c r="AS114" s="328"/>
      <c r="AT114" s="328"/>
      <c r="AU114" s="328"/>
      <c r="AV114" s="328"/>
      <c r="AW114" s="328"/>
      <c r="AX114" s="328"/>
      <c r="AY114" s="328"/>
      <c r="AZ114" s="328"/>
      <c r="BA114" s="328"/>
      <c r="BB114" s="328"/>
      <c r="BC114" s="328"/>
      <c r="BD114" s="328"/>
      <c r="BE114" s="328"/>
      <c r="BF114" s="328"/>
      <c r="BG114" s="328"/>
      <c r="BH114" s="374"/>
      <c r="BI114" s="328"/>
      <c r="BJ114" s="328"/>
      <c r="BK114" s="328"/>
      <c r="BL114" s="327"/>
      <c r="BM114" s="327"/>
      <c r="BN114" s="328"/>
      <c r="BO114" s="328"/>
      <c r="BP114" s="328"/>
      <c r="BQ114" s="327"/>
      <c r="BR114" s="327"/>
      <c r="BS114" s="327"/>
      <c r="BT114" s="327"/>
    </row>
    <row r="115" spans="6:72" ht="18">
      <c r="F115" s="6"/>
      <c r="G115" s="6"/>
      <c r="H115" s="6"/>
      <c r="I115" s="6"/>
      <c r="J115" s="6"/>
      <c r="K115" s="6"/>
      <c r="L115" s="6"/>
      <c r="M115" s="6"/>
      <c r="N115" s="6"/>
      <c r="O115" s="6"/>
      <c r="P115" s="6"/>
      <c r="Q115" s="6"/>
      <c r="R115" s="320"/>
      <c r="S115" s="6"/>
      <c r="T115" s="6"/>
      <c r="U115" s="6"/>
      <c r="V115" s="6"/>
      <c r="W115" s="321"/>
      <c r="X115" s="6"/>
      <c r="Y115" s="6"/>
      <c r="Z115" s="6"/>
      <c r="AA115" s="8"/>
      <c r="AB115" s="8"/>
      <c r="AC115" s="8"/>
      <c r="AD115" s="8"/>
      <c r="AE115" s="8"/>
      <c r="AF115" s="327"/>
      <c r="AG115" s="327"/>
      <c r="AH115" s="327"/>
      <c r="AI115" s="327"/>
      <c r="AJ115" s="327"/>
      <c r="AK115" s="362"/>
      <c r="AL115" s="363"/>
      <c r="AM115" s="368">
        <v>3280</v>
      </c>
      <c r="AN115" s="369">
        <v>0</v>
      </c>
      <c r="AO115" s="369">
        <f t="shared" si="4"/>
        <v>0</v>
      </c>
      <c r="AP115" s="369" t="e">
        <f t="shared" si="5"/>
        <v>#N/A</v>
      </c>
      <c r="AQ115" s="370">
        <f t="shared" si="6"/>
        <v>0</v>
      </c>
      <c r="AR115" s="328"/>
      <c r="AS115" s="328"/>
      <c r="AT115" s="328"/>
      <c r="AU115" s="328"/>
      <c r="AV115" s="328"/>
      <c r="AW115" s="328"/>
      <c r="AX115" s="328"/>
      <c r="AY115" s="328"/>
      <c r="AZ115" s="328"/>
      <c r="BA115" s="328"/>
      <c r="BB115" s="328"/>
      <c r="BC115" s="328"/>
      <c r="BD115" s="328"/>
      <c r="BE115" s="328"/>
      <c r="BF115" s="328"/>
      <c r="BG115" s="328"/>
      <c r="BH115" s="374"/>
      <c r="BI115" s="328"/>
      <c r="BJ115" s="328"/>
      <c r="BK115" s="328"/>
      <c r="BL115" s="327"/>
      <c r="BM115" s="327"/>
      <c r="BN115" s="328"/>
      <c r="BO115" s="328"/>
      <c r="BP115" s="328"/>
      <c r="BQ115" s="327"/>
      <c r="BR115" s="327"/>
      <c r="BS115" s="327"/>
      <c r="BT115" s="327"/>
    </row>
    <row r="116" spans="6:72" ht="18">
      <c r="F116" s="6"/>
      <c r="G116" s="6"/>
      <c r="H116" s="6"/>
      <c r="I116" s="6"/>
      <c r="J116" s="6"/>
      <c r="K116" s="6"/>
      <c r="L116" s="6"/>
      <c r="M116" s="6"/>
      <c r="N116" s="6"/>
      <c r="O116" s="6"/>
      <c r="P116" s="6"/>
      <c r="Q116" s="6"/>
      <c r="R116" s="320"/>
      <c r="S116" s="6"/>
      <c r="T116" s="6"/>
      <c r="U116" s="6"/>
      <c r="V116" s="6"/>
      <c r="W116" s="321"/>
      <c r="X116" s="6"/>
      <c r="Y116" s="6"/>
      <c r="Z116" s="6"/>
      <c r="AA116" s="8"/>
      <c r="AB116" s="8"/>
      <c r="AC116" s="8"/>
      <c r="AD116" s="8"/>
      <c r="AE116" s="8"/>
      <c r="AF116" s="327"/>
      <c r="AG116" s="327"/>
      <c r="AH116" s="327"/>
      <c r="AI116" s="327"/>
      <c r="AJ116" s="327"/>
      <c r="AK116" s="362"/>
      <c r="AL116" s="363"/>
      <c r="AM116" s="368">
        <v>3370</v>
      </c>
      <c r="AN116" s="369">
        <v>0</v>
      </c>
      <c r="AO116" s="369">
        <f t="shared" si="4"/>
        <v>0</v>
      </c>
      <c r="AP116" s="369" t="e">
        <f t="shared" si="5"/>
        <v>#N/A</v>
      </c>
      <c r="AQ116" s="370">
        <f t="shared" si="6"/>
        <v>0</v>
      </c>
      <c r="AR116" s="328"/>
      <c r="AS116" s="328"/>
      <c r="AT116" s="328"/>
      <c r="AU116" s="328"/>
      <c r="AV116" s="328"/>
      <c r="AW116" s="328"/>
      <c r="AX116" s="328"/>
      <c r="AY116" s="328"/>
      <c r="AZ116" s="328"/>
      <c r="BA116" s="328"/>
      <c r="BB116" s="328"/>
      <c r="BC116" s="328"/>
      <c r="BD116" s="328"/>
      <c r="BE116" s="328"/>
      <c r="BF116" s="328"/>
      <c r="BG116" s="328"/>
      <c r="BH116" s="374"/>
      <c r="BI116" s="328"/>
      <c r="BJ116" s="328"/>
      <c r="BK116" s="328"/>
      <c r="BL116" s="327"/>
      <c r="BM116" s="327"/>
      <c r="BN116" s="328"/>
      <c r="BO116" s="328"/>
      <c r="BP116" s="328"/>
      <c r="BQ116" s="327"/>
      <c r="BR116" s="327"/>
      <c r="BS116" s="327"/>
      <c r="BT116" s="327"/>
    </row>
    <row r="117" spans="6:72" ht="18">
      <c r="F117" s="197" t="s">
        <v>221</v>
      </c>
      <c r="G117" s="197" t="s">
        <v>222</v>
      </c>
      <c r="H117" s="197" t="s">
        <v>223</v>
      </c>
      <c r="I117" s="197"/>
      <c r="J117" s="3" t="s">
        <v>225</v>
      </c>
      <c r="K117" s="3"/>
      <c r="L117" s="3"/>
      <c r="M117" s="3"/>
      <c r="N117" s="3"/>
      <c r="O117" s="3"/>
      <c r="P117" s="3"/>
      <c r="Q117" s="3"/>
      <c r="R117" s="3"/>
      <c r="S117" s="197"/>
      <c r="T117" s="197"/>
      <c r="U117" s="197"/>
      <c r="V117" s="197"/>
      <c r="W117" s="197"/>
      <c r="X117" s="197"/>
      <c r="Y117" s="197"/>
      <c r="Z117" s="197"/>
      <c r="AA117" s="8"/>
      <c r="AB117" s="8"/>
      <c r="AC117" s="8"/>
      <c r="AD117" s="8"/>
      <c r="AE117" s="8"/>
      <c r="AF117" s="327"/>
      <c r="AG117" s="327"/>
      <c r="AH117" s="327"/>
      <c r="AI117" s="327"/>
      <c r="AJ117" s="327"/>
      <c r="AK117" s="362"/>
      <c r="AL117" s="363"/>
      <c r="AM117" s="368">
        <v>3374</v>
      </c>
      <c r="AN117" s="369">
        <v>0</v>
      </c>
      <c r="AO117" s="369">
        <f t="shared" si="4"/>
        <v>0</v>
      </c>
      <c r="AP117" s="369" t="e">
        <f t="shared" si="5"/>
        <v>#N/A</v>
      </c>
      <c r="AQ117" s="370">
        <f t="shared" si="6"/>
        <v>0</v>
      </c>
      <c r="AR117" s="328"/>
      <c r="AS117" s="328"/>
      <c r="AT117" s="328"/>
      <c r="AU117" s="328"/>
      <c r="AV117" s="328"/>
      <c r="AW117" s="328"/>
      <c r="AX117" s="328"/>
      <c r="AY117" s="328"/>
      <c r="AZ117" s="328"/>
      <c r="BA117" s="328"/>
      <c r="BB117" s="328"/>
      <c r="BC117" s="328"/>
      <c r="BD117" s="328"/>
      <c r="BE117" s="328"/>
      <c r="BF117" s="328"/>
      <c r="BG117" s="328"/>
      <c r="BH117" s="374"/>
      <c r="BI117" s="328"/>
      <c r="BJ117" s="328"/>
      <c r="BK117" s="328"/>
      <c r="BL117" s="327"/>
      <c r="BM117" s="327"/>
      <c r="BN117" s="328"/>
      <c r="BO117" s="328"/>
      <c r="BP117" s="328"/>
      <c r="BQ117" s="327"/>
      <c r="BR117" s="327"/>
      <c r="BS117" s="327"/>
      <c r="BT117" s="327"/>
    </row>
    <row r="118" spans="6:72" ht="18.600000000000001" thickBot="1">
      <c r="F118" s="197" t="s">
        <v>200</v>
      </c>
      <c r="G118" s="381">
        <v>0.87191210849400003</v>
      </c>
      <c r="H118" s="381">
        <v>1</v>
      </c>
      <c r="I118" s="197"/>
      <c r="J118" s="3"/>
      <c r="K118" s="3"/>
      <c r="L118" s="3"/>
      <c r="M118" s="3"/>
      <c r="N118" s="3"/>
      <c r="O118" s="3"/>
      <c r="P118" s="3"/>
      <c r="Q118" s="3"/>
      <c r="R118" s="3"/>
      <c r="S118" s="197"/>
      <c r="T118" s="197"/>
      <c r="U118" s="197"/>
      <c r="V118" s="197"/>
      <c r="W118" s="197"/>
      <c r="X118" s="197"/>
      <c r="Y118" s="197"/>
      <c r="Z118" s="197"/>
      <c r="AA118" s="8"/>
      <c r="AB118" s="8"/>
      <c r="AC118" s="8"/>
      <c r="AD118" s="8"/>
      <c r="AE118" s="8"/>
      <c r="AF118" s="327"/>
      <c r="AG118" s="327"/>
      <c r="AH118" s="327"/>
      <c r="AI118" s="327"/>
      <c r="AJ118" s="327"/>
      <c r="AK118" s="362"/>
      <c r="AL118" s="363"/>
      <c r="AM118" s="368">
        <v>3375</v>
      </c>
      <c r="AN118" s="369">
        <v>0</v>
      </c>
      <c r="AO118" s="369">
        <f t="shared" si="4"/>
        <v>0</v>
      </c>
      <c r="AP118" s="369" t="e">
        <f t="shared" si="5"/>
        <v>#N/A</v>
      </c>
      <c r="AQ118" s="370">
        <f t="shared" si="6"/>
        <v>0</v>
      </c>
      <c r="AR118" s="328"/>
      <c r="AS118" s="328"/>
      <c r="AT118" s="328"/>
      <c r="AU118" s="328"/>
      <c r="AV118" s="328"/>
      <c r="AW118" s="328"/>
      <c r="AX118" s="328"/>
      <c r="AY118" s="328"/>
      <c r="AZ118" s="328"/>
      <c r="BA118" s="328"/>
      <c r="BB118" s="328"/>
      <c r="BC118" s="328"/>
      <c r="BD118" s="328"/>
      <c r="BE118" s="328"/>
      <c r="BF118" s="328"/>
      <c r="BG118" s="328"/>
      <c r="BH118" s="374"/>
      <c r="BI118" s="328"/>
      <c r="BJ118" s="328"/>
      <c r="BK118" s="328"/>
      <c r="BL118" s="327"/>
      <c r="BM118" s="327"/>
      <c r="BN118" s="328"/>
      <c r="BO118" s="328"/>
      <c r="BP118" s="328"/>
      <c r="BQ118" s="327"/>
      <c r="BR118" s="327"/>
      <c r="BS118" s="327"/>
      <c r="BT118" s="327"/>
    </row>
    <row r="119" spans="6:72" ht="18">
      <c r="F119" s="197" t="s">
        <v>201</v>
      </c>
      <c r="G119" s="381">
        <v>0.39808551834599998</v>
      </c>
      <c r="H119" s="381">
        <v>1</v>
      </c>
      <c r="I119" s="197"/>
      <c r="J119" s="382" t="s">
        <v>138</v>
      </c>
      <c r="K119" s="382"/>
      <c r="L119" s="3"/>
      <c r="M119" s="3"/>
      <c r="N119" s="3"/>
      <c r="O119" s="3"/>
      <c r="P119" s="3"/>
      <c r="Q119" s="3"/>
      <c r="R119" s="3"/>
      <c r="S119" s="197"/>
      <c r="T119" s="197"/>
      <c r="U119" s="197"/>
      <c r="V119" s="197"/>
      <c r="W119" s="197"/>
      <c r="X119" s="197"/>
      <c r="Y119" s="197"/>
      <c r="Z119" s="197"/>
      <c r="AA119" s="8"/>
      <c r="AB119" s="8"/>
      <c r="AC119" s="8"/>
      <c r="AD119" s="8"/>
      <c r="AE119" s="8"/>
      <c r="AF119" s="327"/>
      <c r="AG119" s="327"/>
      <c r="AH119" s="327"/>
      <c r="AI119" s="327"/>
      <c r="AJ119" s="327"/>
      <c r="AK119" s="362"/>
      <c r="AL119" s="363"/>
      <c r="AM119" s="368">
        <v>3376</v>
      </c>
      <c r="AN119" s="369">
        <v>0.27480357720803877</v>
      </c>
      <c r="AO119" s="369">
        <f t="shared" si="4"/>
        <v>0.68576281428801455</v>
      </c>
      <c r="AP119" s="369">
        <f t="shared" si="5"/>
        <v>0.87669828249166881</v>
      </c>
      <c r="AQ119" s="370">
        <f t="shared" si="6"/>
        <v>0.87669828249166881</v>
      </c>
      <c r="AR119" s="328"/>
      <c r="AS119" s="328"/>
      <c r="AT119" s="328"/>
      <c r="AU119" s="328"/>
      <c r="AV119" s="328"/>
      <c r="AW119" s="328"/>
      <c r="AX119" s="328"/>
      <c r="AY119" s="328"/>
      <c r="AZ119" s="328"/>
      <c r="BA119" s="328"/>
      <c r="BB119" s="328"/>
      <c r="BC119" s="328"/>
      <c r="BD119" s="328"/>
      <c r="BE119" s="328"/>
      <c r="BF119" s="328"/>
      <c r="BG119" s="328"/>
      <c r="BH119" s="374"/>
      <c r="BI119" s="328"/>
      <c r="BJ119" s="328"/>
      <c r="BK119" s="328"/>
      <c r="BL119" s="327"/>
      <c r="BM119" s="327"/>
      <c r="BN119" s="328"/>
      <c r="BO119" s="328"/>
      <c r="BP119" s="328"/>
      <c r="BQ119" s="327"/>
      <c r="BR119" s="327"/>
      <c r="BS119" s="327"/>
      <c r="BT119" s="327"/>
    </row>
    <row r="120" spans="6:72" ht="18">
      <c r="F120" s="197" t="s">
        <v>203</v>
      </c>
      <c r="G120" s="381">
        <v>0.304457269935</v>
      </c>
      <c r="H120" s="381">
        <v>1</v>
      </c>
      <c r="I120" s="197"/>
      <c r="J120" s="383" t="s">
        <v>139</v>
      </c>
      <c r="K120" s="383">
        <v>0.29015892747278338</v>
      </c>
      <c r="L120" s="3"/>
      <c r="M120" s="3"/>
      <c r="N120" s="3"/>
      <c r="O120" s="3"/>
      <c r="P120" s="3"/>
      <c r="Q120" s="3"/>
      <c r="R120" s="3"/>
      <c r="S120" s="197"/>
      <c r="T120" s="197"/>
      <c r="U120" s="197"/>
      <c r="V120" s="197"/>
      <c r="W120" s="197"/>
      <c r="X120" s="197"/>
      <c r="Y120" s="197"/>
      <c r="Z120" s="197"/>
      <c r="AA120" s="8"/>
      <c r="AB120" s="8"/>
      <c r="AC120" s="8"/>
      <c r="AD120" s="8"/>
      <c r="AE120" s="8"/>
      <c r="AF120" s="327"/>
      <c r="AG120" s="327"/>
      <c r="AH120" s="327"/>
      <c r="AI120" s="327"/>
      <c r="AJ120" s="327"/>
      <c r="AK120" s="362"/>
      <c r="AL120" s="363"/>
      <c r="AM120" s="368">
        <v>3377</v>
      </c>
      <c r="AN120" s="369">
        <v>0.57458484995643089</v>
      </c>
      <c r="AO120" s="369">
        <f t="shared" si="4"/>
        <v>0.83615924158195098</v>
      </c>
      <c r="AP120" s="369">
        <f t="shared" si="5"/>
        <v>0.7363925640596215</v>
      </c>
      <c r="AQ120" s="370">
        <f t="shared" si="6"/>
        <v>0.7363925640596215</v>
      </c>
      <c r="AR120" s="328"/>
      <c r="AS120" s="328"/>
      <c r="AT120" s="328"/>
      <c r="AU120" s="328"/>
      <c r="AV120" s="328"/>
      <c r="AW120" s="328"/>
      <c r="AX120" s="328"/>
      <c r="AY120" s="328"/>
      <c r="AZ120" s="328"/>
      <c r="BA120" s="328"/>
      <c r="BB120" s="328"/>
      <c r="BC120" s="328"/>
      <c r="BD120" s="328"/>
      <c r="BE120" s="328"/>
      <c r="BF120" s="328"/>
      <c r="BG120" s="328"/>
      <c r="BH120" s="374"/>
      <c r="BI120" s="328"/>
      <c r="BJ120" s="328"/>
      <c r="BK120" s="328"/>
      <c r="BL120" s="327"/>
      <c r="BM120" s="327"/>
      <c r="BN120" s="328"/>
      <c r="BO120" s="328"/>
      <c r="BP120" s="328"/>
      <c r="BQ120" s="327"/>
      <c r="BR120" s="327"/>
      <c r="BS120" s="327"/>
      <c r="BT120" s="327"/>
    </row>
    <row r="121" spans="6:72" ht="18">
      <c r="F121" s="197" t="s">
        <v>204</v>
      </c>
      <c r="G121" s="381">
        <v>0.42556976225699999</v>
      </c>
      <c r="H121" s="381">
        <v>0.61538461538461542</v>
      </c>
      <c r="I121" s="197"/>
      <c r="J121" s="383" t="s">
        <v>140</v>
      </c>
      <c r="K121" s="383">
        <v>8.4192203192155965E-2</v>
      </c>
      <c r="L121" s="3"/>
      <c r="M121" s="3"/>
      <c r="N121" s="3"/>
      <c r="O121" s="3"/>
      <c r="P121" s="3"/>
      <c r="Q121" s="3"/>
      <c r="R121" s="3"/>
      <c r="S121" s="197"/>
      <c r="T121" s="197"/>
      <c r="U121" s="197"/>
      <c r="V121" s="197"/>
      <c r="W121" s="197"/>
      <c r="X121" s="197"/>
      <c r="Y121" s="197"/>
      <c r="Z121" s="197"/>
      <c r="AA121" s="8"/>
      <c r="AB121" s="8"/>
      <c r="AC121" s="8"/>
      <c r="AD121" s="8"/>
      <c r="AE121" s="8"/>
      <c r="AF121" s="327"/>
      <c r="AG121" s="327"/>
      <c r="AH121" s="327"/>
      <c r="AI121" s="327"/>
      <c r="AJ121" s="327"/>
      <c r="AK121" s="362"/>
      <c r="AL121" s="363"/>
      <c r="AM121" s="368">
        <v>3378</v>
      </c>
      <c r="AN121" s="369">
        <v>0.31074095749594816</v>
      </c>
      <c r="AO121" s="369">
        <f t="shared" si="4"/>
        <v>0.71657664164137558</v>
      </c>
      <c r="AP121" s="369">
        <f t="shared" si="5"/>
        <v>0.80228891743547825</v>
      </c>
      <c r="AQ121" s="370">
        <f t="shared" si="6"/>
        <v>0.80228891743547825</v>
      </c>
      <c r="AR121" s="328"/>
      <c r="AS121" s="328"/>
      <c r="AT121" s="328"/>
      <c r="AU121" s="328"/>
      <c r="AV121" s="328"/>
      <c r="AW121" s="328"/>
      <c r="AX121" s="328"/>
      <c r="AY121" s="328"/>
      <c r="AZ121" s="328"/>
      <c r="BA121" s="328"/>
      <c r="BB121" s="328"/>
      <c r="BC121" s="328"/>
      <c r="BD121" s="328"/>
      <c r="BE121" s="328"/>
      <c r="BF121" s="328"/>
      <c r="BG121" s="328"/>
      <c r="BH121" s="374"/>
      <c r="BI121" s="328"/>
      <c r="BJ121" s="328"/>
      <c r="BK121" s="328"/>
      <c r="BL121" s="327"/>
      <c r="BM121" s="327"/>
      <c r="BN121" s="328"/>
      <c r="BO121" s="328"/>
      <c r="BP121" s="328"/>
      <c r="BQ121" s="327"/>
      <c r="BR121" s="327"/>
      <c r="BS121" s="327"/>
      <c r="BT121" s="327"/>
    </row>
    <row r="122" spans="6:72" ht="18">
      <c r="F122" s="197" t="s">
        <v>205</v>
      </c>
      <c r="G122" s="381">
        <v>0.798484877102</v>
      </c>
      <c r="H122" s="381">
        <v>0.9859154929577465</v>
      </c>
      <c r="I122" s="197"/>
      <c r="J122" s="383" t="s">
        <v>141</v>
      </c>
      <c r="K122" s="383">
        <v>-0.14475974600980504</v>
      </c>
      <c r="L122" s="3"/>
      <c r="M122" s="3"/>
      <c r="N122" s="3"/>
      <c r="O122" s="3"/>
      <c r="P122" s="3"/>
      <c r="Q122" s="3"/>
      <c r="R122" s="3"/>
      <c r="S122" s="197"/>
      <c r="T122" s="197"/>
      <c r="U122" s="197"/>
      <c r="V122" s="197"/>
      <c r="W122" s="197"/>
      <c r="X122" s="197"/>
      <c r="Y122" s="197"/>
      <c r="Z122" s="197"/>
      <c r="AA122" s="8"/>
      <c r="AB122" s="8"/>
      <c r="AC122" s="8"/>
      <c r="AD122" s="8"/>
      <c r="AE122" s="8"/>
      <c r="AF122" s="327"/>
      <c r="AG122" s="327"/>
      <c r="AH122" s="327"/>
      <c r="AI122" s="327"/>
      <c r="AJ122" s="327"/>
      <c r="AK122" s="362"/>
      <c r="AL122" s="363"/>
      <c r="AM122" s="368">
        <v>3379</v>
      </c>
      <c r="AN122" s="369">
        <v>0</v>
      </c>
      <c r="AO122" s="369">
        <f t="shared" si="4"/>
        <v>0</v>
      </c>
      <c r="AP122" s="369" t="e">
        <f t="shared" si="5"/>
        <v>#N/A</v>
      </c>
      <c r="AQ122" s="370">
        <f t="shared" si="6"/>
        <v>0</v>
      </c>
      <c r="AR122" s="328"/>
      <c r="AS122" s="328"/>
      <c r="AT122" s="328"/>
      <c r="AU122" s="328"/>
      <c r="AV122" s="328"/>
      <c r="AW122" s="328"/>
      <c r="AX122" s="328"/>
      <c r="AY122" s="328"/>
      <c r="AZ122" s="328"/>
      <c r="BA122" s="328"/>
      <c r="BB122" s="328"/>
      <c r="BC122" s="328"/>
      <c r="BD122" s="328"/>
      <c r="BE122" s="328"/>
      <c r="BF122" s="328"/>
      <c r="BG122" s="328"/>
      <c r="BH122" s="374"/>
      <c r="BI122" s="328"/>
      <c r="BJ122" s="328"/>
      <c r="BK122" s="328"/>
      <c r="BL122" s="327"/>
      <c r="BM122" s="327"/>
      <c r="BN122" s="328"/>
      <c r="BO122" s="328"/>
      <c r="BP122" s="328"/>
      <c r="BQ122" s="327"/>
      <c r="BR122" s="327"/>
      <c r="BS122" s="327"/>
      <c r="BT122" s="327"/>
    </row>
    <row r="123" spans="6:72" ht="18">
      <c r="F123" s="197" t="s">
        <v>210</v>
      </c>
      <c r="G123" s="381">
        <v>0.62063380691199999</v>
      </c>
      <c r="H123" s="381">
        <v>1</v>
      </c>
      <c r="I123" s="197"/>
      <c r="J123" s="383" t="s">
        <v>142</v>
      </c>
      <c r="K123" s="383">
        <v>0.16687806327451424</v>
      </c>
      <c r="L123" s="3"/>
      <c r="M123" s="3"/>
      <c r="N123" s="3"/>
      <c r="O123" s="3"/>
      <c r="P123" s="3"/>
      <c r="Q123" s="3"/>
      <c r="R123" s="3"/>
      <c r="S123" s="197"/>
      <c r="T123" s="197"/>
      <c r="U123" s="197"/>
      <c r="V123" s="197"/>
      <c r="W123" s="197"/>
      <c r="X123" s="197"/>
      <c r="Y123" s="197"/>
      <c r="Z123" s="197"/>
      <c r="AA123" s="8"/>
      <c r="AB123" s="8"/>
      <c r="AC123" s="8"/>
      <c r="AD123" s="8"/>
      <c r="AE123" s="8"/>
      <c r="AF123" s="327"/>
      <c r="AG123" s="327"/>
      <c r="AH123" s="327"/>
      <c r="AI123" s="327"/>
      <c r="AJ123" s="327"/>
      <c r="AK123" s="362"/>
      <c r="AL123" s="363"/>
      <c r="AM123" s="368">
        <v>3470</v>
      </c>
      <c r="AN123" s="369">
        <v>0</v>
      </c>
      <c r="AO123" s="369">
        <f t="shared" si="4"/>
        <v>0</v>
      </c>
      <c r="AP123" s="369" t="e">
        <f t="shared" si="5"/>
        <v>#N/A</v>
      </c>
      <c r="AQ123" s="370">
        <f t="shared" si="6"/>
        <v>0</v>
      </c>
      <c r="AR123" s="328"/>
      <c r="AS123" s="328"/>
      <c r="AT123" s="328"/>
      <c r="AU123" s="328"/>
      <c r="AV123" s="328"/>
      <c r="AW123" s="328"/>
      <c r="AX123" s="328"/>
      <c r="AY123" s="328"/>
      <c r="AZ123" s="328"/>
      <c r="BA123" s="328"/>
      <c r="BB123" s="328"/>
      <c r="BC123" s="328"/>
      <c r="BD123" s="328"/>
      <c r="BE123" s="328"/>
      <c r="BF123" s="328"/>
      <c r="BG123" s="328"/>
      <c r="BH123" s="374"/>
      <c r="BI123" s="328"/>
      <c r="BJ123" s="328"/>
      <c r="BK123" s="328"/>
      <c r="BL123" s="327"/>
      <c r="BM123" s="327"/>
      <c r="BN123" s="328"/>
      <c r="BO123" s="328"/>
      <c r="BP123" s="328"/>
      <c r="BQ123" s="327"/>
      <c r="BR123" s="327"/>
      <c r="BS123" s="327"/>
      <c r="BT123" s="327"/>
    </row>
    <row r="124" spans="6:72" ht="18.600000000000001" thickBot="1">
      <c r="F124" s="197"/>
      <c r="G124" s="381"/>
      <c r="H124" s="381"/>
      <c r="I124" s="197"/>
      <c r="J124" s="384" t="s">
        <v>143</v>
      </c>
      <c r="K124" s="384">
        <v>6</v>
      </c>
      <c r="L124" s="3"/>
      <c r="M124" s="3"/>
      <c r="N124" s="3"/>
      <c r="O124" s="3"/>
      <c r="P124" s="3"/>
      <c r="Q124" s="3"/>
      <c r="R124" s="3"/>
      <c r="S124" s="197"/>
      <c r="T124" s="197"/>
      <c r="U124" s="197"/>
      <c r="V124" s="197"/>
      <c r="W124" s="197"/>
      <c r="X124" s="197"/>
      <c r="Y124" s="197"/>
      <c r="Z124" s="197"/>
      <c r="AA124" s="8"/>
      <c r="AB124" s="8"/>
      <c r="AC124" s="8"/>
      <c r="AD124" s="8"/>
      <c r="AE124" s="8"/>
      <c r="AF124" s="327"/>
      <c r="AG124" s="327"/>
      <c r="AH124" s="327"/>
      <c r="AI124" s="327"/>
      <c r="AJ124" s="327"/>
      <c r="AK124" s="362"/>
      <c r="AL124" s="363"/>
      <c r="AM124" s="368">
        <v>3472</v>
      </c>
      <c r="AN124" s="369">
        <v>0</v>
      </c>
      <c r="AO124" s="369">
        <f t="shared" si="4"/>
        <v>0</v>
      </c>
      <c r="AP124" s="369" t="e">
        <f t="shared" si="5"/>
        <v>#N/A</v>
      </c>
      <c r="AQ124" s="370">
        <f t="shared" si="6"/>
        <v>0</v>
      </c>
      <c r="AR124" s="328"/>
      <c r="AS124" s="328"/>
      <c r="AT124" s="328"/>
      <c r="AU124" s="328"/>
      <c r="AV124" s="328"/>
      <c r="AW124" s="328"/>
      <c r="AX124" s="328"/>
      <c r="AY124" s="328"/>
      <c r="AZ124" s="328"/>
      <c r="BA124" s="328"/>
      <c r="BB124" s="328"/>
      <c r="BC124" s="328"/>
      <c r="BD124" s="328"/>
      <c r="BE124" s="328"/>
      <c r="BF124" s="328"/>
      <c r="BG124" s="328"/>
      <c r="BH124" s="374"/>
      <c r="BI124" s="328"/>
      <c r="BJ124" s="328"/>
      <c r="BK124" s="328"/>
      <c r="BL124" s="327"/>
      <c r="BM124" s="327"/>
      <c r="BN124" s="328"/>
      <c r="BO124" s="328"/>
      <c r="BP124" s="328"/>
      <c r="BQ124" s="327"/>
      <c r="BR124" s="327"/>
      <c r="BS124" s="327"/>
      <c r="BT124" s="327"/>
    </row>
    <row r="125" spans="6:72" ht="18">
      <c r="F125" s="197"/>
      <c r="G125" s="381"/>
      <c r="H125" s="381"/>
      <c r="I125" s="197"/>
      <c r="J125" s="3"/>
      <c r="K125" s="3"/>
      <c r="L125" s="3"/>
      <c r="M125" s="3"/>
      <c r="N125" s="3"/>
      <c r="O125" s="3"/>
      <c r="P125" s="3"/>
      <c r="Q125" s="3"/>
      <c r="R125" s="3"/>
      <c r="S125" s="197"/>
      <c r="T125" s="197"/>
      <c r="U125" s="197"/>
      <c r="V125" s="197"/>
      <c r="W125" s="197"/>
      <c r="X125" s="197"/>
      <c r="Y125" s="197"/>
      <c r="Z125" s="197"/>
      <c r="AA125" s="8"/>
      <c r="AB125" s="8"/>
      <c r="AC125" s="8"/>
      <c r="AD125" s="8"/>
      <c r="AE125" s="8"/>
      <c r="AF125" s="327"/>
      <c r="AG125" s="327"/>
      <c r="AH125" s="327"/>
      <c r="AI125" s="327"/>
      <c r="AJ125" s="327"/>
      <c r="AK125" s="362"/>
      <c r="AL125" s="363"/>
      <c r="AM125" s="368">
        <v>3473</v>
      </c>
      <c r="AN125" s="369">
        <v>0</v>
      </c>
      <c r="AO125" s="369">
        <f t="shared" si="4"/>
        <v>0</v>
      </c>
      <c r="AP125" s="369" t="e">
        <f t="shared" si="5"/>
        <v>#N/A</v>
      </c>
      <c r="AQ125" s="370">
        <f t="shared" si="6"/>
        <v>0</v>
      </c>
      <c r="AR125" s="328"/>
      <c r="AS125" s="328"/>
      <c r="AT125" s="328"/>
      <c r="AU125" s="328"/>
      <c r="AV125" s="328"/>
      <c r="AW125" s="328"/>
      <c r="AX125" s="328"/>
      <c r="AY125" s="328"/>
      <c r="AZ125" s="328"/>
      <c r="BA125" s="328"/>
      <c r="BB125" s="328"/>
      <c r="BC125" s="328"/>
      <c r="BD125" s="328"/>
      <c r="BE125" s="328"/>
      <c r="BF125" s="328"/>
      <c r="BG125" s="328"/>
      <c r="BH125" s="374"/>
      <c r="BI125" s="328"/>
      <c r="BJ125" s="328"/>
      <c r="BK125" s="328"/>
      <c r="BL125" s="327"/>
      <c r="BM125" s="327"/>
      <c r="BN125" s="328"/>
      <c r="BO125" s="328"/>
      <c r="BP125" s="328"/>
      <c r="BQ125" s="327"/>
      <c r="BR125" s="327"/>
      <c r="BS125" s="327"/>
      <c r="BT125" s="327"/>
    </row>
    <row r="126" spans="6:72" ht="18.600000000000001" thickBot="1">
      <c r="F126" s="197"/>
      <c r="G126" s="381"/>
      <c r="H126" s="381"/>
      <c r="I126" s="197"/>
      <c r="J126" s="3" t="s">
        <v>144</v>
      </c>
      <c r="K126" s="3"/>
      <c r="L126" s="3"/>
      <c r="M126" s="3"/>
      <c r="N126" s="3"/>
      <c r="O126" s="3"/>
      <c r="P126" s="3"/>
      <c r="Q126" s="3"/>
      <c r="R126" s="3"/>
      <c r="S126" s="197"/>
      <c r="T126" s="197"/>
      <c r="U126" s="197"/>
      <c r="V126" s="197"/>
      <c r="W126" s="197"/>
      <c r="X126" s="197"/>
      <c r="Y126" s="197"/>
      <c r="Z126" s="197"/>
      <c r="AA126" s="8"/>
      <c r="AB126" s="8"/>
      <c r="AC126" s="8"/>
      <c r="AD126" s="8"/>
      <c r="AE126" s="8"/>
      <c r="AF126" s="327"/>
      <c r="AG126" s="327"/>
      <c r="AH126" s="327"/>
      <c r="AI126" s="327"/>
      <c r="AJ126" s="327"/>
      <c r="AK126" s="362"/>
      <c r="AL126" s="363"/>
      <c r="AM126" s="368">
        <v>3474</v>
      </c>
      <c r="AN126" s="369">
        <v>0</v>
      </c>
      <c r="AO126" s="369">
        <f t="shared" si="4"/>
        <v>0</v>
      </c>
      <c r="AP126" s="369" t="e">
        <f t="shared" si="5"/>
        <v>#N/A</v>
      </c>
      <c r="AQ126" s="370">
        <f t="shared" si="6"/>
        <v>0</v>
      </c>
      <c r="AR126" s="328"/>
      <c r="AS126" s="328"/>
      <c r="AT126" s="328"/>
      <c r="AU126" s="328"/>
      <c r="AV126" s="328"/>
      <c r="AW126" s="328"/>
      <c r="AX126" s="328"/>
      <c r="AY126" s="328"/>
      <c r="AZ126" s="328"/>
      <c r="BA126" s="328"/>
      <c r="BB126" s="328"/>
      <c r="BC126" s="328"/>
      <c r="BD126" s="328"/>
      <c r="BE126" s="328"/>
      <c r="BF126" s="328"/>
      <c r="BG126" s="328"/>
      <c r="BH126" s="374"/>
      <c r="BI126" s="328"/>
      <c r="BJ126" s="328"/>
      <c r="BK126" s="328"/>
      <c r="BL126" s="327"/>
      <c r="BM126" s="327"/>
      <c r="BN126" s="328"/>
      <c r="BO126" s="328"/>
      <c r="BP126" s="328"/>
      <c r="BQ126" s="327"/>
      <c r="BR126" s="327"/>
      <c r="BS126" s="327"/>
      <c r="BT126" s="327"/>
    </row>
    <row r="127" spans="6:72" ht="18">
      <c r="F127" s="197"/>
      <c r="G127" s="381"/>
      <c r="H127" s="381"/>
      <c r="I127" s="197"/>
      <c r="J127" s="385"/>
      <c r="K127" s="385" t="s">
        <v>149</v>
      </c>
      <c r="L127" s="385" t="s">
        <v>150</v>
      </c>
      <c r="M127" s="385" t="s">
        <v>151</v>
      </c>
      <c r="N127" s="385" t="s">
        <v>152</v>
      </c>
      <c r="O127" s="385" t="s">
        <v>153</v>
      </c>
      <c r="P127" s="3"/>
      <c r="Q127" s="3"/>
      <c r="R127" s="3"/>
      <c r="S127" s="197"/>
      <c r="T127" s="197"/>
      <c r="U127" s="197"/>
      <c r="V127" s="197"/>
      <c r="W127" s="197"/>
      <c r="X127" s="197"/>
      <c r="Y127" s="197"/>
      <c r="Z127" s="197"/>
      <c r="AA127" s="8"/>
      <c r="AB127" s="8"/>
      <c r="AC127" s="8"/>
      <c r="AD127" s="8"/>
      <c r="AE127" s="8"/>
      <c r="AF127" s="327"/>
      <c r="AG127" s="327"/>
      <c r="AH127" s="327"/>
      <c r="AI127" s="327"/>
      <c r="AJ127" s="327"/>
      <c r="AK127" s="362"/>
      <c r="AL127" s="363"/>
      <c r="AM127" s="368">
        <v>3475</v>
      </c>
      <c r="AN127" s="369">
        <v>0.32881817481697612</v>
      </c>
      <c r="AO127" s="369">
        <f t="shared" si="4"/>
        <v>0.72994029802916227</v>
      </c>
      <c r="AP127" s="369">
        <f t="shared" si="5"/>
        <v>0.82285714285714284</v>
      </c>
      <c r="AQ127" s="370">
        <f t="shared" si="6"/>
        <v>0.82285714285714284</v>
      </c>
      <c r="AR127" s="328"/>
      <c r="AS127" s="328"/>
      <c r="AT127" s="328"/>
      <c r="AU127" s="328"/>
      <c r="AV127" s="328"/>
      <c r="AW127" s="328"/>
      <c r="AX127" s="328"/>
      <c r="AY127" s="328"/>
      <c r="AZ127" s="328"/>
      <c r="BA127" s="328"/>
      <c r="BB127" s="328"/>
      <c r="BC127" s="328"/>
      <c r="BD127" s="328"/>
      <c r="BE127" s="328"/>
      <c r="BF127" s="328"/>
      <c r="BG127" s="328"/>
      <c r="BH127" s="374"/>
      <c r="BI127" s="328"/>
      <c r="BJ127" s="328"/>
      <c r="BK127" s="328"/>
      <c r="BL127" s="327"/>
      <c r="BM127" s="327"/>
      <c r="BN127" s="328"/>
      <c r="BO127" s="328"/>
      <c r="BP127" s="328"/>
      <c r="BQ127" s="327"/>
      <c r="BR127" s="327"/>
      <c r="BS127" s="327"/>
      <c r="BT127" s="327"/>
    </row>
    <row r="128" spans="6:72" ht="18">
      <c r="F128" s="197"/>
      <c r="G128" s="197"/>
      <c r="H128" s="197"/>
      <c r="I128" s="197"/>
      <c r="J128" s="383" t="s">
        <v>145</v>
      </c>
      <c r="K128" s="383">
        <v>1</v>
      </c>
      <c r="L128" s="383">
        <v>1.024061481115035E-2</v>
      </c>
      <c r="M128" s="383">
        <v>1.024061481115035E-2</v>
      </c>
      <c r="N128" s="383">
        <v>0.36772870240073435</v>
      </c>
      <c r="O128" s="386">
        <v>0.57697616851594002</v>
      </c>
      <c r="P128" s="3"/>
      <c r="Q128" s="3"/>
      <c r="R128" s="3"/>
      <c r="S128" s="197"/>
      <c r="T128" s="197"/>
      <c r="U128" s="197"/>
      <c r="V128" s="197"/>
      <c r="W128" s="197"/>
      <c r="X128" s="197"/>
      <c r="Y128" s="197"/>
      <c r="Z128" s="197"/>
      <c r="AA128" s="8"/>
      <c r="AB128" s="8"/>
      <c r="AC128" s="8"/>
      <c r="AD128" s="8"/>
      <c r="AE128" s="8"/>
      <c r="AF128" s="327"/>
      <c r="AG128" s="327"/>
      <c r="AH128" s="327"/>
      <c r="AI128" s="327"/>
      <c r="AJ128" s="327"/>
      <c r="AK128" s="362"/>
      <c r="AL128" s="363"/>
      <c r="AM128" s="368">
        <v>3476</v>
      </c>
      <c r="AN128" s="369">
        <v>0.58396245721472029</v>
      </c>
      <c r="AO128" s="369">
        <f t="shared" si="4"/>
        <v>0.83860347560719262</v>
      </c>
      <c r="AP128" s="369">
        <f t="shared" si="5"/>
        <v>0.8137448235062118</v>
      </c>
      <c r="AQ128" s="370">
        <f t="shared" si="6"/>
        <v>0.8137448235062118</v>
      </c>
      <c r="AR128" s="328"/>
      <c r="AS128" s="328"/>
      <c r="AT128" s="328"/>
      <c r="AU128" s="328"/>
      <c r="AV128" s="328"/>
      <c r="AW128" s="328"/>
      <c r="AX128" s="328"/>
      <c r="AY128" s="328"/>
      <c r="AZ128" s="328"/>
      <c r="BA128" s="328"/>
      <c r="BB128" s="328"/>
      <c r="BC128" s="328"/>
      <c r="BD128" s="328"/>
      <c r="BE128" s="328"/>
      <c r="BF128" s="328"/>
      <c r="BG128" s="328"/>
      <c r="BH128" s="374"/>
      <c r="BI128" s="328"/>
      <c r="BJ128" s="328"/>
      <c r="BK128" s="328"/>
      <c r="BL128" s="327"/>
      <c r="BM128" s="327"/>
      <c r="BN128" s="328"/>
      <c r="BO128" s="328"/>
      <c r="BP128" s="328"/>
      <c r="BQ128" s="327"/>
      <c r="BR128" s="327"/>
      <c r="BS128" s="327"/>
      <c r="BT128" s="327"/>
    </row>
    <row r="129" spans="6:72" ht="18">
      <c r="F129" s="197"/>
      <c r="G129" s="197"/>
      <c r="H129" s="197"/>
      <c r="I129" s="197"/>
      <c r="J129" s="383" t="s">
        <v>146</v>
      </c>
      <c r="K129" s="383">
        <v>4</v>
      </c>
      <c r="L129" s="383">
        <v>0.11139315200901109</v>
      </c>
      <c r="M129" s="383">
        <v>2.7848288002252773E-2</v>
      </c>
      <c r="N129" s="383"/>
      <c r="O129" s="383"/>
      <c r="P129" s="3"/>
      <c r="Q129" s="3"/>
      <c r="R129" s="3"/>
      <c r="S129" s="197"/>
      <c r="T129" s="197"/>
      <c r="U129" s="197"/>
      <c r="V129" s="197"/>
      <c r="W129" s="197"/>
      <c r="X129" s="197"/>
      <c r="Y129" s="197"/>
      <c r="Z129" s="197"/>
      <c r="AA129" s="8"/>
      <c r="AB129" s="8"/>
      <c r="AC129" s="8"/>
      <c r="AD129" s="8"/>
      <c r="AE129" s="8"/>
      <c r="AF129" s="327"/>
      <c r="AG129" s="327"/>
      <c r="AH129" s="327"/>
      <c r="AI129" s="327"/>
      <c r="AJ129" s="327"/>
      <c r="AK129" s="362"/>
      <c r="AL129" s="363"/>
      <c r="AM129" s="368">
        <v>3477</v>
      </c>
      <c r="AN129" s="369">
        <v>0.16587714108589266</v>
      </c>
      <c r="AO129" s="369">
        <f t="shared" si="4"/>
        <v>0.53430266886016586</v>
      </c>
      <c r="AP129" s="369">
        <f t="shared" si="5"/>
        <v>0.83993576017130622</v>
      </c>
      <c r="AQ129" s="370">
        <f t="shared" si="6"/>
        <v>0.83993576017130622</v>
      </c>
      <c r="AR129" s="328"/>
      <c r="AS129" s="328"/>
      <c r="AT129" s="328"/>
      <c r="AU129" s="328"/>
      <c r="AV129" s="328"/>
      <c r="AW129" s="328"/>
      <c r="AX129" s="328"/>
      <c r="AY129" s="328"/>
      <c r="AZ129" s="328"/>
      <c r="BA129" s="328"/>
      <c r="BB129" s="328"/>
      <c r="BC129" s="328"/>
      <c r="BD129" s="328"/>
      <c r="BE129" s="328"/>
      <c r="BF129" s="328"/>
      <c r="BG129" s="328"/>
      <c r="BH129" s="374"/>
      <c r="BI129" s="328"/>
      <c r="BJ129" s="328"/>
      <c r="BK129" s="328"/>
      <c r="BL129" s="327"/>
      <c r="BM129" s="327"/>
      <c r="BN129" s="328"/>
      <c r="BO129" s="328"/>
      <c r="BP129" s="328"/>
      <c r="BQ129" s="327"/>
      <c r="BR129" s="327"/>
      <c r="BS129" s="327"/>
      <c r="BT129" s="327"/>
    </row>
    <row r="130" spans="6:72" ht="18.600000000000001" thickBot="1">
      <c r="F130" s="197"/>
      <c r="G130" s="197"/>
      <c r="H130" s="197"/>
      <c r="I130" s="197"/>
      <c r="J130" s="384" t="s">
        <v>147</v>
      </c>
      <c r="K130" s="384">
        <v>5</v>
      </c>
      <c r="L130" s="384">
        <v>0.12163376682016144</v>
      </c>
      <c r="M130" s="384"/>
      <c r="N130" s="384"/>
      <c r="O130" s="384"/>
      <c r="P130" s="3"/>
      <c r="Q130" s="3"/>
      <c r="R130" s="3"/>
      <c r="S130" s="197"/>
      <c r="T130" s="197"/>
      <c r="U130" s="197"/>
      <c r="V130" s="197"/>
      <c r="W130" s="197"/>
      <c r="X130" s="197"/>
      <c r="Y130" s="197"/>
      <c r="Z130" s="197"/>
      <c r="AA130" s="8"/>
      <c r="AB130" s="8"/>
      <c r="AC130" s="8"/>
      <c r="AD130" s="8"/>
      <c r="AE130" s="8"/>
      <c r="AF130" s="327"/>
      <c r="AG130" s="327"/>
      <c r="AH130" s="327"/>
      <c r="AI130" s="327"/>
      <c r="AJ130" s="327"/>
      <c r="AK130" s="362"/>
      <c r="AL130" s="363"/>
      <c r="AM130" s="368">
        <v>3572</v>
      </c>
      <c r="AN130" s="369">
        <v>0</v>
      </c>
      <c r="AO130" s="369">
        <f t="shared" si="4"/>
        <v>0</v>
      </c>
      <c r="AP130" s="369" t="e">
        <f t="shared" si="5"/>
        <v>#N/A</v>
      </c>
      <c r="AQ130" s="370">
        <f t="shared" si="6"/>
        <v>0</v>
      </c>
      <c r="AR130" s="328"/>
      <c r="AS130" s="328"/>
      <c r="AT130" s="328"/>
      <c r="AU130" s="328"/>
      <c r="AV130" s="328"/>
      <c r="AW130" s="328"/>
      <c r="AX130" s="328"/>
      <c r="AY130" s="328"/>
      <c r="AZ130" s="328"/>
      <c r="BA130" s="328"/>
      <c r="BB130" s="328"/>
      <c r="BC130" s="328"/>
      <c r="BD130" s="328"/>
      <c r="BE130" s="328"/>
      <c r="BF130" s="328"/>
      <c r="BG130" s="328"/>
      <c r="BH130" s="374"/>
      <c r="BI130" s="328"/>
      <c r="BJ130" s="328"/>
      <c r="BK130" s="328"/>
      <c r="BL130" s="327"/>
      <c r="BM130" s="327"/>
      <c r="BN130" s="328"/>
      <c r="BO130" s="328"/>
      <c r="BP130" s="328"/>
      <c r="BQ130" s="327"/>
      <c r="BR130" s="327"/>
      <c r="BS130" s="327"/>
      <c r="BT130" s="327"/>
    </row>
    <row r="131" spans="6:72" ht="18.600000000000001" thickBot="1">
      <c r="F131" s="197"/>
      <c r="G131" s="197"/>
      <c r="H131" s="197"/>
      <c r="I131" s="197"/>
      <c r="J131" s="3"/>
      <c r="K131" s="3"/>
      <c r="L131" s="3"/>
      <c r="M131" s="3"/>
      <c r="N131" s="3"/>
      <c r="O131" s="3"/>
      <c r="P131" s="3"/>
      <c r="Q131" s="3"/>
      <c r="R131" s="3"/>
      <c r="S131" s="197"/>
      <c r="T131" s="197"/>
      <c r="U131" s="197"/>
      <c r="V131" s="197"/>
      <c r="W131" s="197"/>
      <c r="X131" s="197"/>
      <c r="Y131" s="197"/>
      <c r="Z131" s="197"/>
      <c r="AA131" s="8"/>
      <c r="AB131" s="8"/>
      <c r="AC131" s="8"/>
      <c r="AD131" s="8"/>
      <c r="AE131" s="8"/>
      <c r="AF131" s="327"/>
      <c r="AG131" s="327"/>
      <c r="AH131" s="327"/>
      <c r="AI131" s="327"/>
      <c r="AJ131" s="327"/>
      <c r="AK131" s="362"/>
      <c r="AL131" s="363"/>
      <c r="AM131" s="368">
        <v>3573</v>
      </c>
      <c r="AN131" s="369">
        <v>0</v>
      </c>
      <c r="AO131" s="369">
        <f t="shared" si="4"/>
        <v>0</v>
      </c>
      <c r="AP131" s="369" t="e">
        <f t="shared" si="5"/>
        <v>#N/A</v>
      </c>
      <c r="AQ131" s="370">
        <f t="shared" si="6"/>
        <v>0</v>
      </c>
      <c r="AR131" s="328"/>
      <c r="AS131" s="328"/>
      <c r="AT131" s="328"/>
      <c r="AU131" s="328"/>
      <c r="AV131" s="328"/>
      <c r="AW131" s="328"/>
      <c r="AX131" s="328"/>
      <c r="AY131" s="328"/>
      <c r="AZ131" s="328"/>
      <c r="BA131" s="328"/>
      <c r="BB131" s="328"/>
      <c r="BC131" s="328"/>
      <c r="BD131" s="328"/>
      <c r="BE131" s="328"/>
      <c r="BF131" s="328"/>
      <c r="BG131" s="328"/>
      <c r="BH131" s="374"/>
      <c r="BI131" s="328"/>
      <c r="BJ131" s="328"/>
      <c r="BK131" s="328"/>
      <c r="BL131" s="327"/>
      <c r="BM131" s="327"/>
      <c r="BN131" s="328"/>
      <c r="BO131" s="328"/>
      <c r="BP131" s="328"/>
      <c r="BQ131" s="327"/>
      <c r="BR131" s="327"/>
      <c r="BS131" s="327"/>
      <c r="BT131" s="327"/>
    </row>
    <row r="132" spans="6:72" ht="18">
      <c r="F132" s="197"/>
      <c r="G132" s="197"/>
      <c r="H132" s="197"/>
      <c r="I132" s="197"/>
      <c r="J132" s="385"/>
      <c r="K132" s="385" t="s">
        <v>154</v>
      </c>
      <c r="L132" s="385" t="s">
        <v>142</v>
      </c>
      <c r="M132" s="385" t="s">
        <v>155</v>
      </c>
      <c r="N132" s="385" t="s">
        <v>156</v>
      </c>
      <c r="O132" s="385" t="s">
        <v>157</v>
      </c>
      <c r="P132" s="385" t="s">
        <v>158</v>
      </c>
      <c r="Q132" s="385" t="s">
        <v>159</v>
      </c>
      <c r="R132" s="385" t="s">
        <v>160</v>
      </c>
      <c r="S132" s="197"/>
      <c r="T132" s="197"/>
      <c r="U132" s="197"/>
      <c r="V132" s="197"/>
      <c r="W132" s="197"/>
      <c r="X132" s="197"/>
      <c r="Y132" s="197"/>
      <c r="Z132" s="197"/>
      <c r="AA132" s="8"/>
      <c r="AB132" s="8"/>
      <c r="AC132" s="8"/>
      <c r="AD132" s="8"/>
      <c r="AE132" s="8"/>
      <c r="AF132" s="327"/>
      <c r="AG132" s="327"/>
      <c r="AH132" s="327"/>
      <c r="AI132" s="327"/>
      <c r="AJ132" s="327"/>
      <c r="AK132" s="362"/>
      <c r="AL132" s="363"/>
      <c r="AM132" s="368">
        <v>3574</v>
      </c>
      <c r="AN132" s="369">
        <v>0.22234031836809168</v>
      </c>
      <c r="AO132" s="369">
        <f t="shared" si="4"/>
        <v>0.62694243301984753</v>
      </c>
      <c r="AP132" s="369" t="e">
        <f t="shared" si="5"/>
        <v>#N/A</v>
      </c>
      <c r="AQ132" s="370">
        <f t="shared" si="6"/>
        <v>0.62694243301984753</v>
      </c>
      <c r="AR132" s="328"/>
      <c r="AS132" s="328"/>
      <c r="AT132" s="328"/>
      <c r="AU132" s="328"/>
      <c r="AV132" s="328"/>
      <c r="AW132" s="328"/>
      <c r="AX132" s="328"/>
      <c r="AY132" s="328"/>
      <c r="AZ132" s="328"/>
      <c r="BA132" s="328"/>
      <c r="BB132" s="328"/>
      <c r="BC132" s="328"/>
      <c r="BD132" s="328"/>
      <c r="BE132" s="328"/>
      <c r="BF132" s="328"/>
      <c r="BG132" s="328"/>
      <c r="BH132" s="374"/>
      <c r="BI132" s="328"/>
      <c r="BJ132" s="328"/>
      <c r="BK132" s="328"/>
      <c r="BL132" s="327"/>
      <c r="BM132" s="327"/>
      <c r="BN132" s="328"/>
      <c r="BO132" s="328"/>
      <c r="BP132" s="328"/>
      <c r="BQ132" s="327"/>
      <c r="BR132" s="327"/>
      <c r="BS132" s="327"/>
      <c r="BT132" s="327"/>
    </row>
    <row r="133" spans="6:72" ht="18">
      <c r="F133" s="197"/>
      <c r="G133" s="197"/>
      <c r="H133" s="197"/>
      <c r="I133" s="197"/>
      <c r="J133" s="383" t="s">
        <v>148</v>
      </c>
      <c r="K133" s="383">
        <v>0.82191576571185443</v>
      </c>
      <c r="L133" s="383">
        <v>0.19629329219950495</v>
      </c>
      <c r="M133" s="383">
        <v>4.1871821319115217</v>
      </c>
      <c r="N133" s="383">
        <v>1.3837908800389487E-2</v>
      </c>
      <c r="O133" s="383">
        <v>0.276918215431606</v>
      </c>
      <c r="P133" s="383">
        <v>1.366913315992103</v>
      </c>
      <c r="Q133" s="383">
        <v>0.276918215431606</v>
      </c>
      <c r="R133" s="383">
        <v>1.366913315992103</v>
      </c>
      <c r="S133" s="197"/>
      <c r="T133" s="197"/>
      <c r="U133" s="197"/>
      <c r="V133" s="197"/>
      <c r="W133" s="197"/>
      <c r="X133" s="197"/>
      <c r="Y133" s="197"/>
      <c r="Z133" s="197"/>
      <c r="AA133" s="8"/>
      <c r="AB133" s="8"/>
      <c r="AC133" s="8"/>
      <c r="AD133" s="8"/>
      <c r="AE133" s="8"/>
      <c r="AF133" s="327"/>
      <c r="AG133" s="327"/>
      <c r="AH133" s="327"/>
      <c r="AI133" s="327"/>
      <c r="AJ133" s="327"/>
      <c r="AK133" s="362"/>
      <c r="AL133" s="363"/>
      <c r="AM133" s="368">
        <v>3575</v>
      </c>
      <c r="AN133" s="369">
        <v>0.61973887850640819</v>
      </c>
      <c r="AO133" s="369">
        <f t="shared" si="4"/>
        <v>0.84730650838167909</v>
      </c>
      <c r="AP133" s="369">
        <f t="shared" si="5"/>
        <v>0.90460526315789469</v>
      </c>
      <c r="AQ133" s="370">
        <f t="shared" si="6"/>
        <v>0.90460526315789469</v>
      </c>
      <c r="AR133" s="328"/>
      <c r="AS133" s="328"/>
      <c r="AT133" s="328"/>
      <c r="AU133" s="328"/>
      <c r="AV133" s="328"/>
      <c r="AW133" s="328"/>
      <c r="AX133" s="328"/>
      <c r="AY133" s="328"/>
      <c r="AZ133" s="328"/>
      <c r="BA133" s="328"/>
      <c r="BB133" s="328"/>
      <c r="BC133" s="328"/>
      <c r="BD133" s="328"/>
      <c r="BE133" s="328"/>
      <c r="BF133" s="328"/>
      <c r="BG133" s="328"/>
      <c r="BH133" s="374"/>
      <c r="BI133" s="328"/>
      <c r="BJ133" s="328"/>
      <c r="BK133" s="328"/>
      <c r="BL133" s="327"/>
      <c r="BM133" s="327"/>
      <c r="BN133" s="328"/>
      <c r="BO133" s="328"/>
      <c r="BP133" s="328"/>
      <c r="BQ133" s="327"/>
      <c r="BR133" s="327"/>
      <c r="BS133" s="327"/>
      <c r="BT133" s="327"/>
    </row>
    <row r="134" spans="6:72" ht="18.600000000000001" thickBot="1">
      <c r="F134" s="197"/>
      <c r="G134" s="197"/>
      <c r="H134" s="197"/>
      <c r="I134" s="197"/>
      <c r="J134" s="384" t="s">
        <v>222</v>
      </c>
      <c r="K134" s="384">
        <v>0.19589863508750346</v>
      </c>
      <c r="L134" s="384">
        <v>0.32304843797430893</v>
      </c>
      <c r="M134" s="384">
        <v>0.60640638387201451</v>
      </c>
      <c r="N134" s="384">
        <v>0.57697616851594113</v>
      </c>
      <c r="O134" s="384">
        <v>-0.70102761921831314</v>
      </c>
      <c r="P134" s="384">
        <v>1.0928248893933201</v>
      </c>
      <c r="Q134" s="384">
        <v>-0.70102761921831314</v>
      </c>
      <c r="R134" s="384">
        <v>1.0928248893933201</v>
      </c>
      <c r="S134" s="197"/>
      <c r="T134" s="197"/>
      <c r="U134" s="197"/>
      <c r="V134" s="197"/>
      <c r="W134" s="197"/>
      <c r="X134" s="197"/>
      <c r="Y134" s="197"/>
      <c r="Z134" s="197"/>
      <c r="AA134" s="8"/>
      <c r="AB134" s="8"/>
      <c r="AC134" s="8"/>
      <c r="AD134" s="8"/>
      <c r="AE134" s="8"/>
      <c r="AF134" s="327"/>
      <c r="AG134" s="327"/>
      <c r="AH134" s="327"/>
      <c r="AI134" s="327"/>
      <c r="AJ134" s="327"/>
      <c r="AK134" s="362"/>
      <c r="AL134" s="363"/>
      <c r="AM134" s="368">
        <v>3674</v>
      </c>
      <c r="AN134" s="369">
        <v>0.14674233812021586</v>
      </c>
      <c r="AO134" s="369">
        <f t="shared" si="4"/>
        <v>0.49218831230979232</v>
      </c>
      <c r="AP134" s="369" t="e">
        <f t="shared" si="5"/>
        <v>#N/A</v>
      </c>
      <c r="AQ134" s="370">
        <f t="shared" si="6"/>
        <v>0.49218831230979232</v>
      </c>
      <c r="AR134" s="328"/>
      <c r="AS134" s="328"/>
      <c r="AT134" s="328"/>
      <c r="AU134" s="328"/>
      <c r="AV134" s="328"/>
      <c r="AW134" s="328"/>
      <c r="AX134" s="328"/>
      <c r="AY134" s="328"/>
      <c r="AZ134" s="328"/>
      <c r="BA134" s="328"/>
      <c r="BB134" s="328"/>
      <c r="BC134" s="328"/>
      <c r="BD134" s="328"/>
      <c r="BE134" s="328"/>
      <c r="BF134" s="328"/>
      <c r="BG134" s="328"/>
      <c r="BH134" s="374"/>
      <c r="BI134" s="328"/>
      <c r="BJ134" s="328"/>
      <c r="BK134" s="328"/>
      <c r="BL134" s="327"/>
      <c r="BM134" s="327"/>
      <c r="BN134" s="328"/>
      <c r="BO134" s="328"/>
      <c r="BP134" s="328"/>
      <c r="BQ134" s="327"/>
      <c r="BR134" s="327"/>
      <c r="BS134" s="327"/>
      <c r="BT134" s="327"/>
    </row>
    <row r="135" spans="6:72" ht="18">
      <c r="F135" s="197"/>
      <c r="G135" s="197"/>
      <c r="H135" s="197"/>
      <c r="I135" s="197"/>
      <c r="J135" s="3"/>
      <c r="K135" s="3"/>
      <c r="L135" s="3"/>
      <c r="M135" s="3"/>
      <c r="N135" s="3"/>
      <c r="O135" s="3"/>
      <c r="P135" s="3"/>
      <c r="Q135" s="3"/>
      <c r="R135" s="3"/>
      <c r="S135" s="197"/>
      <c r="T135" s="197"/>
      <c r="U135" s="197"/>
      <c r="V135" s="197"/>
      <c r="W135" s="197"/>
      <c r="X135" s="197"/>
      <c r="Y135" s="197"/>
      <c r="Z135" s="197"/>
      <c r="AA135" s="8"/>
      <c r="AB135" s="8"/>
      <c r="AC135" s="8"/>
      <c r="AD135" s="8"/>
      <c r="AE135" s="8"/>
      <c r="AF135" s="327"/>
      <c r="AG135" s="327"/>
      <c r="AH135" s="327"/>
      <c r="AI135" s="327"/>
      <c r="AJ135" s="327"/>
      <c r="AK135" s="362"/>
      <c r="AL135" s="363"/>
      <c r="AM135" s="368">
        <v>3675</v>
      </c>
      <c r="AN135" s="369">
        <v>0.3622637848205843</v>
      </c>
      <c r="AO135" s="369">
        <f t="shared" si="4"/>
        <v>0.7516620978173022</v>
      </c>
      <c r="AP135" s="369" t="e">
        <f t="shared" si="5"/>
        <v>#N/A</v>
      </c>
      <c r="AQ135" s="370">
        <f t="shared" si="6"/>
        <v>0.7516620978173022</v>
      </c>
      <c r="AR135" s="328"/>
      <c r="AS135" s="328"/>
      <c r="AT135" s="328"/>
      <c r="AU135" s="328"/>
      <c r="AV135" s="328"/>
      <c r="AW135" s="328"/>
      <c r="AX135" s="328"/>
      <c r="AY135" s="328"/>
      <c r="AZ135" s="328"/>
      <c r="BA135" s="328"/>
      <c r="BB135" s="328"/>
      <c r="BC135" s="328"/>
      <c r="BD135" s="328"/>
      <c r="BE135" s="328"/>
      <c r="BF135" s="328"/>
      <c r="BG135" s="328"/>
      <c r="BH135" s="374"/>
      <c r="BI135" s="328"/>
      <c r="BJ135" s="328"/>
      <c r="BK135" s="328"/>
      <c r="BL135" s="327"/>
      <c r="BM135" s="327"/>
      <c r="BN135" s="328"/>
      <c r="BO135" s="328"/>
      <c r="BP135" s="328"/>
      <c r="BQ135" s="327"/>
      <c r="BR135" s="327"/>
      <c r="BS135" s="327"/>
      <c r="BT135" s="327"/>
    </row>
    <row r="136" spans="6:72">
      <c r="F136" s="197"/>
      <c r="G136" s="197"/>
      <c r="H136" s="197"/>
      <c r="I136" s="197"/>
      <c r="J136" s="3"/>
      <c r="K136" s="3"/>
      <c r="L136" s="3"/>
      <c r="M136" s="3"/>
      <c r="N136" s="3"/>
      <c r="O136" s="3"/>
      <c r="P136" s="3"/>
      <c r="Q136" s="3"/>
      <c r="R136" s="3"/>
      <c r="S136" s="197"/>
      <c r="T136" s="197"/>
      <c r="U136" s="197"/>
      <c r="V136" s="197"/>
      <c r="W136" s="197"/>
      <c r="X136" s="197"/>
      <c r="Y136" s="197"/>
      <c r="Z136" s="197"/>
      <c r="AA136" s="8"/>
      <c r="AB136" s="8"/>
      <c r="AC136" s="8"/>
      <c r="AD136" s="8"/>
      <c r="AE136" s="8"/>
      <c r="AF136" s="327"/>
      <c r="AG136" s="327"/>
      <c r="AH136" s="327"/>
      <c r="AI136" s="327"/>
      <c r="AJ136" s="327"/>
      <c r="AK136" s="327"/>
      <c r="AL136" s="328"/>
      <c r="AM136" s="329"/>
      <c r="AN136" s="329"/>
      <c r="AO136" s="329"/>
      <c r="AP136" s="329"/>
      <c r="AQ136" s="329"/>
      <c r="AR136" s="328"/>
      <c r="AS136" s="328"/>
      <c r="AT136" s="328"/>
      <c r="AU136" s="328"/>
      <c r="AV136" s="328"/>
      <c r="AW136" s="328"/>
      <c r="AX136" s="328"/>
      <c r="AY136" s="328"/>
      <c r="AZ136" s="328"/>
      <c r="BA136" s="328"/>
      <c r="BB136" s="328"/>
      <c r="BC136" s="328"/>
      <c r="BD136" s="328"/>
      <c r="BE136" s="328"/>
      <c r="BF136" s="328"/>
      <c r="BG136" s="328"/>
      <c r="BH136" s="374"/>
      <c r="BI136" s="328"/>
      <c r="BJ136" s="328"/>
      <c r="BK136" s="328"/>
      <c r="BL136" s="327"/>
      <c r="BM136" s="327"/>
      <c r="BN136" s="328"/>
      <c r="BO136" s="328"/>
      <c r="BP136" s="328"/>
      <c r="BQ136" s="327"/>
      <c r="BR136" s="327"/>
      <c r="BS136" s="327"/>
      <c r="BT136" s="327"/>
    </row>
    <row r="137" spans="6:72" ht="16.2" thickBot="1">
      <c r="F137" s="197"/>
      <c r="G137" s="197"/>
      <c r="H137" s="197"/>
      <c r="I137" s="197"/>
      <c r="J137" s="3"/>
      <c r="K137" s="3"/>
      <c r="L137" s="3"/>
      <c r="M137" s="3"/>
      <c r="N137" s="3"/>
      <c r="O137" s="3"/>
      <c r="P137" s="3"/>
      <c r="Q137" s="3"/>
      <c r="R137" s="3"/>
      <c r="S137" s="197"/>
      <c r="T137" s="197"/>
      <c r="U137" s="197"/>
      <c r="V137" s="197"/>
      <c r="W137" s="197"/>
      <c r="X137" s="197"/>
      <c r="Y137" s="197"/>
      <c r="Z137" s="197"/>
      <c r="AA137" s="8"/>
      <c r="AB137" s="8"/>
      <c r="AC137" s="8"/>
      <c r="AD137" s="8"/>
      <c r="AE137" s="8"/>
      <c r="AF137" s="327"/>
      <c r="AG137" s="327"/>
      <c r="AH137" s="327"/>
      <c r="AI137" s="327"/>
      <c r="AJ137" s="327"/>
      <c r="AK137" s="327"/>
      <c r="AL137" s="328"/>
      <c r="AM137" s="329"/>
      <c r="AN137" s="329"/>
      <c r="AO137" s="329"/>
      <c r="AP137" s="329"/>
      <c r="AQ137" s="329"/>
      <c r="AR137" s="328"/>
      <c r="AS137" s="328"/>
      <c r="AT137" s="328"/>
      <c r="AU137" s="328"/>
      <c r="AV137" s="328"/>
      <c r="AW137" s="328"/>
      <c r="AX137" s="328"/>
      <c r="AY137" s="328"/>
      <c r="AZ137" s="328"/>
      <c r="BA137" s="328"/>
      <c r="BB137" s="328"/>
      <c r="BC137" s="328"/>
      <c r="BD137" s="328"/>
      <c r="BE137" s="328"/>
      <c r="BF137" s="328"/>
      <c r="BG137" s="328"/>
      <c r="BH137" s="328"/>
      <c r="BI137" s="328"/>
      <c r="BJ137" s="328"/>
      <c r="BK137" s="328"/>
      <c r="BL137" s="328"/>
      <c r="BM137" s="328"/>
      <c r="BN137" s="328"/>
      <c r="BO137" s="328"/>
      <c r="BP137" s="328"/>
      <c r="BQ137" s="328"/>
      <c r="BR137" s="328"/>
      <c r="BS137" s="328"/>
      <c r="BT137" s="328"/>
    </row>
    <row r="138" spans="6:72" ht="16.2" thickTop="1">
      <c r="F138" s="197"/>
      <c r="G138" s="197"/>
      <c r="H138" s="197"/>
      <c r="I138" s="197"/>
      <c r="J138" s="3" t="s">
        <v>161</v>
      </c>
      <c r="K138" s="3"/>
      <c r="L138" s="3"/>
      <c r="M138" s="3"/>
      <c r="N138" s="3"/>
      <c r="O138" s="3" t="s">
        <v>165</v>
      </c>
      <c r="P138" s="3"/>
      <c r="Q138" s="3"/>
      <c r="R138" s="3"/>
      <c r="S138" s="197"/>
      <c r="T138" s="197"/>
      <c r="U138" s="197"/>
      <c r="V138" s="197"/>
      <c r="W138" s="197"/>
      <c r="X138" s="197"/>
      <c r="Y138" s="197"/>
      <c r="Z138" s="197"/>
      <c r="AA138" s="8"/>
      <c r="AB138" s="8"/>
      <c r="AC138" s="8"/>
      <c r="AD138" s="8"/>
      <c r="AE138" s="8"/>
      <c r="AF138" s="366"/>
      <c r="AG138" s="366"/>
      <c r="AH138" s="366"/>
      <c r="AI138" s="366"/>
      <c r="AJ138" s="366"/>
      <c r="AK138" s="366"/>
      <c r="AL138" s="366"/>
      <c r="AM138" s="371"/>
      <c r="AN138" s="371"/>
      <c r="AO138" s="371"/>
      <c r="AP138" s="371"/>
      <c r="AQ138" s="371"/>
      <c r="AR138" s="366"/>
      <c r="AS138" s="366"/>
      <c r="AT138" s="366"/>
      <c r="AU138" s="366"/>
      <c r="AV138" s="366"/>
      <c r="AW138" s="366"/>
      <c r="AX138" s="366"/>
      <c r="AY138" s="366"/>
      <c r="AZ138" s="366"/>
      <c r="BA138" s="366"/>
      <c r="BB138" s="366"/>
      <c r="BC138" s="366"/>
      <c r="BD138" s="378"/>
      <c r="BE138" s="378"/>
      <c r="BF138" s="378"/>
      <c r="BG138" s="378"/>
      <c r="BH138" s="378"/>
      <c r="BI138" s="378"/>
      <c r="BJ138" s="378"/>
      <c r="BK138" s="378"/>
      <c r="BL138" s="378"/>
      <c r="BM138" s="378"/>
      <c r="BN138" s="378"/>
      <c r="BO138" s="378"/>
      <c r="BP138" s="378"/>
      <c r="BQ138" s="378"/>
      <c r="BR138" s="378"/>
      <c r="BS138" s="378"/>
      <c r="BT138" s="378"/>
    </row>
    <row r="139" spans="6:72" ht="16.2" thickBot="1">
      <c r="F139" s="197"/>
      <c r="G139" s="197"/>
      <c r="H139" s="197"/>
      <c r="I139" s="197"/>
      <c r="J139" s="3"/>
      <c r="K139" s="3"/>
      <c r="L139" s="3"/>
      <c r="M139" s="3"/>
      <c r="N139" s="3"/>
      <c r="O139" s="3"/>
      <c r="P139" s="3"/>
      <c r="Q139" s="3"/>
      <c r="R139" s="3"/>
      <c r="S139" s="197"/>
      <c r="T139" s="197"/>
      <c r="U139" s="197"/>
      <c r="V139" s="197"/>
      <c r="W139" s="197"/>
      <c r="X139" s="197"/>
      <c r="Y139" s="197"/>
      <c r="Z139" s="197"/>
      <c r="AA139" s="8"/>
      <c r="AB139" s="8"/>
      <c r="AC139" s="8"/>
      <c r="AD139" s="8"/>
      <c r="AE139" s="8"/>
      <c r="AF139" s="327"/>
      <c r="AG139" s="327"/>
      <c r="AH139" s="327"/>
      <c r="AI139" s="327"/>
      <c r="AJ139" s="327"/>
      <c r="AK139" s="327"/>
      <c r="AL139" s="328"/>
      <c r="AM139" s="329"/>
      <c r="AN139" s="329"/>
      <c r="AO139" s="329"/>
      <c r="AP139" s="329"/>
      <c r="AQ139" s="329"/>
      <c r="AR139" s="328"/>
      <c r="AS139" s="328"/>
      <c r="AT139" s="328"/>
      <c r="AU139" s="328"/>
      <c r="AV139" s="328"/>
      <c r="AW139" s="328"/>
      <c r="AX139" s="328"/>
      <c r="AY139" s="328"/>
      <c r="AZ139" s="328"/>
      <c r="BA139" s="328"/>
      <c r="BB139" s="328"/>
      <c r="BC139" s="328"/>
      <c r="BD139" s="143"/>
      <c r="BE139" s="143"/>
      <c r="BF139" s="143"/>
      <c r="BG139" s="143"/>
      <c r="BH139" s="379"/>
      <c r="BI139" s="143"/>
      <c r="BJ139" s="143"/>
      <c r="BK139" s="143"/>
      <c r="BL139" s="380"/>
      <c r="BM139" s="380"/>
      <c r="BN139" s="143"/>
      <c r="BO139" s="143"/>
      <c r="BP139" s="143"/>
      <c r="BQ139" s="380"/>
      <c r="BR139" s="380"/>
      <c r="BS139" s="380"/>
      <c r="BT139" s="380"/>
    </row>
    <row r="140" spans="6:72">
      <c r="F140" s="197"/>
      <c r="G140" s="197"/>
      <c r="H140" s="197"/>
      <c r="I140" s="197"/>
      <c r="J140" s="385" t="s">
        <v>162</v>
      </c>
      <c r="K140" s="385" t="s">
        <v>224</v>
      </c>
      <c r="L140" s="385" t="s">
        <v>163</v>
      </c>
      <c r="M140" s="385" t="s">
        <v>164</v>
      </c>
      <c r="N140" s="3"/>
      <c r="O140" s="385" t="s">
        <v>166</v>
      </c>
      <c r="P140" s="385" t="s">
        <v>223</v>
      </c>
      <c r="Q140" s="3"/>
      <c r="R140" s="3"/>
      <c r="S140" s="197"/>
      <c r="T140" s="197"/>
      <c r="U140" s="197"/>
      <c r="V140" s="197"/>
      <c r="W140" s="197"/>
      <c r="X140" s="197"/>
      <c r="Y140" s="197"/>
      <c r="Z140" s="197"/>
      <c r="AA140" s="8"/>
      <c r="AB140" s="8"/>
      <c r="AC140" s="8"/>
      <c r="AD140" s="8"/>
      <c r="AE140" s="8"/>
      <c r="AF140" s="327"/>
      <c r="AG140" s="327"/>
      <c r="AH140" s="327"/>
      <c r="AI140" s="327"/>
      <c r="AJ140" s="327"/>
      <c r="AK140" s="327"/>
      <c r="AL140" s="328"/>
      <c r="AM140" s="329"/>
      <c r="AN140" s="329"/>
      <c r="AO140" s="329"/>
      <c r="AP140" s="329"/>
      <c r="AQ140" s="329"/>
      <c r="AR140" s="328"/>
      <c r="AS140" s="328"/>
      <c r="AT140" s="328"/>
      <c r="AU140" s="328"/>
      <c r="AV140" s="328"/>
      <c r="AW140" s="328"/>
      <c r="AX140" s="328"/>
      <c r="AY140" s="328"/>
      <c r="AZ140" s="328"/>
      <c r="BA140" s="328"/>
      <c r="BB140" s="328"/>
      <c r="BC140" s="328"/>
      <c r="BD140" s="143"/>
      <c r="BE140" s="143"/>
      <c r="BF140" s="143"/>
      <c r="BG140" s="143"/>
      <c r="BH140" s="379"/>
      <c r="BI140" s="143"/>
      <c r="BJ140" s="143"/>
      <c r="BK140" s="143"/>
      <c r="BL140" s="380"/>
      <c r="BM140" s="380"/>
      <c r="BN140" s="143"/>
      <c r="BO140" s="143"/>
      <c r="BP140" s="143"/>
      <c r="BQ140" s="380"/>
      <c r="BR140" s="380"/>
      <c r="BS140" s="380"/>
      <c r="BT140" s="380"/>
    </row>
    <row r="141" spans="6:72">
      <c r="F141" s="197"/>
      <c r="G141" s="197"/>
      <c r="H141" s="197"/>
      <c r="I141" s="197"/>
      <c r="J141" s="383">
        <v>1</v>
      </c>
      <c r="K141" s="383">
        <v>0.99272215768209626</v>
      </c>
      <c r="L141" s="383">
        <v>7.2778423179037377E-3</v>
      </c>
      <c r="M141" s="383">
        <v>4.8759405020140645E-2</v>
      </c>
      <c r="N141" s="3"/>
      <c r="O141" s="383">
        <v>8.3333333333333339</v>
      </c>
      <c r="P141" s="383">
        <v>0.61538461538461542</v>
      </c>
      <c r="Q141" s="3"/>
      <c r="R141" s="3"/>
      <c r="S141" s="197"/>
      <c r="T141" s="197"/>
      <c r="U141" s="197"/>
      <c r="V141" s="197"/>
      <c r="W141" s="197"/>
      <c r="X141" s="197"/>
      <c r="Y141" s="197"/>
      <c r="Z141" s="197"/>
      <c r="AA141" s="8"/>
      <c r="AB141" s="8"/>
      <c r="AC141" s="8"/>
      <c r="AD141" s="8"/>
      <c r="AE141" s="8"/>
      <c r="AF141" s="327"/>
      <c r="AG141" s="327"/>
      <c r="AH141" s="327"/>
      <c r="AI141" s="327"/>
      <c r="AJ141" s="327"/>
      <c r="AK141" s="327"/>
      <c r="AL141" s="328"/>
      <c r="AM141" s="329"/>
      <c r="AN141" s="329"/>
      <c r="AO141" s="329"/>
      <c r="AP141" s="329"/>
      <c r="AQ141" s="329"/>
      <c r="AR141" s="328"/>
      <c r="AS141" s="328"/>
      <c r="AT141" s="328"/>
      <c r="AU141" s="328"/>
      <c r="AV141" s="328"/>
      <c r="AW141" s="328"/>
      <c r="AX141" s="328"/>
      <c r="AY141" s="328"/>
      <c r="AZ141" s="328"/>
      <c r="BA141" s="328"/>
      <c r="BB141" s="328"/>
      <c r="BC141" s="328"/>
      <c r="BD141" s="143"/>
      <c r="BE141" s="143"/>
      <c r="BF141" s="143"/>
      <c r="BG141" s="143"/>
      <c r="BH141" s="379"/>
      <c r="BI141" s="143"/>
      <c r="BJ141" s="143"/>
      <c r="BK141" s="143"/>
      <c r="BL141" s="380"/>
      <c r="BM141" s="380"/>
      <c r="BN141" s="143"/>
      <c r="BO141" s="143"/>
      <c r="BP141" s="143"/>
      <c r="BQ141" s="380"/>
      <c r="BR141" s="380"/>
      <c r="BS141" s="380"/>
      <c r="BT141" s="380"/>
    </row>
    <row r="142" spans="6:72">
      <c r="F142" s="197"/>
      <c r="G142" s="197"/>
      <c r="H142" s="197"/>
      <c r="I142" s="197"/>
      <c r="J142" s="383">
        <v>2</v>
      </c>
      <c r="K142" s="383">
        <v>0.89990017540393719</v>
      </c>
      <c r="L142" s="383">
        <v>0.10009982459606281</v>
      </c>
      <c r="M142" s="383">
        <v>0.67063941161757668</v>
      </c>
      <c r="N142" s="3"/>
      <c r="O142" s="383">
        <v>25</v>
      </c>
      <c r="P142" s="383">
        <v>0.9859154929577465</v>
      </c>
      <c r="Q142" s="3"/>
      <c r="R142" s="3"/>
      <c r="S142" s="197"/>
      <c r="T142" s="197"/>
      <c r="U142" s="197"/>
      <c r="V142" s="197"/>
      <c r="W142" s="197"/>
      <c r="X142" s="197"/>
      <c r="Y142" s="197"/>
      <c r="Z142" s="197"/>
      <c r="AA142" s="8"/>
      <c r="AB142" s="8"/>
      <c r="AC142" s="8"/>
      <c r="AD142" s="8"/>
      <c r="AE142" s="8"/>
      <c r="AF142" s="327"/>
      <c r="AG142" s="327"/>
      <c r="AH142" s="327"/>
      <c r="AI142" s="327"/>
      <c r="AJ142" s="327"/>
      <c r="AK142" s="327"/>
      <c r="AL142" s="328"/>
      <c r="AM142" s="329"/>
      <c r="AN142" s="329"/>
      <c r="AO142" s="329"/>
      <c r="AP142" s="329"/>
      <c r="AQ142" s="329"/>
      <c r="AR142" s="328"/>
      <c r="AS142" s="328"/>
      <c r="AT142" s="328"/>
      <c r="AU142" s="328"/>
      <c r="AV142" s="328"/>
      <c r="AW142" s="328"/>
      <c r="AX142" s="328"/>
      <c r="AY142" s="328"/>
      <c r="AZ142" s="328"/>
      <c r="BA142" s="328"/>
      <c r="BB142" s="328"/>
      <c r="BC142" s="328"/>
      <c r="BD142" s="143"/>
      <c r="BE142" s="143"/>
      <c r="BF142" s="143"/>
      <c r="BG142" s="143"/>
      <c r="BH142" s="379"/>
      <c r="BI142" s="143"/>
      <c r="BJ142" s="143"/>
      <c r="BK142" s="143"/>
      <c r="BL142" s="380"/>
      <c r="BM142" s="380"/>
      <c r="BN142" s="143"/>
      <c r="BO142" s="143"/>
      <c r="BP142" s="143"/>
      <c r="BQ142" s="380"/>
      <c r="BR142" s="380"/>
      <c r="BS142" s="380"/>
      <c r="BT142" s="380"/>
    </row>
    <row r="143" spans="6:72">
      <c r="F143" s="197"/>
      <c r="G143" s="197"/>
      <c r="H143" s="197"/>
      <c r="I143" s="197"/>
      <c r="J143" s="383">
        <v>3</v>
      </c>
      <c r="K143" s="383">
        <v>0.88155852933458856</v>
      </c>
      <c r="L143" s="383">
        <v>0.11844147066541144</v>
      </c>
      <c r="M143" s="383">
        <v>0.79352305080159191</v>
      </c>
      <c r="N143" s="3"/>
      <c r="O143" s="383">
        <v>41.666666666666671</v>
      </c>
      <c r="P143" s="383">
        <v>1</v>
      </c>
      <c r="Q143" s="3"/>
      <c r="R143" s="3"/>
      <c r="S143" s="197"/>
      <c r="T143" s="197"/>
      <c r="U143" s="197"/>
      <c r="V143" s="197"/>
      <c r="W143" s="197"/>
      <c r="X143" s="197"/>
      <c r="Y143" s="197"/>
      <c r="Z143" s="197"/>
      <c r="AA143" s="8"/>
      <c r="AB143" s="8"/>
      <c r="AC143" s="8"/>
      <c r="AD143" s="8"/>
      <c r="AE143" s="8"/>
      <c r="AF143" s="327"/>
      <c r="AG143" s="327"/>
      <c r="AH143" s="327"/>
      <c r="AI143" s="327"/>
      <c r="AJ143" s="327"/>
      <c r="AK143" s="327"/>
      <c r="AL143" s="328"/>
      <c r="AM143" s="329"/>
      <c r="AN143" s="329"/>
      <c r="AO143" s="329"/>
      <c r="AP143" s="329"/>
      <c r="AQ143" s="329"/>
      <c r="AR143" s="328"/>
      <c r="AS143" s="328"/>
      <c r="AT143" s="328"/>
      <c r="AU143" s="328"/>
      <c r="AV143" s="328"/>
      <c r="AW143" s="328"/>
      <c r="AX143" s="328"/>
      <c r="AY143" s="328"/>
      <c r="AZ143" s="328"/>
      <c r="BA143" s="328"/>
      <c r="BB143" s="328"/>
      <c r="BC143" s="328"/>
      <c r="BD143" s="143"/>
      <c r="BE143" s="143"/>
      <c r="BF143" s="143"/>
      <c r="BG143" s="143"/>
      <c r="BH143" s="379"/>
      <c r="BI143" s="143"/>
      <c r="BJ143" s="143"/>
      <c r="BK143" s="143"/>
      <c r="BL143" s="380"/>
      <c r="BM143" s="380"/>
      <c r="BN143" s="143"/>
      <c r="BO143" s="143"/>
      <c r="BP143" s="143"/>
      <c r="BQ143" s="380"/>
      <c r="BR143" s="380"/>
      <c r="BS143" s="380"/>
      <c r="BT143" s="380"/>
    </row>
    <row r="144" spans="6:72">
      <c r="F144" s="197"/>
      <c r="G144" s="197"/>
      <c r="H144" s="197"/>
      <c r="I144" s="197"/>
      <c r="J144" s="383">
        <v>4</v>
      </c>
      <c r="K144" s="383">
        <v>0.90528430127251402</v>
      </c>
      <c r="L144" s="383">
        <v>-0.28989968588789861</v>
      </c>
      <c r="M144" s="383">
        <v>-1.9422427117782139</v>
      </c>
      <c r="N144" s="3"/>
      <c r="O144" s="383">
        <v>58.333333333333336</v>
      </c>
      <c r="P144" s="383">
        <v>1</v>
      </c>
      <c r="Q144" s="3"/>
      <c r="R144" s="3"/>
      <c r="S144" s="197"/>
      <c r="T144" s="197"/>
      <c r="U144" s="197"/>
      <c r="V144" s="197"/>
      <c r="W144" s="197"/>
      <c r="X144" s="197"/>
      <c r="Y144" s="197"/>
      <c r="Z144" s="197"/>
      <c r="AA144" s="8"/>
      <c r="AB144" s="8"/>
      <c r="AC144" s="8"/>
      <c r="AD144" s="8"/>
      <c r="AE144" s="8"/>
      <c r="AF144" s="327"/>
      <c r="AG144" s="327"/>
      <c r="AH144" s="327"/>
      <c r="AI144" s="327"/>
      <c r="AJ144" s="327"/>
      <c r="AK144" s="327"/>
      <c r="AL144" s="328"/>
      <c r="AM144" s="329"/>
      <c r="AN144" s="329"/>
      <c r="AO144" s="329"/>
      <c r="AP144" s="329"/>
      <c r="AQ144" s="329"/>
      <c r="AR144" s="328"/>
      <c r="AS144" s="328"/>
      <c r="AT144" s="328"/>
      <c r="AU144" s="328"/>
      <c r="AV144" s="328"/>
      <c r="AW144" s="328"/>
      <c r="AX144" s="328"/>
      <c r="AY144" s="328"/>
      <c r="AZ144" s="328"/>
      <c r="BA144" s="328"/>
      <c r="BB144" s="328"/>
      <c r="BC144" s="328"/>
    </row>
    <row r="145" spans="6:55">
      <c r="F145" s="197"/>
      <c r="G145" s="197"/>
      <c r="H145" s="197"/>
      <c r="I145" s="197"/>
      <c r="J145" s="383">
        <v>5</v>
      </c>
      <c r="K145" s="383">
        <v>0.97833786327414918</v>
      </c>
      <c r="L145" s="383">
        <v>7.57762968359732E-3</v>
      </c>
      <c r="M145" s="383">
        <v>5.076789228123655E-2</v>
      </c>
      <c r="N145" s="3"/>
      <c r="O145" s="383">
        <v>75</v>
      </c>
      <c r="P145" s="383">
        <v>1</v>
      </c>
      <c r="Q145" s="3"/>
      <c r="R145" s="3"/>
      <c r="S145" s="197"/>
      <c r="T145" s="197"/>
      <c r="U145" s="197"/>
      <c r="V145" s="197"/>
      <c r="W145" s="197"/>
      <c r="X145" s="197"/>
      <c r="Y145" s="197"/>
      <c r="Z145" s="197"/>
      <c r="AA145" s="8"/>
      <c r="AB145" s="8"/>
      <c r="AC145" s="8"/>
      <c r="AD145" s="8"/>
      <c r="AE145" s="8"/>
      <c r="AF145" s="327"/>
      <c r="AG145" s="327"/>
      <c r="AH145" s="327"/>
      <c r="AI145" s="327"/>
      <c r="AJ145" s="327"/>
      <c r="AK145" s="327"/>
      <c r="AL145" s="328"/>
      <c r="AM145" s="367" t="s">
        <v>226</v>
      </c>
      <c r="AN145" s="367" t="s">
        <v>249</v>
      </c>
      <c r="AO145" s="367" t="s">
        <v>250</v>
      </c>
      <c r="AP145" s="367" t="s">
        <v>251</v>
      </c>
      <c r="AQ145" s="367" t="s">
        <v>252</v>
      </c>
      <c r="AR145" s="328"/>
      <c r="AS145" s="328"/>
      <c r="AT145" s="328"/>
      <c r="AU145" s="328"/>
      <c r="AV145" s="328"/>
      <c r="AW145" s="328"/>
      <c r="AX145" s="328"/>
      <c r="AY145" s="328"/>
      <c r="AZ145" s="328"/>
      <c r="BA145" s="328"/>
      <c r="BB145" s="328"/>
      <c r="BC145" s="328"/>
    </row>
    <row r="146" spans="6:55" ht="16.2" thickBot="1">
      <c r="F146" s="197"/>
      <c r="G146" s="197"/>
      <c r="H146" s="197"/>
      <c r="I146" s="197"/>
      <c r="J146" s="384">
        <v>6</v>
      </c>
      <c r="K146" s="384">
        <v>0.94349708137507637</v>
      </c>
      <c r="L146" s="384">
        <v>5.6502918624923626E-2</v>
      </c>
      <c r="M146" s="384">
        <v>0.37855295205767053</v>
      </c>
      <c r="N146" s="3"/>
      <c r="O146" s="384">
        <v>91.666666666666671</v>
      </c>
      <c r="P146" s="384">
        <v>1</v>
      </c>
      <c r="Q146" s="3"/>
      <c r="R146" s="3"/>
      <c r="S146" s="197"/>
      <c r="T146" s="197"/>
      <c r="U146" s="197"/>
      <c r="V146" s="197"/>
      <c r="W146" s="197"/>
      <c r="X146" s="197"/>
      <c r="Y146" s="197"/>
      <c r="Z146" s="197"/>
      <c r="AA146" s="8"/>
      <c r="AB146" s="8"/>
      <c r="AC146" s="8"/>
      <c r="AD146" s="8"/>
      <c r="AE146" s="8"/>
      <c r="AF146" s="327"/>
      <c r="AG146" s="327"/>
      <c r="AH146" s="327"/>
      <c r="AI146" s="327"/>
      <c r="AJ146" s="327"/>
      <c r="AK146" s="327"/>
      <c r="AL146" s="328"/>
      <c r="AM146" s="367">
        <v>2479</v>
      </c>
      <c r="AN146" s="367">
        <v>0</v>
      </c>
      <c r="AO146" s="367">
        <v>0</v>
      </c>
      <c r="AP146" s="372">
        <v>0</v>
      </c>
      <c r="AQ146" s="372">
        <v>0</v>
      </c>
      <c r="AR146" s="328"/>
      <c r="AS146" s="328"/>
      <c r="AT146" s="328"/>
      <c r="AU146" s="328"/>
      <c r="AV146" s="328"/>
      <c r="AW146" s="328"/>
      <c r="AX146" s="328"/>
      <c r="AY146" s="328"/>
      <c r="AZ146" s="328"/>
      <c r="BA146" s="328"/>
      <c r="BB146" s="328"/>
      <c r="BC146" s="328"/>
    </row>
    <row r="147" spans="6:55">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8"/>
      <c r="AB147" s="8"/>
      <c r="AC147" s="8"/>
      <c r="AD147" s="8"/>
      <c r="AE147" s="8"/>
      <c r="AF147" s="327"/>
      <c r="AG147" s="327"/>
      <c r="AH147" s="327"/>
      <c r="AI147" s="327"/>
      <c r="AJ147" s="327"/>
      <c r="AK147" s="327"/>
      <c r="AL147" s="328"/>
      <c r="AM147" s="367">
        <v>2480</v>
      </c>
      <c r="AN147" s="367">
        <v>2.5243249034900002</v>
      </c>
      <c r="AO147" s="367">
        <v>24.161849710982658</v>
      </c>
      <c r="AP147" s="372">
        <v>0.60759657586764293</v>
      </c>
      <c r="AQ147" s="372">
        <v>0.24161849710982658</v>
      </c>
      <c r="AR147" s="328"/>
      <c r="AS147" s="328"/>
      <c r="AT147" s="328"/>
      <c r="AU147" s="328"/>
      <c r="AV147" s="328"/>
      <c r="AW147" s="328"/>
      <c r="AX147" s="328"/>
      <c r="AY147" s="328"/>
      <c r="AZ147" s="328"/>
      <c r="BA147" s="328"/>
      <c r="BB147" s="328"/>
      <c r="BC147" s="328"/>
    </row>
    <row r="148" spans="6:55">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8"/>
      <c r="AB148" s="8"/>
      <c r="AC148" s="8"/>
      <c r="AD148" s="8"/>
      <c r="AE148" s="8"/>
      <c r="AF148" s="327"/>
      <c r="AG148" s="327"/>
      <c r="AH148" s="327"/>
      <c r="AI148" s="327"/>
      <c r="AJ148" s="327"/>
      <c r="AK148" s="327"/>
      <c r="AL148" s="328"/>
      <c r="AM148" s="367">
        <v>2481</v>
      </c>
      <c r="AN148" s="367">
        <v>3.1771455588299999</v>
      </c>
      <c r="AO148" s="367">
        <v>33.176100628930818</v>
      </c>
      <c r="AP148" s="372">
        <v>0.61085937350303232</v>
      </c>
      <c r="AQ148" s="372">
        <v>0.33176100628930816</v>
      </c>
      <c r="AR148" s="328"/>
      <c r="AS148" s="328"/>
      <c r="AT148" s="328"/>
      <c r="AU148" s="328"/>
      <c r="AV148" s="328"/>
      <c r="AW148" s="328"/>
      <c r="AX148" s="328"/>
      <c r="AY148" s="328"/>
      <c r="AZ148" s="328"/>
      <c r="BA148" s="328"/>
      <c r="BB148" s="328"/>
      <c r="BC148" s="328"/>
    </row>
    <row r="149" spans="6:55">
      <c r="F149" s="197"/>
      <c r="G149" s="197"/>
      <c r="H149" s="197"/>
      <c r="I149" s="197"/>
      <c r="J149" s="197"/>
      <c r="K149" s="197"/>
      <c r="L149" s="197"/>
      <c r="M149" s="197"/>
      <c r="N149" s="197"/>
      <c r="O149" s="197"/>
      <c r="P149" s="197"/>
      <c r="Q149" s="197"/>
      <c r="R149" s="197"/>
      <c r="S149" s="197"/>
      <c r="T149" s="197"/>
      <c r="U149" s="197"/>
      <c r="V149" s="197"/>
      <c r="W149" s="197"/>
      <c r="X149" s="197"/>
      <c r="Y149" s="197"/>
      <c r="Z149" s="197"/>
      <c r="AA149" s="8"/>
      <c r="AB149" s="8"/>
      <c r="AC149" s="8"/>
      <c r="AD149" s="8"/>
      <c r="AE149" s="8"/>
      <c r="AF149" s="327"/>
      <c r="AG149" s="327"/>
      <c r="AH149" s="327"/>
      <c r="AI149" s="327"/>
      <c r="AJ149" s="327"/>
      <c r="AK149" s="327"/>
      <c r="AL149" s="328"/>
      <c r="AM149" s="367">
        <v>2482</v>
      </c>
      <c r="AN149" s="367">
        <v>15.8181919107</v>
      </c>
      <c r="AO149" s="367">
        <v>24.208345664397751</v>
      </c>
      <c r="AP149" s="372">
        <v>0.67403932316967852</v>
      </c>
      <c r="AQ149" s="372">
        <v>0.24208345664397751</v>
      </c>
      <c r="AR149" s="328"/>
      <c r="AS149" s="328"/>
      <c r="AT149" s="328"/>
      <c r="AU149" s="328"/>
      <c r="AV149" s="328"/>
      <c r="AW149" s="328"/>
      <c r="AX149" s="328"/>
      <c r="AY149" s="328"/>
      <c r="AZ149" s="328"/>
      <c r="BA149" s="328"/>
      <c r="BB149" s="328"/>
      <c r="BC149" s="328"/>
    </row>
    <row r="150" spans="6:55">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8"/>
      <c r="AB150" s="8"/>
      <c r="AC150" s="8"/>
      <c r="AD150" s="8"/>
      <c r="AE150" s="8"/>
      <c r="AF150" s="327"/>
      <c r="AG150" s="327"/>
      <c r="AH150" s="327"/>
      <c r="AI150" s="327"/>
      <c r="AJ150" s="327"/>
      <c r="AK150" s="327"/>
      <c r="AL150" s="328"/>
      <c r="AM150" s="367">
        <v>2579</v>
      </c>
      <c r="AN150" s="367">
        <v>0</v>
      </c>
      <c r="AO150" s="367">
        <v>0</v>
      </c>
      <c r="AP150" s="372">
        <v>0</v>
      </c>
      <c r="AQ150" s="372">
        <v>0</v>
      </c>
      <c r="AR150" s="328"/>
      <c r="AS150" s="328"/>
      <c r="AT150" s="328"/>
      <c r="AU150" s="328"/>
      <c r="AV150" s="328"/>
      <c r="AW150" s="328"/>
      <c r="AX150" s="328"/>
      <c r="AY150" s="328"/>
      <c r="AZ150" s="328"/>
      <c r="BA150" s="328"/>
      <c r="BB150" s="328"/>
      <c r="BC150" s="328"/>
    </row>
    <row r="151" spans="6:55">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8"/>
      <c r="AB151" s="8"/>
      <c r="AC151" s="8"/>
      <c r="AD151" s="8"/>
      <c r="AE151" s="8"/>
      <c r="AF151" s="327"/>
      <c r="AG151" s="327"/>
      <c r="AH151" s="327"/>
      <c r="AI151" s="327"/>
      <c r="AJ151" s="327"/>
      <c r="AK151" s="327"/>
      <c r="AL151" s="328"/>
      <c r="AM151" s="367">
        <v>2580</v>
      </c>
      <c r="AN151" s="367">
        <v>9.2040794180799992</v>
      </c>
      <c r="AO151" s="367">
        <v>72.257607926397739</v>
      </c>
      <c r="AP151" s="372">
        <v>0.64098198893156377</v>
      </c>
      <c r="AQ151" s="372">
        <v>0.72257607926397738</v>
      </c>
      <c r="AR151" s="328"/>
      <c r="AS151" s="328"/>
      <c r="AT151" s="328"/>
      <c r="AU151" s="328"/>
      <c r="AV151" s="328"/>
      <c r="AW151" s="328"/>
      <c r="AX151" s="328"/>
      <c r="AY151" s="328"/>
      <c r="AZ151" s="328"/>
      <c r="BA151" s="328"/>
      <c r="BB151" s="328"/>
      <c r="BC151" s="328"/>
    </row>
    <row r="152" spans="6:55">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8"/>
      <c r="AB152" s="8"/>
      <c r="AC152" s="8"/>
      <c r="AD152" s="8"/>
      <c r="AE152" s="8"/>
      <c r="AF152" s="327"/>
      <c r="AG152" s="327"/>
      <c r="AH152" s="327"/>
      <c r="AI152" s="327"/>
      <c r="AJ152" s="327"/>
      <c r="AK152" s="327"/>
      <c r="AL152" s="328"/>
      <c r="AM152" s="367">
        <v>2674</v>
      </c>
      <c r="AN152" s="367">
        <v>0</v>
      </c>
      <c r="AO152" s="367">
        <v>0</v>
      </c>
      <c r="AP152" s="372">
        <v>0</v>
      </c>
      <c r="AQ152" s="372">
        <v>0</v>
      </c>
      <c r="AR152" s="328"/>
      <c r="AS152" s="328"/>
      <c r="AT152" s="328"/>
      <c r="AU152" s="328"/>
      <c r="AV152" s="328"/>
      <c r="AW152" s="328"/>
      <c r="AX152" s="328"/>
      <c r="AY152" s="328"/>
      <c r="AZ152" s="328"/>
      <c r="BA152" s="328"/>
      <c r="BB152" s="328"/>
      <c r="BC152" s="328"/>
    </row>
    <row r="153" spans="6:55">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8"/>
      <c r="AB153" s="8"/>
      <c r="AC153" s="8"/>
      <c r="AD153" s="8"/>
      <c r="AE153" s="8"/>
      <c r="AF153" s="327"/>
      <c r="AG153" s="327"/>
      <c r="AH153" s="327"/>
      <c r="AI153" s="327"/>
      <c r="AJ153" s="327"/>
      <c r="AK153" s="327"/>
      <c r="AL153" s="328"/>
      <c r="AM153" s="367">
        <v>2679</v>
      </c>
      <c r="AN153" s="367">
        <v>0.260820748012</v>
      </c>
      <c r="AO153" s="367">
        <v>76.59395973154362</v>
      </c>
      <c r="AP153" s="372">
        <v>0.59628358209856391</v>
      </c>
      <c r="AQ153" s="372">
        <v>0.76593959731543615</v>
      </c>
      <c r="AR153" s="328"/>
      <c r="AS153" s="328"/>
      <c r="AT153" s="328"/>
      <c r="AU153" s="328"/>
      <c r="AV153" s="328"/>
      <c r="AW153" s="328"/>
      <c r="AX153" s="328"/>
      <c r="AY153" s="328"/>
      <c r="AZ153" s="328"/>
      <c r="BA153" s="328"/>
      <c r="BB153" s="328"/>
      <c r="BC153" s="328"/>
    </row>
    <row r="154" spans="6:55">
      <c r="F154" s="6"/>
      <c r="G154" s="6"/>
      <c r="H154" s="6"/>
      <c r="I154" s="6"/>
      <c r="J154" s="6"/>
      <c r="K154" s="6"/>
      <c r="L154" s="6"/>
      <c r="M154" s="6"/>
      <c r="N154" s="6"/>
      <c r="O154" s="6"/>
      <c r="P154" s="6"/>
      <c r="Q154" s="6"/>
      <c r="R154" s="320"/>
      <c r="S154" s="6"/>
      <c r="T154" s="6"/>
      <c r="U154" s="6"/>
      <c r="V154" s="6"/>
      <c r="W154" s="321"/>
      <c r="X154" s="6"/>
      <c r="Y154" s="6"/>
      <c r="Z154" s="6"/>
      <c r="AA154" s="8"/>
      <c r="AB154" s="8"/>
      <c r="AC154" s="8"/>
      <c r="AD154" s="8"/>
      <c r="AE154" s="8"/>
      <c r="AF154" s="327"/>
      <c r="AG154" s="327"/>
      <c r="AH154" s="327"/>
      <c r="AI154" s="327"/>
      <c r="AJ154" s="327"/>
      <c r="AK154" s="327"/>
      <c r="AL154" s="328"/>
      <c r="AM154" s="367">
        <v>2680</v>
      </c>
      <c r="AN154" s="367">
        <v>93.784725430700007</v>
      </c>
      <c r="AO154" s="367">
        <v>0</v>
      </c>
      <c r="AP154" s="372">
        <v>1.0637160577026388</v>
      </c>
      <c r="AQ154" s="372">
        <v>1</v>
      </c>
      <c r="AR154" s="328"/>
      <c r="AS154" s="328"/>
      <c r="AT154" s="328"/>
      <c r="AU154" s="328"/>
      <c r="AV154" s="328"/>
      <c r="AW154" s="328"/>
      <c r="AX154" s="328"/>
      <c r="AY154" s="328"/>
      <c r="AZ154" s="328"/>
      <c r="BA154" s="328"/>
      <c r="BB154" s="328"/>
      <c r="BC154" s="328"/>
    </row>
    <row r="155" spans="6:55">
      <c r="F155" s="6"/>
      <c r="G155" s="6"/>
      <c r="H155" s="6"/>
      <c r="I155" s="6"/>
      <c r="J155" s="6"/>
      <c r="K155" s="6"/>
      <c r="L155" s="6"/>
      <c r="M155" s="6"/>
      <c r="N155" s="6"/>
      <c r="O155" s="6"/>
      <c r="P155" s="6"/>
      <c r="Q155" s="6"/>
      <c r="R155" s="320"/>
      <c r="S155" s="6"/>
      <c r="T155" s="6"/>
      <c r="U155" s="6"/>
      <c r="V155" s="6"/>
      <c r="W155" s="321"/>
      <c r="X155" s="6"/>
      <c r="Y155" s="6"/>
      <c r="Z155" s="6"/>
      <c r="AA155" s="8"/>
      <c r="AB155" s="8"/>
      <c r="AC155" s="8"/>
      <c r="AD155" s="8"/>
      <c r="AE155" s="8"/>
      <c r="AF155" s="327"/>
      <c r="AG155" s="327"/>
      <c r="AH155" s="327"/>
      <c r="AI155" s="327"/>
      <c r="AJ155" s="327"/>
      <c r="AK155" s="327"/>
      <c r="AL155" s="328"/>
      <c r="AM155" s="367">
        <v>2770</v>
      </c>
      <c r="AN155" s="367">
        <v>0</v>
      </c>
      <c r="AO155" s="367">
        <v>0</v>
      </c>
      <c r="AP155" s="372">
        <v>0</v>
      </c>
      <c r="AQ155" s="372">
        <v>0</v>
      </c>
      <c r="AR155" s="328"/>
      <c r="AS155" s="328"/>
      <c r="AT155" s="328"/>
      <c r="AU155" s="328"/>
      <c r="AV155" s="328"/>
      <c r="AW155" s="328"/>
      <c r="AX155" s="328"/>
      <c r="AY155" s="328"/>
      <c r="AZ155" s="328"/>
      <c r="BA155" s="328"/>
      <c r="BB155" s="328"/>
      <c r="BC155" s="328"/>
    </row>
    <row r="156" spans="6:55">
      <c r="F156" s="6"/>
      <c r="G156" s="6"/>
      <c r="H156" s="6"/>
      <c r="I156" s="6"/>
      <c r="J156" s="6"/>
      <c r="K156" s="6"/>
      <c r="L156" s="6"/>
      <c r="M156" s="6"/>
      <c r="N156" s="6"/>
      <c r="O156" s="6"/>
      <c r="P156" s="6"/>
      <c r="Q156" s="6"/>
      <c r="R156" s="320"/>
      <c r="S156" s="6"/>
      <c r="T156" s="6"/>
      <c r="U156" s="6"/>
      <c r="V156" s="6"/>
      <c r="W156" s="321"/>
      <c r="X156" s="6"/>
      <c r="Y156" s="6"/>
      <c r="Z156" s="6"/>
      <c r="AA156" s="8"/>
      <c r="AB156" s="8"/>
      <c r="AC156" s="8"/>
      <c r="AD156" s="8"/>
      <c r="AE156" s="8"/>
      <c r="AF156" s="327"/>
      <c r="AG156" s="327"/>
      <c r="AH156" s="327"/>
      <c r="AI156" s="327"/>
      <c r="AJ156" s="327"/>
      <c r="AK156" s="327"/>
      <c r="AL156" s="328"/>
      <c r="AM156" s="367">
        <v>2778</v>
      </c>
      <c r="AN156" s="367">
        <v>0</v>
      </c>
      <c r="AO156" s="367">
        <v>0</v>
      </c>
      <c r="AP156" s="372">
        <v>0</v>
      </c>
      <c r="AQ156" s="372">
        <v>0</v>
      </c>
      <c r="AR156" s="328"/>
      <c r="AS156" s="328"/>
      <c r="AT156" s="328"/>
      <c r="AU156" s="328"/>
      <c r="AV156" s="328"/>
      <c r="AW156" s="328"/>
      <c r="AX156" s="328"/>
      <c r="AY156" s="328"/>
      <c r="AZ156" s="328"/>
      <c r="BA156" s="328"/>
      <c r="BB156" s="328"/>
      <c r="BC156" s="328"/>
    </row>
    <row r="157" spans="6:55">
      <c r="F157" s="6"/>
      <c r="G157" s="6"/>
      <c r="H157" s="6"/>
      <c r="I157" s="6"/>
      <c r="J157" s="6"/>
      <c r="K157" s="6"/>
      <c r="L157" s="6"/>
      <c r="M157" s="6"/>
      <c r="N157" s="6"/>
      <c r="O157" s="6"/>
      <c r="P157" s="6"/>
      <c r="Q157" s="6"/>
      <c r="R157" s="320"/>
      <c r="S157" s="6"/>
      <c r="T157" s="6"/>
      <c r="U157" s="6"/>
      <c r="V157" s="6"/>
      <c r="W157" s="321"/>
      <c r="X157" s="6"/>
      <c r="Y157" s="6"/>
      <c r="Z157" s="6"/>
      <c r="AA157" s="8"/>
      <c r="AB157" s="8"/>
      <c r="AC157" s="8"/>
      <c r="AD157" s="8"/>
      <c r="AE157" s="8"/>
      <c r="AF157" s="327"/>
      <c r="AG157" s="327"/>
      <c r="AH157" s="327"/>
      <c r="AI157" s="327"/>
      <c r="AJ157" s="327"/>
      <c r="AK157" s="327"/>
      <c r="AL157" s="328"/>
      <c r="AM157" s="367">
        <v>2779</v>
      </c>
      <c r="AN157" s="367">
        <v>1.6100478658099999</v>
      </c>
      <c r="AO157" s="367">
        <v>74.215246636771298</v>
      </c>
      <c r="AP157" s="372">
        <v>0.60302701923331836</v>
      </c>
      <c r="AQ157" s="372">
        <v>0.74215246636771293</v>
      </c>
      <c r="AR157" s="328"/>
      <c r="AS157" s="328"/>
      <c r="AT157" s="328"/>
      <c r="AU157" s="328"/>
      <c r="AV157" s="328"/>
      <c r="AW157" s="328"/>
      <c r="AX157" s="328"/>
      <c r="AY157" s="328"/>
      <c r="AZ157" s="328"/>
      <c r="BA157" s="328"/>
      <c r="BB157" s="328"/>
      <c r="BC157" s="328"/>
    </row>
    <row r="158" spans="6:55">
      <c r="F158" s="6"/>
      <c r="G158" s="6"/>
      <c r="H158" s="6"/>
      <c r="I158" s="6"/>
      <c r="J158" s="6"/>
      <c r="K158" s="6"/>
      <c r="L158" s="6"/>
      <c r="M158" s="6"/>
      <c r="N158" s="6"/>
      <c r="O158" s="6"/>
      <c r="P158" s="6"/>
      <c r="Q158" s="6"/>
      <c r="R158" s="320"/>
      <c r="S158" s="6"/>
      <c r="T158" s="6"/>
      <c r="U158" s="6"/>
      <c r="V158" s="6"/>
      <c r="W158" s="321"/>
      <c r="X158" s="6"/>
      <c r="Y158" s="6"/>
      <c r="Z158" s="6"/>
      <c r="AA158" s="8"/>
      <c r="AB158" s="8"/>
      <c r="AC158" s="8"/>
      <c r="AD158" s="8"/>
      <c r="AE158" s="8"/>
      <c r="AF158" s="327"/>
      <c r="AG158" s="327"/>
      <c r="AH158" s="327"/>
      <c r="AI158" s="327"/>
      <c r="AJ158" s="327"/>
      <c r="AK158" s="327"/>
      <c r="AL158" s="328"/>
      <c r="AM158" s="367">
        <v>2780</v>
      </c>
      <c r="AN158" s="367">
        <v>50.351767576</v>
      </c>
      <c r="AO158" s="367">
        <v>89.788359788359784</v>
      </c>
      <c r="AP158" s="372">
        <v>0.84663813434484791</v>
      </c>
      <c r="AQ158" s="372">
        <v>0.89788359788359784</v>
      </c>
      <c r="AR158" s="328"/>
      <c r="AS158" s="328"/>
      <c r="AT158" s="328"/>
      <c r="AU158" s="328"/>
      <c r="AV158" s="328"/>
      <c r="AW158" s="328"/>
      <c r="AX158" s="328"/>
      <c r="AY158" s="328"/>
      <c r="AZ158" s="328"/>
      <c r="BA158" s="328"/>
      <c r="BB158" s="328"/>
      <c r="BC158" s="328"/>
    </row>
    <row r="159" spans="6:55">
      <c r="F159" s="6"/>
      <c r="G159" s="6"/>
      <c r="H159" s="6"/>
      <c r="I159" s="6"/>
      <c r="J159" s="6"/>
      <c r="K159" s="6"/>
      <c r="L159" s="6"/>
      <c r="M159" s="6"/>
      <c r="N159" s="6"/>
      <c r="O159" s="6"/>
      <c r="P159" s="6"/>
      <c r="Q159" s="6"/>
      <c r="R159" s="320"/>
      <c r="S159" s="6"/>
      <c r="T159" s="6"/>
      <c r="U159" s="6"/>
      <c r="V159" s="6"/>
      <c r="W159" s="321"/>
      <c r="X159" s="6"/>
      <c r="Y159" s="6"/>
      <c r="Z159" s="6"/>
      <c r="AA159" s="8"/>
      <c r="AB159" s="8"/>
      <c r="AC159" s="8"/>
      <c r="AD159" s="8"/>
      <c r="AE159" s="8"/>
      <c r="AF159" s="327"/>
      <c r="AG159" s="327"/>
      <c r="AH159" s="327"/>
      <c r="AI159" s="327"/>
      <c r="AJ159" s="327"/>
      <c r="AK159" s="327"/>
      <c r="AL159" s="328"/>
      <c r="AM159" s="367">
        <v>2878</v>
      </c>
      <c r="AN159" s="367">
        <v>0</v>
      </c>
      <c r="AO159" s="367">
        <v>0</v>
      </c>
      <c r="AP159" s="372">
        <v>0</v>
      </c>
      <c r="AQ159" s="372">
        <v>0</v>
      </c>
      <c r="AR159" s="328"/>
      <c r="AS159" s="328"/>
      <c r="AT159" s="328"/>
      <c r="AU159" s="328"/>
      <c r="AV159" s="328"/>
      <c r="AW159" s="328"/>
      <c r="AX159" s="328"/>
      <c r="AY159" s="328"/>
      <c r="AZ159" s="328"/>
      <c r="BA159" s="328"/>
      <c r="BB159" s="328"/>
      <c r="BC159" s="328"/>
    </row>
    <row r="160" spans="6:55">
      <c r="F160" s="6"/>
      <c r="G160" s="6"/>
      <c r="H160" s="6"/>
      <c r="I160" s="6"/>
      <c r="J160" s="6"/>
      <c r="K160" s="6"/>
      <c r="L160" s="6"/>
      <c r="M160" s="6"/>
      <c r="N160" s="6"/>
      <c r="O160" s="6"/>
      <c r="P160" s="6"/>
      <c r="Q160" s="6"/>
      <c r="R160" s="320"/>
      <c r="S160" s="6"/>
      <c r="T160" s="6"/>
      <c r="U160" s="6"/>
      <c r="V160" s="6"/>
      <c r="W160" s="321"/>
      <c r="X160" s="6"/>
      <c r="Y160" s="6"/>
      <c r="Z160" s="6"/>
      <c r="AA160" s="8"/>
      <c r="AB160" s="8"/>
      <c r="AC160" s="8"/>
      <c r="AD160" s="8"/>
      <c r="AE160" s="8"/>
      <c r="AF160" s="327"/>
      <c r="AG160" s="327"/>
      <c r="AH160" s="327"/>
      <c r="AI160" s="327"/>
      <c r="AJ160" s="327"/>
      <c r="AK160" s="327"/>
      <c r="AL160" s="328"/>
      <c r="AM160" s="367">
        <v>2879</v>
      </c>
      <c r="AN160" s="367">
        <v>2.0377366974999998E-2</v>
      </c>
      <c r="AO160" s="367">
        <v>47.63302284037259</v>
      </c>
      <c r="AP160" s="372">
        <v>0.59508184608014103</v>
      </c>
      <c r="AQ160" s="372">
        <v>0.47633022840372591</v>
      </c>
      <c r="AR160" s="328"/>
      <c r="AS160" s="328"/>
      <c r="AT160" s="328"/>
      <c r="AU160" s="328"/>
      <c r="AV160" s="328"/>
      <c r="AW160" s="328"/>
      <c r="AX160" s="328"/>
      <c r="AY160" s="328"/>
      <c r="AZ160" s="328"/>
      <c r="BA160" s="328"/>
      <c r="BB160" s="328"/>
      <c r="BC160" s="328"/>
    </row>
    <row r="161" spans="6:55">
      <c r="F161" s="6"/>
      <c r="G161" s="6"/>
      <c r="H161" s="6"/>
      <c r="I161" s="6"/>
      <c r="J161" s="6"/>
      <c r="K161" s="6"/>
      <c r="L161" s="6"/>
      <c r="M161" s="6"/>
      <c r="N161" s="6"/>
      <c r="O161" s="6"/>
      <c r="P161" s="6"/>
      <c r="Q161" s="6"/>
      <c r="R161" s="320"/>
      <c r="S161" s="6"/>
      <c r="T161" s="6"/>
      <c r="U161" s="6"/>
      <c r="V161" s="6"/>
      <c r="W161" s="321"/>
      <c r="X161" s="6"/>
      <c r="Y161" s="6"/>
      <c r="Z161" s="6"/>
      <c r="AA161" s="8"/>
      <c r="AB161" s="8"/>
      <c r="AC161" s="8"/>
      <c r="AD161" s="8"/>
      <c r="AE161" s="8"/>
      <c r="AF161" s="327"/>
      <c r="AG161" s="327"/>
      <c r="AH161" s="327"/>
      <c r="AI161" s="327"/>
      <c r="AJ161" s="327"/>
      <c r="AK161" s="327"/>
      <c r="AL161" s="328"/>
      <c r="AM161" s="367">
        <v>2880</v>
      </c>
      <c r="AN161" s="367">
        <v>64.0313774153</v>
      </c>
      <c r="AO161" s="367">
        <v>89.521925486317173</v>
      </c>
      <c r="AP161" s="372">
        <v>0.91500882432166941</v>
      </c>
      <c r="AQ161" s="372">
        <v>0.89521925486317178</v>
      </c>
      <c r="AR161" s="328"/>
      <c r="AS161" s="328"/>
      <c r="AT161" s="328"/>
      <c r="AU161" s="328"/>
      <c r="AV161" s="328"/>
      <c r="AW161" s="328"/>
      <c r="AX161" s="328"/>
      <c r="AY161" s="328"/>
      <c r="AZ161" s="328"/>
      <c r="BA161" s="328"/>
      <c r="BB161" s="328"/>
      <c r="BC161" s="328"/>
    </row>
    <row r="162" spans="6:55">
      <c r="F162" s="6"/>
      <c r="G162" s="6"/>
      <c r="H162" s="6"/>
      <c r="I162" s="6"/>
      <c r="J162" s="6"/>
      <c r="K162" s="6"/>
      <c r="L162" s="6"/>
      <c r="M162" s="6"/>
      <c r="N162" s="6"/>
      <c r="O162" s="6"/>
      <c r="P162" s="6"/>
      <c r="Q162" s="6"/>
      <c r="R162" s="320"/>
      <c r="S162" s="6"/>
      <c r="T162" s="6"/>
      <c r="U162" s="6"/>
      <c r="V162" s="6"/>
      <c r="W162" s="321"/>
      <c r="X162" s="6"/>
      <c r="Y162" s="6"/>
      <c r="Z162" s="6"/>
      <c r="AA162" s="8"/>
      <c r="AB162" s="8"/>
      <c r="AC162" s="8"/>
      <c r="AD162" s="8"/>
      <c r="AE162" s="8"/>
      <c r="AF162" s="327"/>
      <c r="AG162" s="327"/>
      <c r="AH162" s="327"/>
      <c r="AI162" s="327"/>
      <c r="AJ162" s="327"/>
      <c r="AK162" s="327"/>
      <c r="AL162" s="328"/>
      <c r="AM162" s="367">
        <v>2979</v>
      </c>
      <c r="AN162" s="367">
        <v>0</v>
      </c>
      <c r="AO162" s="367">
        <v>0</v>
      </c>
      <c r="AP162" s="372">
        <v>0</v>
      </c>
      <c r="AQ162" s="372">
        <v>0</v>
      </c>
      <c r="AR162" s="328"/>
      <c r="AS162" s="328"/>
      <c r="AT162" s="328"/>
      <c r="AU162" s="328"/>
      <c r="AV162" s="328"/>
      <c r="AW162" s="328"/>
      <c r="AX162" s="328"/>
      <c r="AY162" s="328"/>
      <c r="AZ162" s="328"/>
      <c r="BA162" s="328"/>
      <c r="BB162" s="328"/>
      <c r="BC162" s="328"/>
    </row>
    <row r="163" spans="6:55">
      <c r="F163" s="6"/>
      <c r="G163" s="6"/>
      <c r="H163" s="6"/>
      <c r="I163" s="6"/>
      <c r="J163" s="6"/>
      <c r="K163" s="6"/>
      <c r="L163" s="6"/>
      <c r="M163" s="6"/>
      <c r="N163" s="6"/>
      <c r="O163" s="6"/>
      <c r="P163" s="6"/>
      <c r="Q163" s="6"/>
      <c r="R163" s="320"/>
      <c r="S163" s="6"/>
      <c r="T163" s="6"/>
      <c r="U163" s="6"/>
      <c r="V163" s="6"/>
      <c r="W163" s="321"/>
      <c r="X163" s="6"/>
      <c r="Y163" s="6"/>
      <c r="Z163" s="6"/>
      <c r="AA163" s="8"/>
      <c r="AB163" s="8"/>
      <c r="AC163" s="8"/>
      <c r="AD163" s="8"/>
      <c r="AE163" s="8"/>
      <c r="AF163" s="327"/>
      <c r="AG163" s="327"/>
      <c r="AH163" s="327"/>
      <c r="AI163" s="327"/>
      <c r="AJ163" s="327"/>
      <c r="AK163" s="327"/>
      <c r="AL163" s="328"/>
      <c r="AM163" s="367">
        <v>2980</v>
      </c>
      <c r="AN163" s="367">
        <v>70.596779166299996</v>
      </c>
      <c r="AO163" s="367">
        <v>93.680614859094788</v>
      </c>
      <c r="AP163" s="372">
        <v>0.94782270227316734</v>
      </c>
      <c r="AQ163" s="372">
        <v>0.93680614859094791</v>
      </c>
      <c r="AR163" s="328"/>
      <c r="AS163" s="328"/>
      <c r="AT163" s="328"/>
      <c r="AU163" s="328"/>
      <c r="AV163" s="328"/>
      <c r="AW163" s="328"/>
      <c r="AX163" s="328"/>
      <c r="AY163" s="328"/>
      <c r="AZ163" s="328"/>
      <c r="BA163" s="328"/>
      <c r="BB163" s="328"/>
      <c r="BC163" s="328"/>
    </row>
    <row r="164" spans="6:55">
      <c r="F164" s="6"/>
      <c r="G164" s="6"/>
      <c r="H164" s="6"/>
      <c r="I164" s="6"/>
      <c r="J164" s="6"/>
      <c r="K164" s="6"/>
      <c r="L164" s="6"/>
      <c r="M164" s="6"/>
      <c r="N164" s="6"/>
      <c r="O164" s="6"/>
      <c r="P164" s="6"/>
      <c r="Q164" s="6"/>
      <c r="R164" s="320"/>
      <c r="S164" s="6"/>
      <c r="T164" s="6"/>
      <c r="U164" s="6"/>
      <c r="V164" s="6"/>
      <c r="W164" s="321"/>
      <c r="X164" s="6"/>
      <c r="Y164" s="6"/>
      <c r="Z164" s="6"/>
      <c r="AA164" s="8"/>
      <c r="AB164" s="8"/>
      <c r="AC164" s="8"/>
      <c r="AD164" s="8"/>
      <c r="AE164" s="8"/>
      <c r="AF164" s="327"/>
      <c r="AG164" s="327"/>
      <c r="AH164" s="327"/>
      <c r="AI164" s="327"/>
      <c r="AJ164" s="327"/>
      <c r="AK164" s="327"/>
      <c r="AL164" s="328"/>
      <c r="AM164" s="367">
        <v>2981</v>
      </c>
      <c r="AN164" s="367">
        <v>10.4193742015</v>
      </c>
      <c r="AO164" s="367">
        <v>98.096885813148788</v>
      </c>
      <c r="AP164" s="372">
        <v>0.64705603225909702</v>
      </c>
      <c r="AQ164" s="372">
        <v>0.98096885813148793</v>
      </c>
      <c r="AR164" s="328"/>
      <c r="AS164" s="328"/>
      <c r="AT164" s="328"/>
      <c r="AU164" s="328"/>
      <c r="AV164" s="328"/>
      <c r="AW164" s="328"/>
      <c r="AX164" s="328"/>
      <c r="AY164" s="328"/>
      <c r="AZ164" s="328"/>
      <c r="BA164" s="328"/>
      <c r="BB164" s="328"/>
      <c r="BC164" s="328"/>
    </row>
    <row r="165" spans="6:55">
      <c r="F165" s="6"/>
      <c r="G165" s="6"/>
      <c r="H165" s="6"/>
      <c r="I165" s="6"/>
      <c r="J165" s="6"/>
      <c r="K165" s="6"/>
      <c r="L165" s="6"/>
      <c r="M165" s="6"/>
      <c r="N165" s="6"/>
      <c r="O165" s="6"/>
      <c r="P165" s="6"/>
      <c r="Q165" s="6"/>
      <c r="R165" s="320"/>
      <c r="S165" s="6"/>
      <c r="T165" s="6"/>
      <c r="U165" s="6"/>
      <c r="V165" s="6"/>
      <c r="W165" s="321"/>
      <c r="X165" s="6"/>
      <c r="Y165" s="6"/>
      <c r="Z165" s="6"/>
      <c r="AA165" s="8"/>
      <c r="AB165" s="8"/>
      <c r="AC165" s="8"/>
      <c r="AD165" s="8"/>
      <c r="AE165" s="8"/>
      <c r="AF165" s="327"/>
      <c r="AG165" s="327"/>
      <c r="AH165" s="327"/>
      <c r="AI165" s="327"/>
      <c r="AJ165" s="327"/>
      <c r="AK165" s="327"/>
      <c r="AL165" s="328"/>
      <c r="AM165" s="367">
        <v>3079</v>
      </c>
      <c r="AN165" s="367">
        <v>0.30264428343400002</v>
      </c>
      <c r="AO165" s="367">
        <v>100</v>
      </c>
      <c r="AP165" s="372">
        <v>0.59649261612860305</v>
      </c>
      <c r="AQ165" s="372">
        <v>0.59649261612860305</v>
      </c>
      <c r="AR165" s="328"/>
      <c r="AS165" s="328"/>
      <c r="AT165" s="328"/>
      <c r="AU165" s="328"/>
      <c r="AV165" s="328"/>
      <c r="AW165" s="328"/>
      <c r="AX165" s="328"/>
      <c r="AY165" s="328"/>
      <c r="AZ165" s="328"/>
      <c r="BA165" s="328"/>
      <c r="BB165" s="328"/>
      <c r="BC165" s="328"/>
    </row>
    <row r="166" spans="6:55">
      <c r="F166" s="6"/>
      <c r="G166" s="6"/>
      <c r="H166" s="6"/>
      <c r="I166" s="6"/>
      <c r="J166" s="6"/>
      <c r="K166" s="6"/>
      <c r="L166" s="6"/>
      <c r="M166" s="6"/>
      <c r="N166" s="6"/>
      <c r="O166" s="6"/>
      <c r="P166" s="6"/>
      <c r="Q166" s="6"/>
      <c r="R166" s="320"/>
      <c r="S166" s="6"/>
      <c r="T166" s="6"/>
      <c r="U166" s="6"/>
      <c r="V166" s="6"/>
      <c r="W166" s="321"/>
      <c r="X166" s="6"/>
      <c r="Y166" s="6"/>
      <c r="Z166" s="6"/>
      <c r="AA166" s="8"/>
      <c r="AB166" s="8"/>
      <c r="AC166" s="8"/>
      <c r="AD166" s="8"/>
      <c r="AE166" s="8"/>
      <c r="AF166" s="327"/>
      <c r="AG166" s="327"/>
      <c r="AH166" s="327"/>
      <c r="AI166" s="327"/>
      <c r="AJ166" s="327"/>
      <c r="AK166" s="327"/>
      <c r="AL166" s="328"/>
      <c r="AM166" s="367">
        <v>3080</v>
      </c>
      <c r="AN166" s="367">
        <v>85.192038075200003</v>
      </c>
      <c r="AO166" s="367">
        <v>97.648773512264881</v>
      </c>
      <c r="AP166" s="372">
        <v>1.0207698062998496</v>
      </c>
      <c r="AQ166" s="372">
        <v>0.97648773512264886</v>
      </c>
      <c r="AR166" s="328"/>
      <c r="AS166" s="328"/>
      <c r="AT166" s="328"/>
      <c r="AU166" s="328"/>
      <c r="AV166" s="328"/>
      <c r="AW166" s="328"/>
      <c r="AX166" s="328"/>
      <c r="AY166" s="328"/>
      <c r="AZ166" s="328"/>
      <c r="BA166" s="328"/>
      <c r="BB166" s="328"/>
      <c r="BC166" s="328"/>
    </row>
    <row r="167" spans="6:55">
      <c r="F167" s="6"/>
      <c r="G167" s="6"/>
      <c r="H167" s="6"/>
      <c r="I167" s="6"/>
      <c r="J167" s="6"/>
      <c r="K167" s="6"/>
      <c r="L167" s="6"/>
      <c r="M167" s="6"/>
      <c r="N167" s="6"/>
      <c r="O167" s="6"/>
      <c r="P167" s="6"/>
      <c r="Q167" s="6"/>
      <c r="R167" s="320"/>
      <c r="S167" s="6"/>
      <c r="T167" s="6"/>
      <c r="U167" s="6"/>
      <c r="V167" s="6"/>
      <c r="W167" s="321"/>
      <c r="X167" s="6"/>
      <c r="Y167" s="6"/>
      <c r="Z167" s="6"/>
      <c r="AA167" s="8"/>
      <c r="AB167" s="8"/>
      <c r="AC167" s="8"/>
      <c r="AD167" s="8"/>
      <c r="AE167" s="8"/>
      <c r="AF167" s="327"/>
      <c r="AG167" s="327"/>
      <c r="AH167" s="327"/>
      <c r="AI167" s="327"/>
      <c r="AJ167" s="327"/>
      <c r="AK167" s="327"/>
      <c r="AL167" s="328"/>
      <c r="AM167" s="367">
        <v>3081</v>
      </c>
      <c r="AN167" s="367">
        <v>33.314876887700002</v>
      </c>
      <c r="AO167" s="367">
        <v>97.812272617026437</v>
      </c>
      <c r="AP167" s="372">
        <v>0.76148775468472452</v>
      </c>
      <c r="AQ167" s="372">
        <v>0.97812272617026441</v>
      </c>
      <c r="AR167" s="328"/>
      <c r="AS167" s="328"/>
      <c r="AT167" s="328"/>
      <c r="AU167" s="328"/>
      <c r="AV167" s="328"/>
      <c r="AW167" s="328"/>
      <c r="AX167" s="328"/>
      <c r="AY167" s="328"/>
      <c r="AZ167" s="328"/>
      <c r="BA167" s="328"/>
      <c r="BB167" s="328"/>
      <c r="BC167" s="328"/>
    </row>
    <row r="168" spans="6:55">
      <c r="F168" s="6"/>
      <c r="G168" s="6"/>
      <c r="H168" s="6"/>
      <c r="I168" s="6"/>
      <c r="J168" s="6"/>
      <c r="K168" s="6"/>
      <c r="L168" s="6"/>
      <c r="M168" s="6"/>
      <c r="N168" s="6"/>
      <c r="O168" s="6"/>
      <c r="P168" s="6"/>
      <c r="Q168" s="6"/>
      <c r="R168" s="320"/>
      <c r="S168" s="6"/>
      <c r="T168" s="6"/>
      <c r="U168" s="6"/>
      <c r="V168" s="6"/>
      <c r="W168" s="321"/>
      <c r="X168" s="6"/>
      <c r="Y168" s="6"/>
      <c r="Z168" s="6"/>
      <c r="AA168" s="8"/>
      <c r="AB168" s="8"/>
      <c r="AC168" s="8"/>
      <c r="AD168" s="8"/>
      <c r="AE168" s="8"/>
      <c r="AF168" s="327"/>
      <c r="AG168" s="327"/>
      <c r="AH168" s="327"/>
      <c r="AI168" s="327"/>
      <c r="AJ168" s="327"/>
      <c r="AK168" s="327"/>
      <c r="AL168" s="328"/>
      <c r="AM168" s="367">
        <v>3174</v>
      </c>
      <c r="AN168" s="367">
        <v>0</v>
      </c>
      <c r="AO168" s="367">
        <v>0</v>
      </c>
      <c r="AP168" s="372">
        <v>0</v>
      </c>
      <c r="AQ168" s="372">
        <v>0</v>
      </c>
      <c r="AR168" s="328"/>
      <c r="AS168" s="328"/>
      <c r="AT168" s="328"/>
      <c r="AU168" s="328"/>
      <c r="AV168" s="328"/>
      <c r="AW168" s="328"/>
      <c r="AX168" s="328"/>
      <c r="AY168" s="328"/>
      <c r="AZ168" s="328"/>
      <c r="BA168" s="328"/>
      <c r="BB168" s="328"/>
      <c r="BC168" s="328"/>
    </row>
    <row r="169" spans="6:55">
      <c r="F169" s="6"/>
      <c r="G169" s="6"/>
      <c r="H169" s="6"/>
      <c r="I169" s="6"/>
      <c r="J169" s="6"/>
      <c r="K169" s="6"/>
      <c r="L169" s="6"/>
      <c r="M169" s="6"/>
      <c r="N169" s="6"/>
      <c r="O169" s="6"/>
      <c r="P169" s="6"/>
      <c r="Q169" s="6"/>
      <c r="R169" s="320"/>
      <c r="S169" s="6"/>
      <c r="T169" s="6"/>
      <c r="U169" s="6"/>
      <c r="V169" s="6"/>
      <c r="W169" s="321"/>
      <c r="X169" s="6"/>
      <c r="Y169" s="6"/>
      <c r="Z169" s="6"/>
      <c r="AA169" s="8"/>
      <c r="AB169" s="8"/>
      <c r="AC169" s="8"/>
      <c r="AD169" s="8"/>
      <c r="AE169" s="8"/>
      <c r="AF169" s="327"/>
      <c r="AG169" s="327"/>
      <c r="AH169" s="327"/>
      <c r="AI169" s="327"/>
      <c r="AJ169" s="327"/>
      <c r="AK169" s="327"/>
      <c r="AL169" s="328"/>
      <c r="AM169" s="367">
        <v>3175</v>
      </c>
      <c r="AN169" s="367">
        <v>0</v>
      </c>
      <c r="AO169" s="367">
        <v>0</v>
      </c>
      <c r="AP169" s="372">
        <v>0</v>
      </c>
      <c r="AQ169" s="372">
        <v>0</v>
      </c>
      <c r="AR169" s="328"/>
      <c r="AS169" s="328"/>
      <c r="AT169" s="328"/>
      <c r="AU169" s="328"/>
      <c r="AV169" s="328"/>
      <c r="AW169" s="328"/>
      <c r="AX169" s="328"/>
      <c r="AY169" s="328"/>
      <c r="AZ169" s="328"/>
      <c r="BA169" s="328"/>
      <c r="BB169" s="328"/>
      <c r="BC169" s="328"/>
    </row>
    <row r="170" spans="6:55">
      <c r="F170" s="6"/>
      <c r="G170" s="6"/>
      <c r="H170" s="6"/>
      <c r="I170" s="6"/>
      <c r="J170" s="6"/>
      <c r="K170" s="6"/>
      <c r="L170" s="6"/>
      <c r="M170" s="6"/>
      <c r="N170" s="6"/>
      <c r="O170" s="6"/>
      <c r="P170" s="6"/>
      <c r="Q170" s="6"/>
      <c r="R170" s="320"/>
      <c r="S170" s="6"/>
      <c r="T170" s="6"/>
      <c r="U170" s="6"/>
      <c r="V170" s="6"/>
      <c r="W170" s="321"/>
      <c r="X170" s="6"/>
      <c r="Y170" s="6"/>
      <c r="Z170" s="6"/>
      <c r="AA170" s="8"/>
      <c r="AB170" s="8"/>
      <c r="AC170" s="8"/>
      <c r="AD170" s="8"/>
      <c r="AE170" s="8"/>
      <c r="AF170" s="327"/>
      <c r="AG170" s="327"/>
      <c r="AH170" s="327"/>
      <c r="AI170" s="327"/>
      <c r="AJ170" s="327"/>
      <c r="AK170" s="327"/>
      <c r="AL170" s="328"/>
      <c r="AM170" s="367">
        <v>3176</v>
      </c>
      <c r="AN170" s="367">
        <v>0</v>
      </c>
      <c r="AO170" s="367">
        <v>0</v>
      </c>
      <c r="AP170" s="372">
        <v>0</v>
      </c>
      <c r="AQ170" s="372">
        <v>0</v>
      </c>
      <c r="AR170" s="328"/>
      <c r="AS170" s="328"/>
      <c r="AT170" s="328"/>
      <c r="AU170" s="328"/>
      <c r="AV170" s="328"/>
      <c r="AW170" s="328"/>
      <c r="AX170" s="328"/>
      <c r="AY170" s="328"/>
      <c r="AZ170" s="328"/>
      <c r="BA170" s="328"/>
      <c r="BB170" s="328"/>
      <c r="BC170" s="328"/>
    </row>
    <row r="171" spans="6:55">
      <c r="F171" s="6"/>
      <c r="G171" s="6"/>
      <c r="H171" s="6"/>
      <c r="I171" s="6"/>
      <c r="J171" s="6"/>
      <c r="K171" s="6"/>
      <c r="L171" s="6"/>
      <c r="M171" s="6"/>
      <c r="N171" s="6"/>
      <c r="O171" s="6"/>
      <c r="P171" s="6"/>
      <c r="Q171" s="6"/>
      <c r="R171" s="320"/>
      <c r="S171" s="6"/>
      <c r="T171" s="6"/>
      <c r="U171" s="6"/>
      <c r="V171" s="6"/>
      <c r="W171" s="321"/>
      <c r="X171" s="6"/>
      <c r="Y171" s="6"/>
      <c r="Z171" s="6"/>
      <c r="AA171" s="8"/>
      <c r="AB171" s="8"/>
      <c r="AC171" s="8"/>
      <c r="AD171" s="8"/>
      <c r="AE171" s="8"/>
      <c r="AF171" s="327"/>
      <c r="AG171" s="327"/>
      <c r="AH171" s="327"/>
      <c r="AI171" s="327"/>
      <c r="AJ171" s="327"/>
      <c r="AK171" s="327"/>
      <c r="AL171" s="328"/>
      <c r="AM171" s="367">
        <v>3177</v>
      </c>
      <c r="AN171" s="367">
        <v>0</v>
      </c>
      <c r="AO171" s="367">
        <v>0</v>
      </c>
      <c r="AP171" s="372">
        <v>0</v>
      </c>
      <c r="AQ171" s="372">
        <v>0</v>
      </c>
      <c r="AR171" s="328"/>
      <c r="AS171" s="328"/>
      <c r="AT171" s="328"/>
      <c r="AU171" s="328"/>
      <c r="AV171" s="328"/>
      <c r="AW171" s="328"/>
      <c r="AX171" s="328"/>
      <c r="AY171" s="328"/>
      <c r="AZ171" s="328"/>
      <c r="BA171" s="328"/>
      <c r="BB171" s="328"/>
      <c r="BC171" s="328"/>
    </row>
    <row r="172" spans="6:55">
      <c r="F172" s="6"/>
      <c r="G172" s="6"/>
      <c r="H172" s="6"/>
      <c r="I172" s="6"/>
      <c r="J172" s="6"/>
      <c r="K172" s="6"/>
      <c r="L172" s="6"/>
      <c r="M172" s="6"/>
      <c r="N172" s="6"/>
      <c r="O172" s="6"/>
      <c r="P172" s="6"/>
      <c r="Q172" s="6"/>
      <c r="R172" s="320"/>
      <c r="S172" s="6"/>
      <c r="T172" s="6"/>
      <c r="U172" s="6"/>
      <c r="V172" s="6"/>
      <c r="W172" s="321"/>
      <c r="X172" s="6"/>
      <c r="Y172" s="6"/>
      <c r="Z172" s="6"/>
      <c r="AA172" s="8"/>
      <c r="AB172" s="8"/>
      <c r="AC172" s="8"/>
      <c r="AD172" s="8"/>
      <c r="AE172" s="8"/>
      <c r="AF172" s="327"/>
      <c r="AG172" s="327"/>
      <c r="AH172" s="327"/>
      <c r="AI172" s="327"/>
      <c r="AJ172" s="327"/>
      <c r="AK172" s="327"/>
      <c r="AL172" s="328"/>
      <c r="AM172" s="367">
        <v>3178</v>
      </c>
      <c r="AN172" s="367">
        <v>0</v>
      </c>
      <c r="AO172" s="367">
        <v>0</v>
      </c>
      <c r="AP172" s="372">
        <v>0</v>
      </c>
      <c r="AQ172" s="372">
        <v>0</v>
      </c>
      <c r="AR172" s="328"/>
      <c r="AS172" s="328"/>
      <c r="AT172" s="328"/>
      <c r="AU172" s="328"/>
      <c r="AV172" s="328"/>
      <c r="AW172" s="328"/>
      <c r="AX172" s="328"/>
      <c r="AY172" s="328"/>
      <c r="AZ172" s="328"/>
      <c r="BA172" s="328"/>
      <c r="BB172" s="328"/>
      <c r="BC172" s="328"/>
    </row>
    <row r="173" spans="6:55">
      <c r="F173" s="6"/>
      <c r="G173" s="6"/>
      <c r="H173" s="6"/>
      <c r="I173" s="6"/>
      <c r="J173" s="6"/>
      <c r="K173" s="6"/>
      <c r="L173" s="6"/>
      <c r="M173" s="6"/>
      <c r="N173" s="6"/>
      <c r="O173" s="6"/>
      <c r="P173" s="6"/>
      <c r="Q173" s="6"/>
      <c r="R173" s="320"/>
      <c r="S173" s="6"/>
      <c r="T173" s="6"/>
      <c r="U173" s="6"/>
      <c r="V173" s="6"/>
      <c r="W173" s="321"/>
      <c r="X173" s="6"/>
      <c r="Y173" s="6"/>
      <c r="Z173" s="6"/>
      <c r="AA173" s="8"/>
      <c r="AB173" s="8"/>
      <c r="AC173" s="8"/>
      <c r="AD173" s="8"/>
      <c r="AE173" s="8"/>
      <c r="AF173" s="327"/>
      <c r="AG173" s="327"/>
      <c r="AH173" s="327"/>
      <c r="AI173" s="327"/>
      <c r="AJ173" s="327"/>
      <c r="AK173" s="327"/>
      <c r="AL173" s="328"/>
      <c r="AM173" s="367">
        <v>3179</v>
      </c>
      <c r="AN173" s="367">
        <v>31.156982459799998</v>
      </c>
      <c r="AO173" s="367">
        <v>92.134501698042016</v>
      </c>
      <c r="AP173" s="372">
        <v>0.75070259833408048</v>
      </c>
      <c r="AQ173" s="372">
        <v>0.92134501698042015</v>
      </c>
      <c r="AR173" s="328"/>
      <c r="AS173" s="328"/>
      <c r="AT173" s="328"/>
      <c r="AU173" s="328"/>
      <c r="AV173" s="328"/>
      <c r="AW173" s="328"/>
      <c r="AX173" s="328"/>
      <c r="AY173" s="328"/>
      <c r="AZ173" s="328"/>
      <c r="BA173" s="328"/>
      <c r="BB173" s="328"/>
      <c r="BC173" s="328"/>
    </row>
    <row r="174" spans="6:55">
      <c r="F174" s="6"/>
      <c r="G174" s="6"/>
      <c r="H174" s="6"/>
      <c r="I174" s="6"/>
      <c r="J174" s="6"/>
      <c r="K174" s="6"/>
      <c r="L174" s="6"/>
      <c r="M174" s="6"/>
      <c r="N174" s="6"/>
      <c r="O174" s="6"/>
      <c r="P174" s="6"/>
      <c r="Q174" s="6"/>
      <c r="R174" s="320"/>
      <c r="S174" s="6"/>
      <c r="T174" s="6"/>
      <c r="U174" s="6"/>
      <c r="V174" s="6"/>
      <c r="W174" s="321"/>
      <c r="X174" s="6"/>
      <c r="Y174" s="6"/>
      <c r="Z174" s="6"/>
      <c r="AA174" s="8"/>
      <c r="AB174" s="8"/>
      <c r="AC174" s="8"/>
      <c r="AD174" s="8"/>
      <c r="AE174" s="8"/>
      <c r="AF174" s="327"/>
      <c r="AG174" s="327"/>
      <c r="AH174" s="327"/>
      <c r="AI174" s="327"/>
      <c r="AJ174" s="327"/>
      <c r="AK174" s="327"/>
      <c r="AL174" s="328"/>
      <c r="AM174" s="367">
        <v>3180</v>
      </c>
      <c r="AN174" s="367">
        <v>66.125982991399994</v>
      </c>
      <c r="AO174" s="367">
        <v>96.642860025017157</v>
      </c>
      <c r="AP174" s="372">
        <v>0.92547766299101708</v>
      </c>
      <c r="AQ174" s="372">
        <v>0.96642860025017152</v>
      </c>
      <c r="AR174" s="328"/>
      <c r="AS174" s="328"/>
      <c r="AT174" s="328"/>
      <c r="AU174" s="328"/>
      <c r="AV174" s="328"/>
      <c r="AW174" s="328"/>
      <c r="AX174" s="328"/>
      <c r="AY174" s="328"/>
      <c r="AZ174" s="328"/>
      <c r="BA174" s="328"/>
      <c r="BB174" s="328"/>
      <c r="BC174" s="328"/>
    </row>
    <row r="175" spans="6:55">
      <c r="F175" s="6"/>
      <c r="G175" s="6"/>
      <c r="H175" s="6"/>
      <c r="I175" s="6"/>
      <c r="J175" s="6"/>
      <c r="K175" s="6"/>
      <c r="L175" s="6"/>
      <c r="M175" s="6"/>
      <c r="N175" s="6"/>
      <c r="O175" s="6"/>
      <c r="P175" s="6"/>
      <c r="Q175" s="6"/>
      <c r="R175" s="320"/>
      <c r="S175" s="6"/>
      <c r="T175" s="6"/>
      <c r="U175" s="6"/>
      <c r="V175" s="6"/>
      <c r="W175" s="321"/>
      <c r="X175" s="6"/>
      <c r="Y175" s="6"/>
      <c r="Z175" s="6"/>
      <c r="AA175" s="8"/>
      <c r="AB175" s="8"/>
      <c r="AC175" s="8"/>
      <c r="AD175" s="8"/>
      <c r="AE175" s="8"/>
      <c r="AF175" s="327"/>
      <c r="AG175" s="327"/>
      <c r="AH175" s="327"/>
      <c r="AI175" s="327"/>
      <c r="AJ175" s="327"/>
      <c r="AK175" s="327"/>
      <c r="AL175" s="328"/>
      <c r="AM175" s="367">
        <v>3274</v>
      </c>
      <c r="AN175" s="367">
        <v>0</v>
      </c>
      <c r="AO175" s="367">
        <v>0</v>
      </c>
      <c r="AP175" s="372">
        <v>0</v>
      </c>
      <c r="AQ175" s="372">
        <v>0</v>
      </c>
      <c r="AR175" s="328"/>
      <c r="AS175" s="328"/>
      <c r="AT175" s="328"/>
      <c r="AU175" s="328"/>
      <c r="AV175" s="328"/>
      <c r="AW175" s="328"/>
      <c r="AX175" s="328"/>
      <c r="AY175" s="328"/>
      <c r="AZ175" s="328"/>
      <c r="BA175" s="328"/>
      <c r="BB175" s="328"/>
      <c r="BC175" s="328"/>
    </row>
    <row r="176" spans="6:55">
      <c r="F176" s="6"/>
      <c r="G176" s="6"/>
      <c r="H176" s="6"/>
      <c r="I176" s="6"/>
      <c r="J176" s="6"/>
      <c r="K176" s="6"/>
      <c r="L176" s="6"/>
      <c r="M176" s="6"/>
      <c r="N176" s="6"/>
      <c r="O176" s="6"/>
      <c r="P176" s="6"/>
      <c r="Q176" s="6"/>
      <c r="R176" s="320"/>
      <c r="S176" s="6"/>
      <c r="T176" s="6"/>
      <c r="U176" s="6"/>
      <c r="V176" s="6"/>
      <c r="W176" s="321"/>
      <c r="X176" s="6"/>
      <c r="Y176" s="6"/>
      <c r="Z176" s="6"/>
      <c r="AA176" s="8"/>
      <c r="AB176" s="8"/>
      <c r="AC176" s="8"/>
      <c r="AD176" s="8"/>
      <c r="AE176" s="8"/>
      <c r="AF176" s="327"/>
      <c r="AG176" s="327"/>
      <c r="AH176" s="327"/>
      <c r="AI176" s="327"/>
      <c r="AJ176" s="327"/>
      <c r="AK176" s="327"/>
      <c r="AL176" s="328"/>
      <c r="AM176" s="367">
        <v>3276</v>
      </c>
      <c r="AN176" s="367">
        <v>0</v>
      </c>
      <c r="AO176" s="367">
        <v>0</v>
      </c>
      <c r="AP176" s="372">
        <v>0</v>
      </c>
      <c r="AQ176" s="372">
        <v>0</v>
      </c>
      <c r="AR176" s="328"/>
      <c r="AS176" s="328"/>
      <c r="AT176" s="328"/>
      <c r="AU176" s="328"/>
      <c r="AV176" s="328"/>
      <c r="AW176" s="328"/>
      <c r="AX176" s="328"/>
      <c r="AY176" s="328"/>
      <c r="AZ176" s="328"/>
      <c r="BA176" s="328"/>
      <c r="BB176" s="328"/>
      <c r="BC176" s="328"/>
    </row>
    <row r="177" spans="6:55">
      <c r="F177" s="6"/>
      <c r="G177" s="6"/>
      <c r="H177" s="6"/>
      <c r="I177" s="6"/>
      <c r="J177" s="6"/>
      <c r="K177" s="6"/>
      <c r="L177" s="6"/>
      <c r="M177" s="6"/>
      <c r="N177" s="6"/>
      <c r="O177" s="6"/>
      <c r="P177" s="6"/>
      <c r="Q177" s="6"/>
      <c r="R177" s="320"/>
      <c r="S177" s="6"/>
      <c r="T177" s="6"/>
      <c r="U177" s="6"/>
      <c r="V177" s="6"/>
      <c r="W177" s="321"/>
      <c r="X177" s="6"/>
      <c r="Y177" s="6"/>
      <c r="Z177" s="6"/>
      <c r="AA177" s="8"/>
      <c r="AB177" s="8"/>
      <c r="AC177" s="8"/>
      <c r="AD177" s="8"/>
      <c r="AE177" s="8"/>
      <c r="AF177" s="327"/>
      <c r="AG177" s="327"/>
      <c r="AH177" s="327"/>
      <c r="AI177" s="327"/>
      <c r="AJ177" s="327"/>
      <c r="AK177" s="327"/>
      <c r="AL177" s="328"/>
      <c r="AM177" s="367">
        <v>3277</v>
      </c>
      <c r="AN177" s="367">
        <v>3.1245195472600001E-2</v>
      </c>
      <c r="AO177" s="367">
        <v>100</v>
      </c>
      <c r="AP177" s="372">
        <v>0.59513616348697207</v>
      </c>
      <c r="AQ177" s="372">
        <v>0.59513616348697207</v>
      </c>
      <c r="AR177" s="328"/>
      <c r="AS177" s="328"/>
      <c r="AT177" s="328"/>
      <c r="AU177" s="328"/>
      <c r="AV177" s="328"/>
      <c r="AW177" s="328"/>
      <c r="AX177" s="328"/>
      <c r="AY177" s="328"/>
      <c r="AZ177" s="328"/>
      <c r="BA177" s="328"/>
      <c r="BB177" s="328"/>
      <c r="BC177" s="328"/>
    </row>
    <row r="178" spans="6:55">
      <c r="F178" s="145"/>
      <c r="G178" s="145"/>
      <c r="H178" s="145"/>
      <c r="I178" s="145"/>
      <c r="J178" s="145"/>
      <c r="K178" s="145"/>
      <c r="L178" s="145"/>
      <c r="M178" s="145"/>
      <c r="N178" s="145"/>
      <c r="O178" s="145"/>
      <c r="P178" s="145"/>
      <c r="Q178" s="145"/>
      <c r="R178" s="317"/>
      <c r="S178" s="145"/>
      <c r="T178" s="145"/>
      <c r="U178" s="145"/>
      <c r="V178" s="145"/>
      <c r="W178" s="319"/>
      <c r="X178" s="145"/>
      <c r="Y178" s="145"/>
      <c r="Z178" s="145"/>
      <c r="AF178" s="327"/>
      <c r="AG178" s="327"/>
      <c r="AH178" s="327"/>
      <c r="AI178" s="327"/>
      <c r="AJ178" s="327"/>
      <c r="AK178" s="327"/>
      <c r="AL178" s="328"/>
      <c r="AM178" s="367">
        <v>3278</v>
      </c>
      <c r="AN178" s="367">
        <v>31.872809749599998</v>
      </c>
      <c r="AO178" s="367">
        <v>79.957737321196348</v>
      </c>
      <c r="AP178" s="372">
        <v>0.75428030312850081</v>
      </c>
      <c r="AQ178" s="372">
        <v>0.79957737321196343</v>
      </c>
      <c r="AR178" s="328"/>
      <c r="AS178" s="328"/>
      <c r="AT178" s="328"/>
      <c r="AU178" s="328"/>
      <c r="AV178" s="328"/>
      <c r="AW178" s="328"/>
      <c r="AX178" s="328"/>
      <c r="AY178" s="328"/>
      <c r="AZ178" s="328"/>
      <c r="BA178" s="328"/>
      <c r="BB178" s="328"/>
      <c r="BC178" s="328"/>
    </row>
    <row r="179" spans="6:55">
      <c r="F179" s="145"/>
      <c r="G179" s="145"/>
      <c r="H179" s="145"/>
      <c r="I179" s="145"/>
      <c r="J179" s="145"/>
      <c r="K179" s="145"/>
      <c r="L179" s="145"/>
      <c r="M179" s="145"/>
      <c r="N179" s="145"/>
      <c r="O179" s="145"/>
      <c r="P179" s="145"/>
      <c r="Q179" s="145"/>
      <c r="R179" s="317"/>
      <c r="S179" s="145"/>
      <c r="T179" s="145"/>
      <c r="U179" s="145"/>
      <c r="V179" s="145"/>
      <c r="W179" s="319"/>
      <c r="X179" s="145"/>
      <c r="Y179" s="145"/>
      <c r="Z179" s="145"/>
      <c r="AF179" s="327"/>
      <c r="AG179" s="327"/>
      <c r="AH179" s="327"/>
      <c r="AI179" s="327"/>
      <c r="AJ179" s="327"/>
      <c r="AK179" s="327"/>
      <c r="AL179" s="328"/>
      <c r="AM179" s="367">
        <v>3279</v>
      </c>
      <c r="AN179" s="367">
        <v>61.274973743300002</v>
      </c>
      <c r="AO179" s="367">
        <v>85.327030099934177</v>
      </c>
      <c r="AP179" s="372">
        <v>0.90123231876901344</v>
      </c>
      <c r="AQ179" s="372">
        <v>0.85327030099934176</v>
      </c>
      <c r="AR179" s="328"/>
      <c r="AS179" s="328"/>
      <c r="AT179" s="328"/>
      <c r="AU179" s="328"/>
      <c r="AV179" s="328"/>
      <c r="AW179" s="328"/>
      <c r="AX179" s="328"/>
      <c r="AY179" s="328"/>
      <c r="AZ179" s="328"/>
      <c r="BA179" s="328"/>
      <c r="BB179" s="328"/>
      <c r="BC179" s="328"/>
    </row>
    <row r="180" spans="6:55">
      <c r="F180" s="324"/>
      <c r="G180" s="324"/>
      <c r="H180" s="325"/>
      <c r="I180" s="325"/>
      <c r="J180" s="325"/>
      <c r="K180" s="325"/>
      <c r="L180" s="326"/>
      <c r="M180" s="326"/>
      <c r="N180" s="326"/>
      <c r="O180" s="326"/>
      <c r="P180" s="326"/>
      <c r="Q180" s="326"/>
      <c r="R180" s="326"/>
      <c r="S180" s="326"/>
      <c r="T180" s="326"/>
      <c r="U180" s="326"/>
      <c r="V180" s="326"/>
      <c r="W180" s="326"/>
      <c r="X180" s="326"/>
      <c r="Y180" s="326"/>
      <c r="Z180" s="326"/>
      <c r="AA180" s="326"/>
      <c r="AB180" s="326"/>
      <c r="AC180" s="326"/>
      <c r="AD180" s="325"/>
      <c r="AE180" s="325"/>
      <c r="AF180" s="327"/>
      <c r="AG180" s="327"/>
      <c r="AH180" s="327"/>
      <c r="AI180" s="327"/>
      <c r="AJ180" s="327"/>
      <c r="AK180" s="327"/>
      <c r="AL180" s="328"/>
      <c r="AM180" s="367">
        <v>3280</v>
      </c>
      <c r="AN180" s="367">
        <v>15.179503416999999</v>
      </c>
      <c r="AO180" s="367">
        <v>48.924731182795696</v>
      </c>
      <c r="AP180" s="372">
        <v>0.67084715807816597</v>
      </c>
      <c r="AQ180" s="372">
        <v>0.48924731182795694</v>
      </c>
      <c r="AR180" s="328"/>
      <c r="AS180" s="328"/>
      <c r="AT180" s="328"/>
      <c r="AU180" s="328"/>
      <c r="AV180" s="328"/>
      <c r="AW180" s="328"/>
      <c r="AX180" s="328"/>
      <c r="AY180" s="328"/>
      <c r="AZ180" s="328"/>
      <c r="BA180" s="328"/>
      <c r="BB180" s="328"/>
      <c r="BC180" s="328"/>
    </row>
    <row r="181" spans="6:55">
      <c r="F181" s="324"/>
      <c r="G181" s="324"/>
      <c r="H181" s="325"/>
      <c r="I181" s="325"/>
      <c r="J181" s="325"/>
      <c r="K181" s="325"/>
      <c r="L181" s="326"/>
      <c r="M181" s="326"/>
      <c r="N181" s="326"/>
      <c r="O181" s="326"/>
      <c r="P181" s="326"/>
      <c r="Q181" s="326"/>
      <c r="R181" s="326"/>
      <c r="S181" s="326"/>
      <c r="T181" s="326"/>
      <c r="U181" s="326"/>
      <c r="V181" s="326"/>
      <c r="W181" s="326"/>
      <c r="X181" s="326"/>
      <c r="Y181" s="326"/>
      <c r="Z181" s="326"/>
      <c r="AA181" s="326"/>
      <c r="AB181" s="326"/>
      <c r="AC181" s="326"/>
      <c r="AD181" s="325"/>
      <c r="AE181" s="325"/>
      <c r="AF181" s="327"/>
      <c r="AG181" s="327"/>
      <c r="AH181" s="327"/>
      <c r="AI181" s="327"/>
      <c r="AJ181" s="327"/>
      <c r="AK181" s="327"/>
      <c r="AL181" s="328"/>
      <c r="AM181" s="367">
        <v>3370</v>
      </c>
      <c r="AN181" s="367">
        <v>0</v>
      </c>
      <c r="AO181" s="367">
        <v>0</v>
      </c>
      <c r="AP181" s="372">
        <v>0</v>
      </c>
      <c r="AQ181" s="372">
        <v>0</v>
      </c>
      <c r="AR181" s="328"/>
      <c r="AS181" s="328"/>
      <c r="AT181" s="328"/>
      <c r="AU181" s="328"/>
      <c r="AV181" s="328"/>
      <c r="AW181" s="328"/>
      <c r="AX181" s="328"/>
      <c r="AY181" s="328"/>
      <c r="AZ181" s="328"/>
      <c r="BA181" s="328"/>
      <c r="BB181" s="328"/>
      <c r="BC181" s="328"/>
    </row>
    <row r="182" spans="6:55">
      <c r="F182" s="324"/>
      <c r="G182" s="324"/>
      <c r="H182" s="325"/>
      <c r="I182" s="325"/>
      <c r="J182" s="325"/>
      <c r="K182" s="325"/>
      <c r="L182" s="326"/>
      <c r="M182" s="326"/>
      <c r="N182" s="326"/>
      <c r="O182" s="326"/>
      <c r="P182" s="326"/>
      <c r="Q182" s="326"/>
      <c r="R182" s="326"/>
      <c r="S182" s="326"/>
      <c r="T182" s="326"/>
      <c r="U182" s="326"/>
      <c r="V182" s="326"/>
      <c r="W182" s="326"/>
      <c r="X182" s="326"/>
      <c r="Y182" s="326"/>
      <c r="Z182" s="326"/>
      <c r="AA182" s="326"/>
      <c r="AB182" s="326"/>
      <c r="AC182" s="326"/>
      <c r="AD182" s="325"/>
      <c r="AE182" s="325"/>
      <c r="AF182" s="327"/>
      <c r="AG182" s="327"/>
      <c r="AH182" s="327"/>
      <c r="AI182" s="327"/>
      <c r="AJ182" s="327"/>
      <c r="AK182" s="327"/>
      <c r="AL182" s="328"/>
      <c r="AM182" s="367">
        <v>3374</v>
      </c>
      <c r="AN182" s="367">
        <v>0</v>
      </c>
      <c r="AO182" s="367">
        <v>0</v>
      </c>
      <c r="AP182" s="372">
        <v>0</v>
      </c>
      <c r="AQ182" s="372">
        <v>0</v>
      </c>
      <c r="AR182" s="328"/>
      <c r="AS182" s="328"/>
      <c r="AT182" s="328"/>
      <c r="AU182" s="328"/>
      <c r="AV182" s="328"/>
      <c r="AW182" s="328"/>
      <c r="AX182" s="328"/>
      <c r="AY182" s="328"/>
      <c r="AZ182" s="328"/>
      <c r="BA182" s="328"/>
      <c r="BB182" s="328"/>
      <c r="BC182" s="328"/>
    </row>
    <row r="183" spans="6:55">
      <c r="F183" s="324"/>
      <c r="G183" s="324"/>
      <c r="H183" s="325"/>
      <c r="I183" s="325"/>
      <c r="J183" s="325"/>
      <c r="K183" s="325"/>
      <c r="L183" s="326"/>
      <c r="M183" s="326"/>
      <c r="N183" s="326"/>
      <c r="O183" s="326"/>
      <c r="P183" s="326"/>
      <c r="Q183" s="326"/>
      <c r="R183" s="326"/>
      <c r="S183" s="326"/>
      <c r="T183" s="326"/>
      <c r="U183" s="326"/>
      <c r="V183" s="326"/>
      <c r="W183" s="326"/>
      <c r="X183" s="326"/>
      <c r="Y183" s="326"/>
      <c r="Z183" s="326"/>
      <c r="AA183" s="326"/>
      <c r="AB183" s="326"/>
      <c r="AC183" s="326"/>
      <c r="AD183" s="325"/>
      <c r="AE183" s="325"/>
      <c r="AF183" s="327"/>
      <c r="AG183" s="327"/>
      <c r="AH183" s="327"/>
      <c r="AI183" s="327"/>
      <c r="AJ183" s="327"/>
      <c r="AK183" s="327"/>
      <c r="AL183" s="328"/>
      <c r="AM183" s="367">
        <v>3375</v>
      </c>
      <c r="AN183" s="367">
        <v>0</v>
      </c>
      <c r="AO183" s="367">
        <v>0</v>
      </c>
      <c r="AP183" s="372">
        <v>0</v>
      </c>
      <c r="AQ183" s="372">
        <v>0</v>
      </c>
      <c r="AR183" s="328"/>
      <c r="AS183" s="328"/>
      <c r="AT183" s="328"/>
      <c r="AU183" s="328"/>
      <c r="AV183" s="328"/>
      <c r="AW183" s="328"/>
      <c r="AX183" s="328"/>
      <c r="AY183" s="328"/>
      <c r="AZ183" s="328"/>
      <c r="BA183" s="328"/>
      <c r="BB183" s="328"/>
      <c r="BC183" s="328"/>
    </row>
    <row r="184" spans="6:55">
      <c r="F184" s="324"/>
      <c r="G184" s="324"/>
      <c r="H184" s="325"/>
      <c r="I184" s="325"/>
      <c r="J184" s="325"/>
      <c r="K184" s="325"/>
      <c r="L184" s="326"/>
      <c r="M184" s="326"/>
      <c r="N184" s="326"/>
      <c r="O184" s="326"/>
      <c r="P184" s="326"/>
      <c r="Q184" s="326"/>
      <c r="R184" s="326"/>
      <c r="S184" s="326"/>
      <c r="T184" s="326"/>
      <c r="U184" s="326"/>
      <c r="V184" s="326"/>
      <c r="W184" s="326"/>
      <c r="X184" s="326"/>
      <c r="Y184" s="326"/>
      <c r="Z184" s="326"/>
      <c r="AA184" s="326"/>
      <c r="AB184" s="326"/>
      <c r="AC184" s="326"/>
      <c r="AD184" s="325"/>
      <c r="AE184" s="325"/>
      <c r="AF184" s="327"/>
      <c r="AG184" s="327"/>
      <c r="AH184" s="327"/>
      <c r="AI184" s="327"/>
      <c r="AJ184" s="327"/>
      <c r="AK184" s="327"/>
      <c r="AL184" s="328"/>
      <c r="AM184" s="367">
        <v>3376</v>
      </c>
      <c r="AN184" s="367">
        <v>15.611912595</v>
      </c>
      <c r="AO184" s="367">
        <v>89.361702127659569</v>
      </c>
      <c r="AP184" s="372">
        <v>0.67300833914980995</v>
      </c>
      <c r="AQ184" s="372">
        <v>0.8936170212765957</v>
      </c>
      <c r="AR184" s="328"/>
      <c r="AS184" s="328"/>
      <c r="AT184" s="328"/>
      <c r="AU184" s="328"/>
      <c r="AV184" s="328"/>
      <c r="AW184" s="328"/>
      <c r="AX184" s="328"/>
      <c r="AY184" s="328"/>
      <c r="AZ184" s="328"/>
      <c r="BA184" s="328"/>
      <c r="BB184" s="328"/>
      <c r="BC184" s="328"/>
    </row>
    <row r="185" spans="6:55">
      <c r="F185" s="324"/>
      <c r="G185" s="324"/>
      <c r="H185" s="325"/>
      <c r="I185" s="325"/>
      <c r="J185" s="325"/>
      <c r="K185" s="325"/>
      <c r="L185" s="326"/>
      <c r="M185" s="326"/>
      <c r="N185" s="326"/>
      <c r="O185" s="326"/>
      <c r="P185" s="326"/>
      <c r="Q185" s="326"/>
      <c r="R185" s="326"/>
      <c r="S185" s="326"/>
      <c r="T185" s="326"/>
      <c r="U185" s="326"/>
      <c r="V185" s="326"/>
      <c r="W185" s="326"/>
      <c r="X185" s="326"/>
      <c r="Y185" s="326"/>
      <c r="Z185" s="326"/>
      <c r="AA185" s="326"/>
      <c r="AB185" s="326"/>
      <c r="AC185" s="326"/>
      <c r="AD185" s="325"/>
      <c r="AE185" s="325"/>
      <c r="AF185" s="327"/>
      <c r="AG185" s="327"/>
      <c r="AH185" s="327"/>
      <c r="AI185" s="327"/>
      <c r="AJ185" s="327"/>
      <c r="AK185" s="327"/>
      <c r="AL185" s="328"/>
      <c r="AM185" s="367">
        <v>3377</v>
      </c>
      <c r="AN185" s="367">
        <v>66.418882524099999</v>
      </c>
      <c r="AO185" s="367">
        <v>79.919611455367615</v>
      </c>
      <c r="AP185" s="372">
        <v>0.92694157485545181</v>
      </c>
      <c r="AQ185" s="372">
        <v>0.79919611455367612</v>
      </c>
      <c r="AR185" s="328"/>
      <c r="AS185" s="328"/>
      <c r="AT185" s="328"/>
      <c r="AU185" s="328"/>
      <c r="AV185" s="328"/>
      <c r="AW185" s="328"/>
      <c r="AX185" s="328"/>
      <c r="AY185" s="328"/>
      <c r="AZ185" s="328"/>
      <c r="BA185" s="328"/>
      <c r="BB185" s="328"/>
      <c r="BC185" s="328"/>
    </row>
    <row r="186" spans="6:55">
      <c r="F186" s="324"/>
      <c r="G186" s="324"/>
      <c r="H186" s="325"/>
      <c r="I186" s="325"/>
      <c r="J186" s="325"/>
      <c r="K186" s="325"/>
      <c r="L186" s="326"/>
      <c r="M186" s="326"/>
      <c r="N186" s="326"/>
      <c r="O186" s="326"/>
      <c r="P186" s="326"/>
      <c r="Q186" s="326"/>
      <c r="R186" s="326"/>
      <c r="S186" s="326"/>
      <c r="T186" s="326"/>
      <c r="U186" s="326"/>
      <c r="V186" s="326"/>
      <c r="W186" s="326"/>
      <c r="X186" s="326"/>
      <c r="Y186" s="326"/>
      <c r="Z186" s="326"/>
      <c r="AA186" s="326"/>
      <c r="AB186" s="326"/>
      <c r="AC186" s="326"/>
      <c r="AD186" s="325"/>
      <c r="AE186" s="325"/>
      <c r="AF186" s="327"/>
      <c r="AG186" s="327"/>
      <c r="AH186" s="327"/>
      <c r="AI186" s="327"/>
      <c r="AJ186" s="327"/>
      <c r="AK186" s="327"/>
      <c r="AL186" s="328"/>
      <c r="AM186" s="367">
        <v>3378</v>
      </c>
      <c r="AN186" s="367">
        <v>44.683335055199997</v>
      </c>
      <c r="AO186" s="367">
        <v>83.794620265483275</v>
      </c>
      <c r="AP186" s="372">
        <v>0.81830730860588963</v>
      </c>
      <c r="AQ186" s="372">
        <v>0.83794620265483277</v>
      </c>
      <c r="AR186" s="328"/>
      <c r="AS186" s="328"/>
      <c r="AT186" s="328"/>
      <c r="AU186" s="328"/>
      <c r="AV186" s="328"/>
      <c r="AW186" s="328"/>
      <c r="AX186" s="328"/>
      <c r="AY186" s="328"/>
      <c r="AZ186" s="328"/>
      <c r="BA186" s="328"/>
      <c r="BB186" s="328"/>
      <c r="BC186" s="328"/>
    </row>
    <row r="187" spans="6:55">
      <c r="F187" s="324"/>
      <c r="G187" s="324"/>
      <c r="H187" s="325"/>
      <c r="I187" s="325"/>
      <c r="J187" s="325"/>
      <c r="K187" s="325"/>
      <c r="L187" s="326"/>
      <c r="M187" s="326"/>
      <c r="N187" s="326"/>
      <c r="O187" s="326"/>
      <c r="P187" s="326"/>
      <c r="Q187" s="326"/>
      <c r="R187" s="326"/>
      <c r="S187" s="326"/>
      <c r="T187" s="326"/>
      <c r="U187" s="326"/>
      <c r="V187" s="326"/>
      <c r="W187" s="326"/>
      <c r="X187" s="326"/>
      <c r="Y187" s="326"/>
      <c r="Z187" s="326"/>
      <c r="AA187" s="326"/>
      <c r="AB187" s="326"/>
      <c r="AC187" s="326"/>
      <c r="AD187" s="325"/>
      <c r="AE187" s="325"/>
      <c r="AF187" s="327"/>
      <c r="AG187" s="327"/>
      <c r="AH187" s="327"/>
      <c r="AI187" s="327"/>
      <c r="AJ187" s="327"/>
      <c r="AK187" s="327"/>
      <c r="AL187" s="328"/>
      <c r="AM187" s="367">
        <v>3379</v>
      </c>
      <c r="AN187" s="367">
        <v>0</v>
      </c>
      <c r="AO187" s="367">
        <v>0</v>
      </c>
      <c r="AP187" s="372">
        <v>0</v>
      </c>
      <c r="AQ187" s="372">
        <v>0</v>
      </c>
      <c r="AR187" s="328"/>
      <c r="AS187" s="328"/>
      <c r="AT187" s="328"/>
      <c r="AU187" s="328"/>
      <c r="AV187" s="328"/>
      <c r="AW187" s="328"/>
      <c r="AX187" s="328"/>
      <c r="AY187" s="328"/>
      <c r="AZ187" s="328"/>
      <c r="BA187" s="328"/>
      <c r="BB187" s="328"/>
      <c r="BC187" s="328"/>
    </row>
    <row r="188" spans="6:55">
      <c r="F188" s="324"/>
      <c r="G188" s="324"/>
      <c r="H188" s="325"/>
      <c r="I188" s="325"/>
      <c r="J188" s="325"/>
      <c r="K188" s="325"/>
      <c r="L188" s="326"/>
      <c r="M188" s="326"/>
      <c r="N188" s="326"/>
      <c r="O188" s="326"/>
      <c r="P188" s="326"/>
      <c r="Q188" s="326"/>
      <c r="R188" s="326"/>
      <c r="S188" s="326"/>
      <c r="T188" s="326"/>
      <c r="U188" s="326"/>
      <c r="V188" s="326"/>
      <c r="W188" s="326"/>
      <c r="X188" s="326"/>
      <c r="Y188" s="326"/>
      <c r="Z188" s="326"/>
      <c r="AA188" s="326"/>
      <c r="AB188" s="326"/>
      <c r="AC188" s="326"/>
      <c r="AD188" s="325"/>
      <c r="AE188" s="325"/>
      <c r="AF188" s="327"/>
      <c r="AG188" s="327"/>
      <c r="AH188" s="327"/>
      <c r="AI188" s="327"/>
      <c r="AJ188" s="327"/>
      <c r="AK188" s="327"/>
      <c r="AL188" s="328"/>
      <c r="AM188" s="367">
        <v>3470</v>
      </c>
      <c r="AN188" s="367">
        <v>0</v>
      </c>
      <c r="AO188" s="367">
        <v>0</v>
      </c>
      <c r="AP188" s="372">
        <v>0</v>
      </c>
      <c r="AQ188" s="372">
        <v>0</v>
      </c>
      <c r="AR188" s="328"/>
      <c r="AS188" s="328"/>
      <c r="AT188" s="328"/>
      <c r="AU188" s="328"/>
      <c r="AV188" s="328"/>
      <c r="AW188" s="328"/>
      <c r="AX188" s="328"/>
      <c r="AY188" s="328"/>
      <c r="AZ188" s="328"/>
      <c r="BA188" s="328"/>
      <c r="BB188" s="328"/>
      <c r="BC188" s="328"/>
    </row>
    <row r="189" spans="6:55">
      <c r="F189" s="325"/>
      <c r="G189" s="325"/>
      <c r="H189" s="325"/>
      <c r="I189" s="325"/>
      <c r="J189" s="325"/>
      <c r="K189" s="325"/>
      <c r="L189" s="326"/>
      <c r="M189" s="326"/>
      <c r="N189" s="326"/>
      <c r="O189" s="326"/>
      <c r="P189" s="326"/>
      <c r="Q189" s="326"/>
      <c r="R189" s="326"/>
      <c r="S189" s="326"/>
      <c r="T189" s="326"/>
      <c r="U189" s="326"/>
      <c r="V189" s="326"/>
      <c r="W189" s="326"/>
      <c r="X189" s="326"/>
      <c r="Y189" s="326"/>
      <c r="Z189" s="326"/>
      <c r="AA189" s="326"/>
      <c r="AB189" s="326"/>
      <c r="AC189" s="326"/>
      <c r="AD189" s="325"/>
      <c r="AE189" s="325"/>
      <c r="AF189" s="327"/>
      <c r="AG189" s="327"/>
      <c r="AH189" s="327"/>
      <c r="AI189" s="327"/>
      <c r="AJ189" s="327"/>
      <c r="AK189" s="327"/>
      <c r="AL189" s="328"/>
      <c r="AM189" s="367">
        <v>3472</v>
      </c>
      <c r="AN189" s="367">
        <v>0</v>
      </c>
      <c r="AO189" s="367">
        <v>0</v>
      </c>
      <c r="AP189" s="372">
        <v>0</v>
      </c>
      <c r="AQ189" s="372">
        <v>0</v>
      </c>
      <c r="AR189" s="328"/>
      <c r="AS189" s="328"/>
      <c r="AT189" s="328"/>
      <c r="AU189" s="328"/>
      <c r="AV189" s="328"/>
      <c r="AW189" s="328"/>
      <c r="AX189" s="328"/>
      <c r="AY189" s="328"/>
      <c r="AZ189" s="328"/>
      <c r="BA189" s="328"/>
      <c r="BB189" s="328"/>
      <c r="BC189" s="328"/>
    </row>
    <row r="190" spans="6:55">
      <c r="F190" s="325"/>
      <c r="G190" s="325"/>
      <c r="H190" s="325"/>
      <c r="I190" s="325"/>
      <c r="J190" s="325"/>
      <c r="K190" s="325"/>
      <c r="L190" s="326"/>
      <c r="M190" s="326"/>
      <c r="N190" s="326"/>
      <c r="O190" s="326"/>
      <c r="P190" s="326"/>
      <c r="Q190" s="326"/>
      <c r="R190" s="326"/>
      <c r="S190" s="326"/>
      <c r="T190" s="326"/>
      <c r="U190" s="326"/>
      <c r="V190" s="326"/>
      <c r="W190" s="326"/>
      <c r="X190" s="326"/>
      <c r="Y190" s="326"/>
      <c r="Z190" s="326"/>
      <c r="AA190" s="326"/>
      <c r="AB190" s="326"/>
      <c r="AC190" s="326"/>
      <c r="AD190" s="325"/>
      <c r="AE190" s="325"/>
      <c r="AF190" s="327"/>
      <c r="AG190" s="327"/>
      <c r="AH190" s="327"/>
      <c r="AI190" s="327"/>
      <c r="AJ190" s="327"/>
      <c r="AK190" s="327"/>
      <c r="AL190" s="328"/>
      <c r="AM190" s="367">
        <v>3473</v>
      </c>
      <c r="AN190" s="367">
        <v>0</v>
      </c>
      <c r="AO190" s="367">
        <v>0</v>
      </c>
      <c r="AP190" s="372">
        <v>0</v>
      </c>
      <c r="AQ190" s="372">
        <v>0</v>
      </c>
      <c r="AR190" s="328"/>
      <c r="AS190" s="328"/>
      <c r="AT190" s="328"/>
      <c r="AU190" s="328"/>
      <c r="AV190" s="328"/>
      <c r="AW190" s="328"/>
      <c r="AX190" s="328"/>
      <c r="AY190" s="328"/>
      <c r="AZ190" s="328"/>
      <c r="BA190" s="328"/>
      <c r="BB190" s="328"/>
      <c r="BC190" s="328"/>
    </row>
    <row r="191" spans="6:55">
      <c r="F191" s="325"/>
      <c r="G191" s="325"/>
      <c r="H191" s="325"/>
      <c r="I191" s="325"/>
      <c r="J191" s="325"/>
      <c r="K191" s="325"/>
      <c r="L191" s="326"/>
      <c r="M191" s="326"/>
      <c r="N191" s="326"/>
      <c r="O191" s="326"/>
      <c r="P191" s="326"/>
      <c r="Q191" s="326"/>
      <c r="R191" s="326"/>
      <c r="S191" s="326"/>
      <c r="T191" s="326"/>
      <c r="U191" s="326"/>
      <c r="V191" s="326"/>
      <c r="W191" s="326"/>
      <c r="X191" s="326"/>
      <c r="Y191" s="326"/>
      <c r="Z191" s="326"/>
      <c r="AA191" s="326"/>
      <c r="AB191" s="326"/>
      <c r="AC191" s="326"/>
      <c r="AD191" s="325"/>
      <c r="AE191" s="325"/>
      <c r="AF191" s="327"/>
      <c r="AG191" s="327"/>
      <c r="AH191" s="327"/>
      <c r="AI191" s="327"/>
      <c r="AJ191" s="327"/>
      <c r="AK191" s="327"/>
      <c r="AL191" s="328"/>
      <c r="AM191" s="367">
        <v>3474</v>
      </c>
      <c r="AN191" s="367">
        <v>0</v>
      </c>
      <c r="AO191" s="367">
        <v>0</v>
      </c>
      <c r="AP191" s="372">
        <v>0</v>
      </c>
      <c r="AQ191" s="372">
        <v>0</v>
      </c>
      <c r="AR191" s="328"/>
      <c r="AS191" s="328"/>
      <c r="AT191" s="328"/>
      <c r="AU191" s="328"/>
      <c r="AV191" s="328"/>
      <c r="AW191" s="328"/>
      <c r="AX191" s="328"/>
      <c r="AY191" s="328"/>
      <c r="AZ191" s="328"/>
      <c r="BA191" s="328"/>
      <c r="BB191" s="328"/>
      <c r="BC191" s="328"/>
    </row>
    <row r="192" spans="6:55">
      <c r="F192" s="325"/>
      <c r="G192" s="325"/>
      <c r="H192" s="325"/>
      <c r="I192" s="325"/>
      <c r="J192" s="325"/>
      <c r="K192" s="325"/>
      <c r="L192" s="326"/>
      <c r="M192" s="326"/>
      <c r="N192" s="326"/>
      <c r="O192" s="326"/>
      <c r="P192" s="326"/>
      <c r="Q192" s="326"/>
      <c r="R192" s="326"/>
      <c r="S192" s="326"/>
      <c r="T192" s="326"/>
      <c r="U192" s="326"/>
      <c r="V192" s="326"/>
      <c r="W192" s="326"/>
      <c r="X192" s="326"/>
      <c r="Y192" s="326"/>
      <c r="Z192" s="326"/>
      <c r="AA192" s="326"/>
      <c r="AB192" s="326"/>
      <c r="AC192" s="326"/>
      <c r="AD192" s="325"/>
      <c r="AE192" s="325"/>
      <c r="AF192" s="327"/>
      <c r="AG192" s="327"/>
      <c r="AH192" s="327"/>
      <c r="AI192" s="327"/>
      <c r="AJ192" s="327"/>
      <c r="AK192" s="327"/>
      <c r="AL192" s="328"/>
      <c r="AM192" s="367">
        <v>3475</v>
      </c>
      <c r="AN192" s="367">
        <v>21.541446271600002</v>
      </c>
      <c r="AO192" s="367">
        <v>82.285714285714278</v>
      </c>
      <c r="AP192" s="372">
        <v>0.70264414846545675</v>
      </c>
      <c r="AQ192" s="372">
        <v>0.82285714285714273</v>
      </c>
      <c r="AR192" s="328"/>
      <c r="AS192" s="328"/>
      <c r="AT192" s="328"/>
      <c r="AU192" s="328"/>
      <c r="AV192" s="328"/>
      <c r="AW192" s="328"/>
      <c r="AX192" s="328"/>
      <c r="AY192" s="328"/>
      <c r="AZ192" s="328"/>
      <c r="BA192" s="328"/>
      <c r="BB192" s="328"/>
      <c r="BC192" s="328"/>
    </row>
    <row r="193" spans="6:55">
      <c r="F193" s="325"/>
      <c r="G193" s="325"/>
      <c r="H193" s="325"/>
      <c r="I193" s="325"/>
      <c r="J193" s="325"/>
      <c r="K193" s="325"/>
      <c r="L193" s="326"/>
      <c r="M193" s="326"/>
      <c r="N193" s="326"/>
      <c r="O193" s="326"/>
      <c r="P193" s="326"/>
      <c r="Q193" s="326"/>
      <c r="R193" s="326"/>
      <c r="S193" s="326"/>
      <c r="T193" s="326"/>
      <c r="U193" s="326"/>
      <c r="V193" s="326"/>
      <c r="W193" s="326"/>
      <c r="X193" s="326"/>
      <c r="Y193" s="326"/>
      <c r="Z193" s="326"/>
      <c r="AA193" s="326"/>
      <c r="AB193" s="326"/>
      <c r="AC193" s="326"/>
      <c r="AD193" s="325"/>
      <c r="AE193" s="325"/>
      <c r="AF193" s="327"/>
      <c r="AG193" s="327"/>
      <c r="AH193" s="327"/>
      <c r="AI193" s="327"/>
      <c r="AJ193" s="327"/>
      <c r="AK193" s="327"/>
      <c r="AL193" s="328"/>
      <c r="AM193" s="367">
        <v>3476</v>
      </c>
      <c r="AN193" s="367">
        <v>67.135409467900004</v>
      </c>
      <c r="AO193" s="367">
        <v>85.780495020214971</v>
      </c>
      <c r="AP193" s="372">
        <v>0.93052277652056414</v>
      </c>
      <c r="AQ193" s="372">
        <v>0.85780495020214975</v>
      </c>
      <c r="AR193" s="328"/>
      <c r="AS193" s="328"/>
      <c r="AT193" s="328"/>
      <c r="AU193" s="328"/>
      <c r="AV193" s="328"/>
      <c r="AW193" s="328"/>
      <c r="AX193" s="328"/>
      <c r="AY193" s="328"/>
      <c r="AZ193" s="328"/>
      <c r="BA193" s="328"/>
      <c r="BB193" s="328"/>
      <c r="BC193" s="328"/>
    </row>
    <row r="194" spans="6:55">
      <c r="F194" s="325"/>
      <c r="G194" s="325"/>
      <c r="H194" s="325"/>
      <c r="I194" s="325"/>
      <c r="J194" s="325"/>
      <c r="K194" s="325"/>
      <c r="L194" s="326"/>
      <c r="M194" s="326"/>
      <c r="N194" s="326"/>
      <c r="O194" s="326"/>
      <c r="P194" s="326"/>
      <c r="Q194" s="326"/>
      <c r="R194" s="326"/>
      <c r="S194" s="326"/>
      <c r="T194" s="326"/>
      <c r="U194" s="326"/>
      <c r="V194" s="326"/>
      <c r="W194" s="326"/>
      <c r="X194" s="326"/>
      <c r="Y194" s="326"/>
      <c r="Z194" s="326"/>
      <c r="AA194" s="326"/>
      <c r="AB194" s="326"/>
      <c r="AC194" s="326"/>
      <c r="AD194" s="325"/>
      <c r="AE194" s="325"/>
      <c r="AF194" s="327"/>
      <c r="AG194" s="327"/>
      <c r="AH194" s="327"/>
      <c r="AI194" s="327"/>
      <c r="AJ194" s="327"/>
      <c r="AK194" s="327"/>
      <c r="AL194" s="328"/>
      <c r="AM194" s="367">
        <v>3477</v>
      </c>
      <c r="AN194" s="367">
        <v>40.185779608600001</v>
      </c>
      <c r="AO194" s="367">
        <v>91.69791108730584</v>
      </c>
      <c r="AP194" s="372">
        <v>0.79582852648378277</v>
      </c>
      <c r="AQ194" s="372">
        <v>0.91697911087305839</v>
      </c>
      <c r="AR194" s="328"/>
      <c r="AS194" s="328"/>
      <c r="AT194" s="328"/>
      <c r="AU194" s="328"/>
      <c r="AV194" s="328"/>
      <c r="AW194" s="328"/>
      <c r="AX194" s="328"/>
      <c r="AY194" s="328"/>
      <c r="AZ194" s="328"/>
      <c r="BA194" s="328"/>
      <c r="BB194" s="328"/>
      <c r="BC194" s="328"/>
    </row>
    <row r="195" spans="6:55">
      <c r="F195" s="325"/>
      <c r="G195" s="325"/>
      <c r="H195" s="325"/>
      <c r="I195" s="325"/>
      <c r="J195" s="325"/>
      <c r="K195" s="325"/>
      <c r="L195" s="326"/>
      <c r="M195" s="326"/>
      <c r="N195" s="326"/>
      <c r="O195" s="326"/>
      <c r="P195" s="326"/>
      <c r="Q195" s="326"/>
      <c r="R195" s="326"/>
      <c r="S195" s="326"/>
      <c r="T195" s="326"/>
      <c r="U195" s="326"/>
      <c r="V195" s="326"/>
      <c r="W195" s="326"/>
      <c r="X195" s="326"/>
      <c r="Y195" s="326"/>
      <c r="Z195" s="326"/>
      <c r="AA195" s="326"/>
      <c r="AB195" s="326"/>
      <c r="AC195" s="326"/>
      <c r="AD195" s="325"/>
      <c r="AE195" s="325"/>
      <c r="AF195" s="327"/>
      <c r="AG195" s="327"/>
      <c r="AH195" s="327"/>
      <c r="AI195" s="327"/>
      <c r="AJ195" s="327"/>
      <c r="AK195" s="327"/>
      <c r="AL195" s="328"/>
      <c r="AM195" s="367">
        <v>3572</v>
      </c>
      <c r="AN195" s="367">
        <v>0</v>
      </c>
      <c r="AO195" s="367">
        <v>0</v>
      </c>
      <c r="AP195" s="372">
        <v>0</v>
      </c>
      <c r="AQ195" s="372">
        <v>0</v>
      </c>
      <c r="AR195" s="328"/>
      <c r="AS195" s="328"/>
      <c r="AT195" s="328"/>
      <c r="AU195" s="328"/>
      <c r="AV195" s="328"/>
      <c r="AW195" s="328"/>
      <c r="AX195" s="328"/>
      <c r="AY195" s="328"/>
      <c r="AZ195" s="328"/>
      <c r="BA195" s="328"/>
      <c r="BB195" s="328"/>
      <c r="BC195" s="328"/>
    </row>
    <row r="196" spans="6:55">
      <c r="F196" s="325"/>
      <c r="G196" s="325"/>
      <c r="H196" s="325"/>
      <c r="I196" s="325"/>
      <c r="J196" s="325"/>
      <c r="K196" s="325"/>
      <c r="L196" s="326"/>
      <c r="M196" s="326"/>
      <c r="N196" s="326"/>
      <c r="O196" s="326"/>
      <c r="P196" s="326"/>
      <c r="Q196" s="326"/>
      <c r="R196" s="326"/>
      <c r="S196" s="326"/>
      <c r="T196" s="326"/>
      <c r="U196" s="326"/>
      <c r="V196" s="326"/>
      <c r="W196" s="326"/>
      <c r="X196" s="326"/>
      <c r="Y196" s="326"/>
      <c r="Z196" s="326"/>
      <c r="AA196" s="326"/>
      <c r="AB196" s="326"/>
      <c r="AC196" s="326"/>
      <c r="AD196" s="325"/>
      <c r="AE196" s="325"/>
      <c r="AF196" s="327"/>
      <c r="AG196" s="327"/>
      <c r="AH196" s="327"/>
      <c r="AI196" s="327"/>
      <c r="AJ196" s="327"/>
      <c r="AK196" s="327"/>
      <c r="AL196" s="328"/>
      <c r="AM196" s="367">
        <v>3573</v>
      </c>
      <c r="AN196" s="367">
        <v>0</v>
      </c>
      <c r="AO196" s="367">
        <v>0</v>
      </c>
      <c r="AP196" s="372">
        <v>0</v>
      </c>
      <c r="AQ196" s="372">
        <v>0</v>
      </c>
      <c r="AR196" s="328"/>
      <c r="AS196" s="328"/>
      <c r="AT196" s="328"/>
      <c r="AU196" s="328"/>
      <c r="AV196" s="328"/>
      <c r="AW196" s="328"/>
      <c r="AX196" s="328"/>
      <c r="AY196" s="328"/>
      <c r="AZ196" s="328"/>
      <c r="BA196" s="328"/>
      <c r="BB196" s="328"/>
      <c r="BC196" s="328"/>
    </row>
    <row r="197" spans="6:55">
      <c r="F197" s="325"/>
      <c r="G197" s="325"/>
      <c r="H197" s="325"/>
      <c r="I197" s="325"/>
      <c r="J197" s="325"/>
      <c r="K197" s="325"/>
      <c r="L197" s="326"/>
      <c r="M197" s="326"/>
      <c r="N197" s="326"/>
      <c r="O197" s="326"/>
      <c r="P197" s="326"/>
      <c r="Q197" s="326"/>
      <c r="R197" s="326"/>
      <c r="S197" s="326"/>
      <c r="T197" s="326"/>
      <c r="U197" s="326"/>
      <c r="V197" s="326"/>
      <c r="W197" s="326"/>
      <c r="X197" s="326"/>
      <c r="Y197" s="326"/>
      <c r="Z197" s="326"/>
      <c r="AA197" s="326"/>
      <c r="AB197" s="326"/>
      <c r="AC197" s="326"/>
      <c r="AD197" s="325"/>
      <c r="AE197" s="325"/>
      <c r="AF197" s="327"/>
      <c r="AG197" s="327"/>
      <c r="AH197" s="327"/>
      <c r="AI197" s="327"/>
      <c r="AJ197" s="327"/>
      <c r="AK197" s="327"/>
      <c r="AL197" s="328"/>
      <c r="AM197" s="367">
        <v>3574</v>
      </c>
      <c r="AN197" s="367">
        <v>7.3985120233700004</v>
      </c>
      <c r="AO197" s="367">
        <v>0</v>
      </c>
      <c r="AP197" s="372">
        <v>0.63195776309280327</v>
      </c>
      <c r="AQ197" s="372">
        <v>0.63195776309280327</v>
      </c>
      <c r="AR197" s="328"/>
      <c r="AS197" s="328"/>
      <c r="AT197" s="328"/>
      <c r="AU197" s="328"/>
      <c r="AV197" s="328"/>
      <c r="AW197" s="328"/>
      <c r="AX197" s="328"/>
      <c r="AY197" s="328"/>
      <c r="AZ197" s="328"/>
      <c r="BA197" s="328"/>
      <c r="BB197" s="328"/>
      <c r="BC197" s="328"/>
    </row>
    <row r="198" spans="6:55">
      <c r="F198" s="325"/>
      <c r="G198" s="325"/>
      <c r="H198" s="325"/>
      <c r="I198" s="325"/>
      <c r="J198" s="325"/>
      <c r="K198" s="325"/>
      <c r="L198" s="326"/>
      <c r="M198" s="326"/>
      <c r="N198" s="326"/>
      <c r="O198" s="326"/>
      <c r="P198" s="326"/>
      <c r="Q198" s="326"/>
      <c r="R198" s="326"/>
      <c r="S198" s="326"/>
      <c r="T198" s="326"/>
      <c r="U198" s="326"/>
      <c r="V198" s="326"/>
      <c r="W198" s="326"/>
      <c r="X198" s="326"/>
      <c r="Y198" s="326"/>
      <c r="Z198" s="326"/>
      <c r="AA198" s="326"/>
      <c r="AB198" s="326"/>
      <c r="AC198" s="326"/>
      <c r="AD198" s="325"/>
      <c r="AE198" s="325"/>
      <c r="AF198" s="327"/>
      <c r="AG198" s="327"/>
      <c r="AH198" s="327"/>
      <c r="AI198" s="327"/>
      <c r="AJ198" s="327"/>
      <c r="AK198" s="327"/>
      <c r="AL198" s="328"/>
      <c r="AM198" s="367">
        <v>3575</v>
      </c>
      <c r="AN198" s="367">
        <v>67.845748989300006</v>
      </c>
      <c r="AO198" s="367">
        <v>90.460526315789465</v>
      </c>
      <c r="AP198" s="372">
        <v>0.93407305344852143</v>
      </c>
      <c r="AQ198" s="372">
        <v>0.90460526315789469</v>
      </c>
      <c r="AR198" s="328"/>
      <c r="AS198" s="328"/>
      <c r="AT198" s="328"/>
      <c r="AU198" s="328"/>
      <c r="AV198" s="328"/>
      <c r="AW198" s="328"/>
      <c r="AX198" s="328"/>
      <c r="AY198" s="328"/>
      <c r="AZ198" s="328"/>
      <c r="BA198" s="328"/>
      <c r="BB198" s="328"/>
      <c r="BC198" s="328"/>
    </row>
    <row r="199" spans="6:55">
      <c r="F199" s="325"/>
      <c r="G199" s="325"/>
      <c r="H199" s="325"/>
      <c r="I199" s="325"/>
      <c r="J199" s="325"/>
      <c r="K199" s="325"/>
      <c r="L199" s="326"/>
      <c r="M199" s="326"/>
      <c r="N199" s="326"/>
      <c r="O199" s="326"/>
      <c r="P199" s="326"/>
      <c r="Q199" s="326"/>
      <c r="R199" s="326"/>
      <c r="S199" s="326"/>
      <c r="T199" s="326"/>
      <c r="U199" s="326"/>
      <c r="V199" s="326"/>
      <c r="W199" s="326"/>
      <c r="X199" s="326"/>
      <c r="Y199" s="326"/>
      <c r="Z199" s="326"/>
      <c r="AA199" s="326"/>
      <c r="AB199" s="326"/>
      <c r="AC199" s="326"/>
      <c r="AD199" s="325"/>
      <c r="AE199" s="325"/>
      <c r="AF199" s="327"/>
      <c r="AG199" s="327"/>
      <c r="AH199" s="327"/>
      <c r="AI199" s="327"/>
      <c r="AJ199" s="327"/>
      <c r="AK199" s="327"/>
      <c r="AL199" s="328"/>
      <c r="AM199" s="367">
        <v>3674</v>
      </c>
      <c r="AN199" s="367">
        <v>0</v>
      </c>
      <c r="AO199" s="367">
        <v>0</v>
      </c>
      <c r="AP199" s="372">
        <v>0</v>
      </c>
      <c r="AQ199" s="372">
        <v>0</v>
      </c>
      <c r="AR199" s="328"/>
      <c r="AS199" s="328"/>
      <c r="AT199" s="328"/>
      <c r="AU199" s="328"/>
      <c r="AV199" s="328"/>
      <c r="AW199" s="328"/>
      <c r="AX199" s="328"/>
      <c r="AY199" s="328"/>
      <c r="AZ199" s="328"/>
      <c r="BA199" s="328"/>
      <c r="BB199" s="328"/>
      <c r="BC199" s="328"/>
    </row>
    <row r="200" spans="6:55">
      <c r="F200" s="325"/>
      <c r="G200" s="325"/>
      <c r="H200" s="325"/>
      <c r="I200" s="325"/>
      <c r="J200" s="325"/>
      <c r="K200" s="325"/>
      <c r="L200" s="326"/>
      <c r="M200" s="326"/>
      <c r="N200" s="326"/>
      <c r="O200" s="326"/>
      <c r="P200" s="326"/>
      <c r="Q200" s="326"/>
      <c r="R200" s="326"/>
      <c r="S200" s="326"/>
      <c r="T200" s="326"/>
      <c r="U200" s="326"/>
      <c r="V200" s="326"/>
      <c r="W200" s="326"/>
      <c r="X200" s="326"/>
      <c r="Y200" s="326"/>
      <c r="Z200" s="326"/>
      <c r="AA200" s="326"/>
      <c r="AB200" s="326"/>
      <c r="AC200" s="326"/>
      <c r="AD200" s="325"/>
      <c r="AE200" s="325"/>
      <c r="AF200" s="327"/>
      <c r="AG200" s="327"/>
      <c r="AH200" s="327"/>
      <c r="AI200" s="327"/>
      <c r="AJ200" s="327"/>
      <c r="AK200" s="327"/>
      <c r="AL200" s="328"/>
      <c r="AM200" s="367">
        <v>3675</v>
      </c>
      <c r="AN200" s="367">
        <v>0</v>
      </c>
      <c r="AO200" s="367">
        <v>0</v>
      </c>
      <c r="AP200" s="372">
        <v>0</v>
      </c>
      <c r="AQ200" s="372">
        <v>0</v>
      </c>
      <c r="AR200" s="328"/>
      <c r="AS200" s="328"/>
      <c r="AT200" s="328"/>
      <c r="AU200" s="328"/>
      <c r="AV200" s="328"/>
      <c r="AW200" s="328"/>
      <c r="AX200" s="328"/>
      <c r="AY200" s="328"/>
      <c r="AZ200" s="328"/>
      <c r="BA200" s="328"/>
      <c r="BB200" s="328"/>
      <c r="BC200" s="328"/>
    </row>
    <row r="201" spans="6:55">
      <c r="F201" s="325"/>
      <c r="G201" s="325"/>
      <c r="H201" s="325"/>
      <c r="I201" s="325"/>
      <c r="J201" s="325"/>
      <c r="K201" s="325"/>
      <c r="L201" s="326"/>
      <c r="M201" s="326"/>
      <c r="N201" s="326"/>
      <c r="O201" s="326"/>
      <c r="P201" s="326"/>
      <c r="Q201" s="326"/>
      <c r="R201" s="326"/>
      <c r="S201" s="326"/>
      <c r="T201" s="326"/>
      <c r="U201" s="326"/>
      <c r="V201" s="326"/>
      <c r="W201" s="326"/>
      <c r="X201" s="326"/>
      <c r="Y201" s="326"/>
      <c r="Z201" s="326"/>
      <c r="AA201" s="326"/>
      <c r="AB201" s="326"/>
      <c r="AC201" s="326"/>
      <c r="AD201" s="325"/>
      <c r="AE201" s="325"/>
      <c r="AF201" s="327"/>
      <c r="AG201" s="327"/>
      <c r="AH201" s="327"/>
      <c r="AI201" s="327"/>
      <c r="AJ201" s="327"/>
      <c r="AK201" s="327"/>
      <c r="AL201" s="328"/>
      <c r="AM201" s="329"/>
      <c r="AN201" s="329"/>
      <c r="AO201" s="329"/>
      <c r="AP201" s="329"/>
      <c r="AQ201" s="329"/>
      <c r="AR201" s="328"/>
      <c r="AS201" s="328"/>
      <c r="AT201" s="328"/>
      <c r="AU201" s="328"/>
      <c r="AV201" s="328"/>
      <c r="AW201" s="328"/>
      <c r="AX201" s="328"/>
      <c r="AY201" s="328"/>
      <c r="AZ201" s="328"/>
      <c r="BA201" s="328"/>
      <c r="BB201" s="328"/>
      <c r="BC201" s="328"/>
    </row>
    <row r="202" spans="6:55">
      <c r="F202" s="325"/>
      <c r="G202" s="325"/>
      <c r="H202" s="325"/>
      <c r="I202" s="325"/>
      <c r="J202" s="325"/>
      <c r="K202" s="325"/>
      <c r="L202" s="326"/>
      <c r="M202" s="326"/>
      <c r="N202" s="326"/>
      <c r="O202" s="326"/>
      <c r="P202" s="326"/>
      <c r="Q202" s="326"/>
      <c r="R202" s="326"/>
      <c r="S202" s="326"/>
      <c r="T202" s="326"/>
      <c r="U202" s="326"/>
      <c r="V202" s="326"/>
      <c r="W202" s="326"/>
      <c r="X202" s="326"/>
      <c r="Y202" s="326"/>
      <c r="Z202" s="326"/>
      <c r="AA202" s="326"/>
      <c r="AB202" s="326"/>
      <c r="AC202" s="326"/>
      <c r="AD202" s="325"/>
      <c r="AE202" s="325"/>
      <c r="AF202" s="327"/>
      <c r="AG202" s="327"/>
      <c r="AH202" s="327"/>
      <c r="AI202" s="327"/>
      <c r="AJ202" s="327"/>
      <c r="AK202" s="327"/>
      <c r="AL202" s="328"/>
      <c r="AM202" s="329"/>
      <c r="AN202" s="329"/>
      <c r="AO202" s="329"/>
      <c r="AP202" s="329"/>
      <c r="AQ202" s="329"/>
      <c r="AR202" s="328"/>
      <c r="AS202" s="328"/>
      <c r="AT202" s="328"/>
      <c r="AU202" s="328"/>
      <c r="AV202" s="328"/>
      <c r="AW202" s="328"/>
      <c r="AX202" s="328"/>
      <c r="AY202" s="328"/>
      <c r="AZ202" s="328"/>
      <c r="BA202" s="328"/>
      <c r="BB202" s="328"/>
      <c r="BC202" s="328"/>
    </row>
    <row r="203" spans="6:55">
      <c r="F203" s="325"/>
      <c r="G203" s="325"/>
      <c r="H203" s="325"/>
      <c r="I203" s="325"/>
      <c r="J203" s="325"/>
      <c r="K203" s="325"/>
      <c r="L203" s="326"/>
      <c r="M203" s="326"/>
      <c r="N203" s="326"/>
      <c r="O203" s="326"/>
      <c r="P203" s="326"/>
      <c r="Q203" s="326"/>
      <c r="R203" s="326"/>
      <c r="S203" s="326"/>
      <c r="T203" s="326"/>
      <c r="U203" s="326"/>
      <c r="V203" s="326"/>
      <c r="W203" s="326"/>
      <c r="X203" s="326"/>
      <c r="Y203" s="326"/>
      <c r="Z203" s="326"/>
      <c r="AA203" s="326"/>
      <c r="AB203" s="326"/>
      <c r="AC203" s="326"/>
      <c r="AD203" s="325"/>
      <c r="AE203" s="325"/>
      <c r="AF203" s="327"/>
      <c r="AG203" s="327"/>
      <c r="AH203" s="327"/>
      <c r="AI203" s="327"/>
      <c r="AJ203" s="327"/>
      <c r="AK203" s="327"/>
      <c r="AL203" s="328"/>
      <c r="AM203" s="329"/>
      <c r="AN203" s="329"/>
      <c r="AO203" s="329"/>
      <c r="AP203" s="329"/>
      <c r="AQ203" s="329"/>
      <c r="AR203" s="328"/>
      <c r="AS203" s="328"/>
      <c r="AT203" s="328"/>
      <c r="AU203" s="328"/>
      <c r="AV203" s="328"/>
      <c r="AW203" s="328"/>
      <c r="AX203" s="328"/>
      <c r="AY203" s="328"/>
      <c r="AZ203" s="328"/>
      <c r="BA203" s="328"/>
      <c r="BB203" s="328"/>
      <c r="BC203" s="328"/>
    </row>
    <row r="204" spans="6:55">
      <c r="F204" s="325"/>
      <c r="G204" s="325"/>
      <c r="H204" s="325"/>
      <c r="I204" s="325"/>
      <c r="J204" s="325"/>
      <c r="K204" s="325"/>
      <c r="L204" s="326"/>
      <c r="M204" s="326"/>
      <c r="N204" s="326"/>
      <c r="O204" s="326"/>
      <c r="P204" s="326"/>
      <c r="Q204" s="326"/>
      <c r="R204" s="326"/>
      <c r="S204" s="326"/>
      <c r="T204" s="326"/>
      <c r="U204" s="326"/>
      <c r="V204" s="326"/>
      <c r="W204" s="326"/>
      <c r="X204" s="326"/>
      <c r="Y204" s="326"/>
      <c r="Z204" s="326"/>
      <c r="AA204" s="326"/>
      <c r="AB204" s="326"/>
      <c r="AC204" s="326"/>
      <c r="AD204" s="325"/>
      <c r="AE204" s="325"/>
      <c r="AF204" s="327"/>
      <c r="AG204" s="327"/>
      <c r="AH204" s="327"/>
      <c r="AI204" s="327"/>
      <c r="AJ204" s="327"/>
      <c r="AK204" s="327"/>
      <c r="AL204" s="328"/>
      <c r="AM204" s="329"/>
      <c r="AN204" s="329"/>
      <c r="AO204" s="329"/>
      <c r="AP204" s="329"/>
      <c r="AQ204" s="329"/>
      <c r="AR204" s="328"/>
      <c r="AS204" s="328"/>
      <c r="AT204" s="328"/>
      <c r="AU204" s="328"/>
      <c r="AV204" s="328"/>
      <c r="AW204" s="328"/>
      <c r="AX204" s="328"/>
      <c r="AY204" s="328"/>
      <c r="AZ204" s="328"/>
      <c r="BA204" s="328"/>
      <c r="BB204" s="328"/>
      <c r="BC204" s="328"/>
    </row>
    <row r="205" spans="6:55">
      <c r="F205" s="325"/>
      <c r="G205" s="325"/>
      <c r="H205" s="325"/>
      <c r="I205" s="325"/>
      <c r="J205" s="325"/>
      <c r="K205" s="325"/>
      <c r="L205" s="326"/>
      <c r="M205" s="326"/>
      <c r="N205" s="326"/>
      <c r="O205" s="326"/>
      <c r="P205" s="326"/>
      <c r="Q205" s="326"/>
      <c r="R205" s="326"/>
      <c r="S205" s="326"/>
      <c r="T205" s="326"/>
      <c r="U205" s="326"/>
      <c r="V205" s="326"/>
      <c r="W205" s="326"/>
      <c r="X205" s="326"/>
      <c r="Y205" s="326"/>
      <c r="Z205" s="326"/>
      <c r="AA205" s="326"/>
      <c r="AB205" s="326"/>
      <c r="AC205" s="326"/>
      <c r="AD205" s="325"/>
      <c r="AE205" s="325"/>
      <c r="AF205" s="327"/>
      <c r="AG205" s="327"/>
      <c r="AH205" s="327"/>
      <c r="AI205" s="327"/>
      <c r="AJ205" s="327"/>
      <c r="AK205" s="327"/>
      <c r="AL205" s="328"/>
      <c r="AM205" s="329"/>
      <c r="AN205" s="329"/>
      <c r="AO205" s="329"/>
      <c r="AP205" s="329"/>
      <c r="AQ205" s="329"/>
      <c r="AR205" s="328"/>
      <c r="AS205" s="328"/>
      <c r="AT205" s="328"/>
      <c r="AU205" s="328"/>
      <c r="AV205" s="328"/>
      <c r="AW205" s="328"/>
      <c r="AX205" s="328"/>
      <c r="AY205" s="328"/>
      <c r="AZ205" s="328"/>
      <c r="BA205" s="328"/>
      <c r="BB205" s="328"/>
      <c r="BC205" s="328"/>
    </row>
    <row r="206" spans="6:55">
      <c r="F206" s="325"/>
      <c r="G206" s="325"/>
      <c r="H206" s="325"/>
      <c r="I206" s="325"/>
      <c r="J206" s="325"/>
      <c r="K206" s="325"/>
      <c r="L206" s="326"/>
      <c r="M206" s="326"/>
      <c r="N206" s="326"/>
      <c r="O206" s="326"/>
      <c r="P206" s="326"/>
      <c r="Q206" s="326"/>
      <c r="R206" s="326"/>
      <c r="S206" s="326"/>
      <c r="T206" s="326"/>
      <c r="U206" s="326"/>
      <c r="V206" s="326"/>
      <c r="W206" s="326"/>
      <c r="X206" s="326"/>
      <c r="Y206" s="326"/>
      <c r="Z206" s="326"/>
      <c r="AA206" s="326"/>
      <c r="AB206" s="326"/>
      <c r="AC206" s="326"/>
      <c r="AD206" s="325"/>
      <c r="AE206" s="325"/>
      <c r="AF206" s="327"/>
      <c r="AG206" s="327"/>
      <c r="AH206" s="327"/>
      <c r="AI206" s="327"/>
      <c r="AJ206" s="327"/>
      <c r="AK206" s="327"/>
      <c r="AL206" s="328"/>
      <c r="AM206" s="329"/>
      <c r="AN206" s="329"/>
      <c r="AO206" s="329"/>
      <c r="AP206" s="329"/>
      <c r="AQ206" s="329"/>
      <c r="AR206" s="328"/>
      <c r="AS206" s="328"/>
      <c r="AT206" s="328"/>
      <c r="AU206" s="328"/>
      <c r="AV206" s="328"/>
      <c r="AW206" s="328"/>
      <c r="AX206" s="328"/>
      <c r="AY206" s="328"/>
      <c r="AZ206" s="328"/>
      <c r="BA206" s="328"/>
      <c r="BB206" s="328"/>
      <c r="BC206" s="328"/>
    </row>
    <row r="207" spans="6:55">
      <c r="F207" s="325"/>
      <c r="G207" s="325"/>
      <c r="H207" s="325"/>
      <c r="I207" s="325"/>
      <c r="J207" s="325"/>
      <c r="K207" s="325"/>
      <c r="L207" s="326"/>
      <c r="M207" s="326"/>
      <c r="N207" s="326"/>
      <c r="O207" s="326"/>
      <c r="P207" s="326"/>
      <c r="Q207" s="326"/>
      <c r="R207" s="326"/>
      <c r="S207" s="326"/>
      <c r="T207" s="326"/>
      <c r="U207" s="326"/>
      <c r="V207" s="326"/>
      <c r="W207" s="326"/>
      <c r="X207" s="326"/>
      <c r="Y207" s="326"/>
      <c r="Z207" s="326"/>
      <c r="AA207" s="326"/>
      <c r="AB207" s="326"/>
      <c r="AC207" s="326"/>
      <c r="AD207" s="325"/>
      <c r="AE207" s="325"/>
      <c r="AF207" s="327"/>
      <c r="AG207" s="327"/>
      <c r="AH207" s="327"/>
      <c r="AI207" s="327"/>
      <c r="AJ207" s="327"/>
      <c r="AK207" s="327"/>
      <c r="AL207" s="328"/>
      <c r="AM207" s="329"/>
      <c r="AN207" s="329"/>
      <c r="AO207" s="329"/>
      <c r="AP207" s="329"/>
      <c r="AQ207" s="329"/>
      <c r="AR207" s="328"/>
      <c r="AS207" s="328"/>
      <c r="AT207" s="328"/>
      <c r="AU207" s="328"/>
      <c r="AV207" s="328"/>
      <c r="AW207" s="328"/>
      <c r="AX207" s="328"/>
      <c r="AY207" s="328"/>
      <c r="AZ207" s="328"/>
      <c r="BA207" s="328"/>
      <c r="BB207" s="328"/>
      <c r="BC207" s="328"/>
    </row>
    <row r="208" spans="6:55">
      <c r="F208" s="325"/>
      <c r="G208" s="325"/>
      <c r="H208" s="325"/>
      <c r="I208" s="325"/>
      <c r="J208" s="325"/>
      <c r="K208" s="325"/>
      <c r="L208" s="326"/>
      <c r="M208" s="326"/>
      <c r="N208" s="326"/>
      <c r="O208" s="326"/>
      <c r="P208" s="326"/>
      <c r="Q208" s="326"/>
      <c r="R208" s="326"/>
      <c r="S208" s="326"/>
      <c r="T208" s="326"/>
      <c r="U208" s="326"/>
      <c r="V208" s="326"/>
      <c r="W208" s="326"/>
      <c r="X208" s="326"/>
      <c r="Y208" s="326"/>
      <c r="Z208" s="326"/>
      <c r="AA208" s="326"/>
      <c r="AB208" s="326"/>
      <c r="AC208" s="326"/>
      <c r="AD208" s="325"/>
      <c r="AE208" s="325"/>
      <c r="AF208" s="327"/>
      <c r="AG208" s="327"/>
      <c r="AH208" s="327"/>
      <c r="AI208" s="327"/>
      <c r="AJ208" s="327"/>
      <c r="AK208" s="327"/>
      <c r="AL208" s="328"/>
      <c r="AM208" s="329"/>
      <c r="AN208" s="329"/>
      <c r="AO208" s="329"/>
      <c r="AP208" s="329"/>
      <c r="AQ208" s="329"/>
      <c r="AR208" s="328"/>
      <c r="AS208" s="328"/>
      <c r="AT208" s="328"/>
      <c r="AU208" s="328"/>
      <c r="AV208" s="328"/>
      <c r="AW208" s="328"/>
      <c r="AX208" s="328"/>
      <c r="AY208" s="328"/>
      <c r="AZ208" s="328"/>
      <c r="BA208" s="328"/>
      <c r="BB208" s="328"/>
      <c r="BC208" s="328"/>
    </row>
    <row r="209" spans="6:55">
      <c r="F209" s="325"/>
      <c r="G209" s="325"/>
      <c r="H209" s="325"/>
      <c r="I209" s="325"/>
      <c r="J209" s="325"/>
      <c r="K209" s="325"/>
      <c r="L209" s="326"/>
      <c r="M209" s="326"/>
      <c r="N209" s="326"/>
      <c r="O209" s="326"/>
      <c r="P209" s="326"/>
      <c r="Q209" s="326"/>
      <c r="R209" s="326"/>
      <c r="S209" s="326"/>
      <c r="T209" s="326"/>
      <c r="U209" s="326"/>
      <c r="V209" s="326"/>
      <c r="W209" s="326"/>
      <c r="X209" s="326"/>
      <c r="Y209" s="326"/>
      <c r="Z209" s="326"/>
      <c r="AA209" s="326"/>
      <c r="AB209" s="326"/>
      <c r="AC209" s="326"/>
      <c r="AD209" s="325"/>
      <c r="AE209" s="325"/>
      <c r="AF209" s="327"/>
      <c r="AG209" s="327"/>
      <c r="AH209" s="327"/>
      <c r="AI209" s="327"/>
      <c r="AJ209" s="327"/>
      <c r="AK209" s="327"/>
      <c r="AL209" s="328"/>
      <c r="AM209" s="329"/>
      <c r="AN209" s="329"/>
      <c r="AO209" s="329"/>
      <c r="AP209" s="329"/>
      <c r="AQ209" s="329"/>
      <c r="AR209" s="328"/>
      <c r="AS209" s="328"/>
      <c r="AT209" s="328"/>
      <c r="AU209" s="328"/>
      <c r="AV209" s="328"/>
      <c r="AW209" s="328"/>
      <c r="AX209" s="328"/>
      <c r="AY209" s="328"/>
      <c r="AZ209" s="328"/>
      <c r="BA209" s="328"/>
      <c r="BB209" s="328"/>
      <c r="BC209" s="328"/>
    </row>
    <row r="210" spans="6:55">
      <c r="F210" s="325"/>
      <c r="G210" s="325"/>
      <c r="H210" s="325"/>
      <c r="I210" s="325"/>
      <c r="J210" s="325"/>
      <c r="K210" s="325"/>
      <c r="L210" s="326"/>
      <c r="M210" s="326"/>
      <c r="N210" s="326"/>
      <c r="O210" s="326"/>
      <c r="P210" s="326"/>
      <c r="Q210" s="326"/>
      <c r="R210" s="326"/>
      <c r="S210" s="326"/>
      <c r="T210" s="326"/>
      <c r="U210" s="326"/>
      <c r="V210" s="326"/>
      <c r="W210" s="326"/>
      <c r="X210" s="326"/>
      <c r="Y210" s="326"/>
      <c r="Z210" s="326"/>
      <c r="AA210" s="326"/>
      <c r="AB210" s="326"/>
      <c r="AC210" s="326"/>
      <c r="AD210" s="325"/>
      <c r="AE210" s="325"/>
      <c r="AF210" s="327"/>
      <c r="AG210" s="327"/>
      <c r="AH210" s="327"/>
      <c r="AI210" s="327"/>
      <c r="AJ210" s="327"/>
      <c r="AK210" s="327"/>
      <c r="AL210" s="328"/>
      <c r="AM210" s="329"/>
      <c r="AN210" s="329"/>
      <c r="AO210" s="329"/>
      <c r="AP210" s="329"/>
      <c r="AQ210" s="329"/>
      <c r="AR210" s="328"/>
      <c r="AS210" s="328"/>
      <c r="AT210" s="328"/>
      <c r="AU210" s="328"/>
      <c r="AV210" s="328"/>
      <c r="AW210" s="328"/>
      <c r="AX210" s="328"/>
      <c r="AY210" s="328"/>
      <c r="AZ210" s="328"/>
      <c r="BA210" s="328"/>
      <c r="BB210" s="328"/>
      <c r="BC210" s="328"/>
    </row>
    <row r="211" spans="6:55">
      <c r="F211" s="325"/>
      <c r="G211" s="325"/>
      <c r="H211" s="325"/>
      <c r="I211" s="325"/>
      <c r="J211" s="325"/>
      <c r="K211" s="325"/>
      <c r="L211" s="326"/>
      <c r="M211" s="326"/>
      <c r="N211" s="326"/>
      <c r="O211" s="326"/>
      <c r="P211" s="326"/>
      <c r="Q211" s="326"/>
      <c r="R211" s="326"/>
      <c r="S211" s="326"/>
      <c r="T211" s="326"/>
      <c r="U211" s="326"/>
      <c r="V211" s="326"/>
      <c r="W211" s="326"/>
      <c r="X211" s="326"/>
      <c r="Y211" s="326"/>
      <c r="Z211" s="326"/>
      <c r="AA211" s="326"/>
      <c r="AB211" s="326"/>
      <c r="AC211" s="326"/>
      <c r="AD211" s="325"/>
      <c r="AE211" s="325"/>
      <c r="AF211" s="327"/>
      <c r="AG211" s="327"/>
      <c r="AH211" s="327"/>
      <c r="AI211" s="327"/>
      <c r="AJ211" s="327"/>
      <c r="AK211" s="327"/>
      <c r="AL211" s="328"/>
      <c r="AM211" s="329"/>
      <c r="AN211" s="329"/>
      <c r="AO211" s="329"/>
      <c r="AP211" s="329"/>
      <c r="AQ211" s="329"/>
      <c r="AR211" s="328"/>
      <c r="AS211" s="328"/>
      <c r="AT211" s="328"/>
      <c r="AU211" s="328"/>
      <c r="AV211" s="328"/>
      <c r="AW211" s="328"/>
      <c r="AX211" s="328"/>
      <c r="AY211" s="328"/>
      <c r="AZ211" s="328"/>
      <c r="BA211" s="328"/>
      <c r="BB211" s="328"/>
      <c r="BC211" s="328"/>
    </row>
    <row r="212" spans="6:55">
      <c r="F212" s="325"/>
      <c r="G212" s="325"/>
      <c r="H212" s="325"/>
      <c r="I212" s="325"/>
      <c r="J212" s="325"/>
      <c r="K212" s="325"/>
      <c r="L212" s="326"/>
      <c r="M212" s="326"/>
      <c r="N212" s="326"/>
      <c r="O212" s="326"/>
      <c r="P212" s="326"/>
      <c r="Q212" s="326"/>
      <c r="R212" s="326"/>
      <c r="S212" s="326"/>
      <c r="T212" s="326"/>
      <c r="U212" s="326"/>
      <c r="V212" s="326"/>
      <c r="W212" s="326"/>
      <c r="X212" s="326"/>
      <c r="Y212" s="326"/>
      <c r="Z212" s="326"/>
      <c r="AA212" s="326"/>
      <c r="AB212" s="326"/>
      <c r="AC212" s="326"/>
      <c r="AD212" s="325"/>
      <c r="AE212" s="325"/>
      <c r="AF212" s="327"/>
      <c r="AG212" s="327"/>
      <c r="AH212" s="327"/>
      <c r="AI212" s="327"/>
      <c r="AJ212" s="327"/>
      <c r="AK212" s="327"/>
      <c r="AL212" s="328"/>
      <c r="AM212" s="329"/>
      <c r="AN212" s="329"/>
      <c r="AO212" s="329"/>
      <c r="AP212" s="329"/>
      <c r="AQ212" s="329"/>
      <c r="AR212" s="328"/>
      <c r="AS212" s="328"/>
      <c r="AT212" s="328"/>
      <c r="AU212" s="328"/>
      <c r="AV212" s="328"/>
      <c r="AW212" s="328"/>
      <c r="AX212" s="328"/>
      <c r="AY212" s="328"/>
      <c r="AZ212" s="328"/>
      <c r="BA212" s="328"/>
      <c r="BB212" s="328"/>
      <c r="BC212" s="328"/>
    </row>
    <row r="213" spans="6:55">
      <c r="F213" s="325"/>
      <c r="G213" s="325"/>
      <c r="H213" s="325"/>
      <c r="I213" s="325"/>
      <c r="J213" s="325"/>
      <c r="K213" s="325"/>
      <c r="L213" s="326"/>
      <c r="M213" s="326"/>
      <c r="N213" s="326"/>
      <c r="O213" s="326"/>
      <c r="P213" s="326"/>
      <c r="Q213" s="326"/>
      <c r="R213" s="326"/>
      <c r="S213" s="326"/>
      <c r="T213" s="326"/>
      <c r="U213" s="326"/>
      <c r="V213" s="326"/>
      <c r="W213" s="326"/>
      <c r="X213" s="326"/>
      <c r="Y213" s="326"/>
      <c r="Z213" s="326"/>
      <c r="AA213" s="326"/>
      <c r="AB213" s="326"/>
      <c r="AC213" s="326"/>
      <c r="AD213" s="325"/>
      <c r="AE213" s="325"/>
      <c r="AF213" s="327"/>
      <c r="AG213" s="327"/>
      <c r="AH213" s="327"/>
      <c r="AI213" s="327"/>
      <c r="AJ213" s="327"/>
      <c r="AK213" s="327"/>
      <c r="AL213" s="328"/>
      <c r="AM213" s="329"/>
      <c r="AN213" s="329"/>
      <c r="AO213" s="329"/>
      <c r="AP213" s="329"/>
      <c r="AQ213" s="329"/>
      <c r="AR213" s="328"/>
      <c r="AS213" s="328"/>
      <c r="AT213" s="328"/>
      <c r="AU213" s="328"/>
      <c r="AV213" s="328"/>
      <c r="AW213" s="328"/>
      <c r="AX213" s="328"/>
      <c r="AY213" s="328"/>
      <c r="AZ213" s="328"/>
      <c r="BA213" s="328"/>
      <c r="BB213" s="328"/>
      <c r="BC213" s="328"/>
    </row>
    <row r="214" spans="6:55">
      <c r="F214" s="145"/>
      <c r="G214" s="145"/>
      <c r="H214" s="145"/>
      <c r="I214" s="145"/>
      <c r="J214" s="145"/>
      <c r="K214" s="145"/>
      <c r="L214" s="145"/>
      <c r="M214" s="145"/>
      <c r="N214" s="145"/>
      <c r="O214" s="145"/>
      <c r="P214" s="145"/>
      <c r="Q214" s="145"/>
      <c r="R214" s="317"/>
      <c r="S214" s="145"/>
      <c r="T214" s="145"/>
      <c r="U214" s="145"/>
      <c r="X214" s="145"/>
      <c r="Y214" s="145"/>
      <c r="Z214" s="145"/>
      <c r="AF214" s="327"/>
      <c r="AG214" s="327"/>
      <c r="AH214" s="327"/>
      <c r="AI214" s="327"/>
      <c r="AJ214" s="327"/>
      <c r="AK214" s="327"/>
      <c r="AL214" s="328"/>
      <c r="AM214" s="329"/>
      <c r="AN214" s="329"/>
      <c r="AO214" s="329"/>
      <c r="AP214" s="329"/>
      <c r="AQ214" s="329"/>
      <c r="AR214" s="328"/>
      <c r="AS214" s="328"/>
      <c r="AT214" s="328"/>
      <c r="AU214" s="328"/>
      <c r="AV214" s="328"/>
      <c r="AW214" s="328"/>
      <c r="AX214" s="328"/>
      <c r="AY214" s="328"/>
      <c r="AZ214" s="328"/>
      <c r="BA214" s="328"/>
      <c r="BB214" s="328"/>
      <c r="BC214" s="328"/>
    </row>
    <row r="215" spans="6:55">
      <c r="F215" s="145"/>
      <c r="G215" s="145"/>
      <c r="H215" s="145"/>
      <c r="I215" s="145"/>
      <c r="J215" s="145"/>
      <c r="K215" s="145"/>
      <c r="L215" s="145"/>
      <c r="M215" s="145"/>
      <c r="N215" s="145"/>
      <c r="O215" s="145"/>
      <c r="P215" s="145"/>
      <c r="Q215" s="145"/>
      <c r="R215" s="317"/>
      <c r="S215" s="145"/>
      <c r="T215" s="145"/>
      <c r="U215" s="145"/>
      <c r="X215" s="145"/>
      <c r="Y215" s="145"/>
      <c r="Z215" s="145"/>
      <c r="AF215" s="327"/>
      <c r="AG215" s="327"/>
      <c r="AH215" s="327"/>
      <c r="AI215" s="327"/>
      <c r="AJ215" s="327"/>
      <c r="AK215" s="327"/>
      <c r="AL215" s="328"/>
      <c r="AM215" s="329"/>
      <c r="AN215" s="329"/>
      <c r="AO215" s="329"/>
      <c r="AP215" s="329"/>
      <c r="AQ215" s="329"/>
      <c r="AR215" s="328"/>
      <c r="AS215" s="328"/>
      <c r="AT215" s="328"/>
      <c r="AU215" s="328"/>
      <c r="AV215" s="328"/>
      <c r="AW215" s="328"/>
      <c r="AX215" s="328"/>
      <c r="AY215" s="328"/>
      <c r="AZ215" s="328"/>
      <c r="BA215" s="328"/>
      <c r="BB215" s="328"/>
      <c r="BC215" s="328"/>
    </row>
    <row r="216" spans="6:55">
      <c r="F216" s="145"/>
      <c r="G216" s="145"/>
      <c r="H216" s="145"/>
      <c r="I216" s="145"/>
      <c r="J216" s="145"/>
      <c r="K216" s="145"/>
      <c r="L216" s="145"/>
      <c r="M216" s="145"/>
      <c r="N216" s="145"/>
      <c r="O216" s="145"/>
      <c r="P216" s="145"/>
      <c r="Q216" s="145"/>
      <c r="R216" s="317"/>
      <c r="S216" s="145"/>
      <c r="T216" s="145"/>
      <c r="U216" s="145"/>
      <c r="X216" s="145"/>
      <c r="Y216" s="145"/>
      <c r="Z216" s="145"/>
      <c r="AF216" s="327"/>
      <c r="AG216" s="327"/>
      <c r="AH216" s="327"/>
      <c r="AI216" s="327"/>
      <c r="AJ216" s="327"/>
      <c r="AK216" s="327"/>
      <c r="AL216" s="328"/>
      <c r="AM216" s="329"/>
      <c r="AN216" s="329"/>
      <c r="AO216" s="329"/>
      <c r="AP216" s="329"/>
      <c r="AQ216" s="329"/>
      <c r="AR216" s="328"/>
      <c r="AS216" s="328"/>
      <c r="AT216" s="328"/>
      <c r="AU216" s="328"/>
      <c r="AV216" s="328"/>
      <c r="AW216" s="328"/>
      <c r="AX216" s="328"/>
      <c r="AY216" s="328"/>
      <c r="AZ216" s="328"/>
      <c r="BA216" s="328"/>
      <c r="BB216" s="328"/>
      <c r="BC216" s="328"/>
    </row>
    <row r="217" spans="6:55">
      <c r="F217" s="145"/>
      <c r="G217" s="145"/>
      <c r="H217" s="145"/>
      <c r="I217" s="145"/>
      <c r="J217" s="145"/>
      <c r="K217" s="145"/>
      <c r="L217" s="145"/>
      <c r="M217" s="145"/>
      <c r="N217" s="145"/>
      <c r="O217" s="145"/>
      <c r="P217" s="145"/>
      <c r="Q217" s="145"/>
      <c r="R217" s="317"/>
      <c r="S217" s="145"/>
      <c r="T217" s="145"/>
      <c r="U217" s="145"/>
      <c r="X217" s="145"/>
      <c r="Y217" s="145"/>
      <c r="Z217" s="145"/>
      <c r="AF217" s="327"/>
      <c r="AG217" s="327"/>
      <c r="AH217" s="327"/>
      <c r="AI217" s="327"/>
      <c r="AJ217" s="327"/>
      <c r="AK217" s="327"/>
      <c r="AL217" s="328"/>
      <c r="AM217" s="329"/>
      <c r="AN217" s="329"/>
      <c r="AO217" s="329"/>
      <c r="AP217" s="329"/>
      <c r="AQ217" s="329"/>
      <c r="AR217" s="328"/>
      <c r="AS217" s="328"/>
      <c r="AT217" s="328"/>
      <c r="AU217" s="328"/>
      <c r="AV217" s="328"/>
      <c r="AW217" s="328"/>
      <c r="AX217" s="328"/>
      <c r="AY217" s="328"/>
      <c r="AZ217" s="328"/>
      <c r="BA217" s="328"/>
      <c r="BB217" s="328"/>
      <c r="BC217" s="328"/>
    </row>
    <row r="218" spans="6:55">
      <c r="F218" s="145"/>
      <c r="G218" s="145"/>
      <c r="H218" s="145"/>
      <c r="I218" s="145"/>
      <c r="J218" s="145"/>
      <c r="K218" s="145"/>
      <c r="L218" s="145"/>
      <c r="M218" s="145"/>
      <c r="N218" s="145"/>
      <c r="O218" s="145"/>
      <c r="P218" s="145"/>
      <c r="Q218" s="145"/>
      <c r="R218" s="317"/>
      <c r="S218" s="145"/>
      <c r="T218" s="145"/>
      <c r="U218" s="145"/>
      <c r="X218" s="145"/>
      <c r="Y218" s="145"/>
      <c r="Z218" s="145"/>
      <c r="AF218" s="327"/>
      <c r="AG218" s="327"/>
      <c r="AH218" s="327"/>
      <c r="AI218" s="327"/>
      <c r="AJ218" s="327"/>
      <c r="AK218" s="327"/>
      <c r="AL218" s="328"/>
      <c r="AM218" s="329"/>
      <c r="AN218" s="329"/>
      <c r="AO218" s="329"/>
      <c r="AP218" s="329"/>
      <c r="AQ218" s="329"/>
      <c r="AR218" s="328"/>
      <c r="AS218" s="328"/>
      <c r="AT218" s="328"/>
      <c r="AU218" s="328"/>
      <c r="AV218" s="328"/>
      <c r="AW218" s="328"/>
      <c r="AX218" s="328"/>
      <c r="AY218" s="328"/>
      <c r="AZ218" s="328"/>
      <c r="BA218" s="328"/>
      <c r="BB218" s="328"/>
      <c r="BC218" s="328"/>
    </row>
    <row r="219" spans="6:55">
      <c r="AF219" s="327"/>
      <c r="AG219" s="327"/>
      <c r="AH219" s="327"/>
      <c r="AI219" s="327"/>
      <c r="AJ219" s="327"/>
      <c r="AK219" s="327"/>
      <c r="AL219" s="328"/>
      <c r="AM219" s="329"/>
      <c r="AN219" s="329"/>
      <c r="AO219" s="329"/>
      <c r="AP219" s="329"/>
      <c r="AQ219" s="329"/>
      <c r="AR219" s="328"/>
      <c r="AS219" s="328"/>
      <c r="AT219" s="328"/>
      <c r="AU219" s="328"/>
      <c r="AV219" s="328"/>
      <c r="AW219" s="328"/>
      <c r="AX219" s="328"/>
      <c r="AY219" s="328"/>
      <c r="AZ219" s="328"/>
      <c r="BA219" s="328"/>
      <c r="BB219" s="328"/>
      <c r="BC219" s="328"/>
    </row>
    <row r="220" spans="6:55">
      <c r="AF220" s="327"/>
      <c r="AG220" s="327"/>
      <c r="AH220" s="327"/>
      <c r="AI220" s="327"/>
      <c r="AJ220" s="327"/>
      <c r="AK220" s="327"/>
      <c r="AL220" s="328"/>
      <c r="AM220" s="329"/>
      <c r="AN220" s="329"/>
      <c r="AO220" s="329"/>
      <c r="AP220" s="329"/>
      <c r="AQ220" s="329"/>
      <c r="AR220" s="328"/>
      <c r="AS220" s="328"/>
      <c r="AT220" s="328"/>
      <c r="AU220" s="328"/>
      <c r="AV220" s="328"/>
      <c r="AW220" s="328"/>
      <c r="AX220" s="328"/>
      <c r="AY220" s="328"/>
      <c r="AZ220" s="328"/>
      <c r="BA220" s="328"/>
      <c r="BB220" s="328"/>
      <c r="BC220" s="328"/>
    </row>
    <row r="221" spans="6:55">
      <c r="AF221" s="327"/>
      <c r="AG221" s="327"/>
      <c r="AH221" s="327"/>
      <c r="AI221" s="327"/>
      <c r="AJ221" s="327"/>
      <c r="AK221" s="327"/>
      <c r="AL221" s="328"/>
      <c r="AM221" s="329"/>
      <c r="AN221" s="329"/>
      <c r="AO221" s="329"/>
      <c r="AP221" s="329"/>
      <c r="AQ221" s="329"/>
      <c r="AR221" s="328"/>
      <c r="AS221" s="328"/>
      <c r="AT221" s="328"/>
      <c r="AU221" s="328"/>
      <c r="AV221" s="328"/>
      <c r="AW221" s="328"/>
      <c r="AX221" s="328"/>
      <c r="AY221" s="328"/>
      <c r="AZ221" s="328"/>
      <c r="BA221" s="328"/>
      <c r="BB221" s="328"/>
      <c r="BC221" s="328"/>
    </row>
    <row r="222" spans="6:55">
      <c r="AF222" s="327"/>
      <c r="AG222" s="327"/>
      <c r="AH222" s="327"/>
      <c r="AI222" s="327"/>
      <c r="AJ222" s="327"/>
      <c r="AK222" s="327"/>
      <c r="AL222" s="328"/>
      <c r="AM222" s="329"/>
      <c r="AN222" s="329"/>
      <c r="AO222" s="329"/>
      <c r="AP222" s="329"/>
      <c r="AQ222" s="329"/>
      <c r="AR222" s="328"/>
      <c r="AS222" s="328"/>
      <c r="AT222" s="328"/>
      <c r="AU222" s="328"/>
      <c r="AV222" s="328"/>
      <c r="AW222" s="328"/>
      <c r="AX222" s="328"/>
      <c r="AY222" s="328"/>
      <c r="AZ222" s="328"/>
      <c r="BA222" s="328"/>
      <c r="BB222" s="328"/>
      <c r="BC222" s="328"/>
    </row>
    <row r="223" spans="6:55">
      <c r="AF223" s="327"/>
      <c r="AG223" s="327"/>
      <c r="AH223" s="327"/>
      <c r="AI223" s="327"/>
      <c r="AJ223" s="327"/>
      <c r="AK223" s="327"/>
      <c r="AL223" s="328"/>
      <c r="AM223" s="329"/>
      <c r="AN223" s="329"/>
      <c r="AO223" s="329"/>
      <c r="AP223" s="329"/>
      <c r="AQ223" s="329"/>
      <c r="AR223" s="328"/>
      <c r="AS223" s="328"/>
      <c r="AT223" s="328"/>
      <c r="AU223" s="328"/>
      <c r="AV223" s="328"/>
      <c r="AW223" s="328"/>
      <c r="AX223" s="328"/>
      <c r="AY223" s="328"/>
      <c r="AZ223" s="328"/>
      <c r="BA223" s="328"/>
      <c r="BB223" s="328"/>
      <c r="BC223" s="328"/>
    </row>
    <row r="224" spans="6:55">
      <c r="AF224" s="327"/>
      <c r="AG224" s="327"/>
      <c r="AH224" s="327"/>
      <c r="AI224" s="327"/>
      <c r="AJ224" s="327"/>
      <c r="AK224" s="327"/>
      <c r="AL224" s="328"/>
      <c r="AM224" s="329"/>
      <c r="AN224" s="329"/>
      <c r="AO224" s="329"/>
      <c r="AP224" s="329"/>
      <c r="AQ224" s="329"/>
      <c r="AR224" s="328"/>
      <c r="AS224" s="328"/>
      <c r="AT224" s="328"/>
      <c r="AU224" s="328"/>
      <c r="AV224" s="328"/>
      <c r="AW224" s="328"/>
      <c r="AX224" s="328"/>
      <c r="AY224" s="328"/>
      <c r="AZ224" s="328"/>
      <c r="BA224" s="328"/>
      <c r="BB224" s="328"/>
      <c r="BC224" s="328"/>
    </row>
    <row r="225" spans="32:55">
      <c r="AF225" s="327"/>
      <c r="AG225" s="327"/>
      <c r="AH225" s="327"/>
      <c r="AI225" s="327"/>
      <c r="AJ225" s="327"/>
      <c r="AK225" s="327"/>
      <c r="AL225" s="328"/>
      <c r="AM225" s="329"/>
      <c r="AN225" s="329"/>
      <c r="AO225" s="329"/>
      <c r="AP225" s="329"/>
      <c r="AQ225" s="329"/>
      <c r="AR225" s="328"/>
      <c r="AS225" s="328"/>
      <c r="AT225" s="328"/>
      <c r="AU225" s="328"/>
      <c r="AV225" s="328"/>
      <c r="AW225" s="328"/>
      <c r="AX225" s="328"/>
      <c r="AY225" s="328"/>
      <c r="AZ225" s="328"/>
      <c r="BA225" s="328"/>
      <c r="BB225" s="328"/>
      <c r="BC225" s="328"/>
    </row>
    <row r="226" spans="32:55">
      <c r="AF226" s="327"/>
      <c r="AG226" s="327"/>
      <c r="AH226" s="327"/>
      <c r="AI226" s="327"/>
      <c r="AJ226" s="327"/>
      <c r="AK226" s="327"/>
      <c r="AL226" s="328"/>
      <c r="AM226" s="329"/>
      <c r="AN226" s="329"/>
      <c r="AO226" s="329"/>
      <c r="AP226" s="329"/>
      <c r="AQ226" s="329"/>
      <c r="AR226" s="328"/>
      <c r="AS226" s="328"/>
      <c r="AT226" s="328"/>
      <c r="AU226" s="328"/>
      <c r="AV226" s="328"/>
      <c r="AW226" s="328"/>
      <c r="AX226" s="328"/>
      <c r="AY226" s="328"/>
      <c r="AZ226" s="328"/>
      <c r="BA226" s="328"/>
      <c r="BB226" s="328"/>
      <c r="BC226" s="328"/>
    </row>
    <row r="227" spans="32:55">
      <c r="AF227" s="327"/>
      <c r="AG227" s="327"/>
      <c r="AH227" s="327"/>
      <c r="AI227" s="327"/>
      <c r="AJ227" s="327"/>
      <c r="AK227" s="327"/>
      <c r="AL227" s="328"/>
      <c r="AM227" s="329"/>
      <c r="AN227" s="329"/>
      <c r="AO227" s="329"/>
      <c r="AP227" s="329"/>
      <c r="AQ227" s="329"/>
      <c r="AR227" s="328"/>
      <c r="AS227" s="328"/>
      <c r="AT227" s="328"/>
      <c r="AU227" s="328"/>
      <c r="AV227" s="328"/>
      <c r="AW227" s="328"/>
      <c r="AX227" s="328"/>
      <c r="AY227" s="328"/>
      <c r="AZ227" s="328"/>
      <c r="BA227" s="328"/>
      <c r="BB227" s="328"/>
      <c r="BC227" s="328"/>
    </row>
    <row r="228" spans="32:55">
      <c r="AF228" s="327"/>
      <c r="AG228" s="327"/>
      <c r="AH228" s="327"/>
      <c r="AI228" s="327"/>
      <c r="AJ228" s="327"/>
      <c r="AK228" s="327"/>
      <c r="AL228" s="328"/>
      <c r="AM228" s="329"/>
      <c r="AN228" s="329"/>
      <c r="AO228" s="329"/>
      <c r="AP228" s="329"/>
      <c r="AQ228" s="329"/>
      <c r="AR228" s="328"/>
      <c r="AS228" s="328"/>
      <c r="AT228" s="328"/>
      <c r="AU228" s="328"/>
      <c r="AV228" s="328"/>
      <c r="AW228" s="328"/>
      <c r="AX228" s="328"/>
      <c r="AY228" s="328"/>
      <c r="AZ228" s="328"/>
      <c r="BA228" s="328"/>
      <c r="BB228" s="328"/>
      <c r="BC228" s="328"/>
    </row>
    <row r="229" spans="32:55">
      <c r="AF229" s="327"/>
      <c r="AG229" s="327"/>
      <c r="AH229" s="327"/>
      <c r="AI229" s="327"/>
      <c r="AJ229" s="327"/>
      <c r="AK229" s="327"/>
      <c r="AL229" s="328"/>
      <c r="AM229" s="329"/>
      <c r="AN229" s="329"/>
      <c r="AO229" s="329"/>
      <c r="AP229" s="329"/>
      <c r="AQ229" s="329"/>
      <c r="AR229" s="328"/>
      <c r="AS229" s="328"/>
      <c r="AT229" s="328"/>
      <c r="AU229" s="328"/>
      <c r="AV229" s="328"/>
      <c r="AW229" s="328"/>
      <c r="AX229" s="328"/>
      <c r="AY229" s="328"/>
      <c r="AZ229" s="328"/>
      <c r="BA229" s="328"/>
      <c r="BB229" s="328"/>
      <c r="BC229" s="328"/>
    </row>
    <row r="230" spans="32:55">
      <c r="AF230" s="327"/>
      <c r="AG230" s="327"/>
      <c r="AH230" s="327"/>
      <c r="AI230" s="327"/>
      <c r="AJ230" s="327"/>
      <c r="AK230" s="327"/>
      <c r="AL230" s="328"/>
      <c r="AM230" s="329"/>
      <c r="AN230" s="329"/>
      <c r="AO230" s="329"/>
      <c r="AP230" s="329"/>
      <c r="AQ230" s="329"/>
      <c r="AR230" s="328"/>
      <c r="AS230" s="328"/>
      <c r="AT230" s="328"/>
      <c r="AU230" s="328"/>
      <c r="AV230" s="328"/>
      <c r="AW230" s="328"/>
      <c r="AX230" s="328"/>
      <c r="AY230" s="328"/>
      <c r="AZ230" s="328"/>
      <c r="BA230" s="328"/>
      <c r="BB230" s="328"/>
      <c r="BC230" s="328"/>
    </row>
    <row r="231" spans="32:55">
      <c r="AF231" s="327"/>
      <c r="AG231" s="327"/>
      <c r="AH231" s="327"/>
      <c r="AI231" s="327"/>
      <c r="AJ231" s="327"/>
      <c r="AK231" s="327"/>
      <c r="AL231" s="328"/>
      <c r="AM231" s="329"/>
      <c r="AN231" s="329"/>
      <c r="AO231" s="329"/>
      <c r="AP231" s="329"/>
      <c r="AQ231" s="329"/>
      <c r="AR231" s="328"/>
      <c r="AS231" s="328"/>
      <c r="AT231" s="328"/>
      <c r="AU231" s="328"/>
      <c r="AV231" s="328"/>
      <c r="AW231" s="328"/>
      <c r="AX231" s="328"/>
      <c r="AY231" s="328"/>
      <c r="AZ231" s="328"/>
      <c r="BA231" s="328"/>
      <c r="BB231" s="328"/>
      <c r="BC231" s="328"/>
    </row>
    <row r="232" spans="32:55">
      <c r="AF232" s="327"/>
      <c r="AG232" s="327"/>
      <c r="AH232" s="327"/>
      <c r="AI232" s="327"/>
      <c r="AJ232" s="327"/>
      <c r="AK232" s="327"/>
      <c r="AL232" s="328"/>
      <c r="AM232" s="329"/>
      <c r="AN232" s="329"/>
      <c r="AO232" s="329"/>
      <c r="AP232" s="329"/>
      <c r="AQ232" s="329"/>
      <c r="AR232" s="328"/>
      <c r="AS232" s="328"/>
      <c r="AT232" s="328"/>
      <c r="AU232" s="328"/>
      <c r="AV232" s="328"/>
      <c r="AW232" s="328"/>
      <c r="AX232" s="328"/>
      <c r="AY232" s="328"/>
      <c r="AZ232" s="328"/>
      <c r="BA232" s="328"/>
      <c r="BB232" s="328"/>
      <c r="BC232" s="328"/>
    </row>
    <row r="233" spans="32:55">
      <c r="AF233" s="327"/>
      <c r="AG233" s="327"/>
      <c r="AH233" s="327"/>
      <c r="AI233" s="327"/>
      <c r="AJ233" s="327"/>
      <c r="AK233" s="327"/>
      <c r="AL233" s="328"/>
      <c r="AM233" s="329"/>
      <c r="AN233" s="329"/>
      <c r="AO233" s="329"/>
      <c r="AP233" s="329"/>
      <c r="AQ233" s="329"/>
      <c r="AR233" s="328"/>
      <c r="AS233" s="328"/>
      <c r="AT233" s="328"/>
      <c r="AU233" s="328"/>
      <c r="AV233" s="328"/>
      <c r="AW233" s="328"/>
      <c r="AX233" s="328"/>
      <c r="AY233" s="328"/>
      <c r="AZ233" s="328"/>
      <c r="BA233" s="328"/>
      <c r="BB233" s="328"/>
      <c r="BC233" s="328"/>
    </row>
    <row r="234" spans="32:55">
      <c r="AF234" s="327"/>
      <c r="AG234" s="327"/>
      <c r="AH234" s="327"/>
      <c r="AI234" s="327"/>
      <c r="AJ234" s="327"/>
      <c r="AK234" s="327"/>
      <c r="AL234" s="328"/>
      <c r="AM234" s="329"/>
      <c r="AN234" s="329"/>
      <c r="AO234" s="329"/>
      <c r="AP234" s="329"/>
      <c r="AQ234" s="329"/>
      <c r="AR234" s="328"/>
      <c r="AS234" s="328"/>
      <c r="AT234" s="328"/>
      <c r="AU234" s="328"/>
      <c r="AV234" s="328"/>
      <c r="AW234" s="328"/>
      <c r="AX234" s="328"/>
      <c r="AY234" s="328"/>
      <c r="AZ234" s="328"/>
      <c r="BA234" s="328"/>
      <c r="BB234" s="328"/>
      <c r="BC234" s="328"/>
    </row>
    <row r="235" spans="32:55">
      <c r="AF235" s="327"/>
      <c r="AG235" s="327"/>
      <c r="AH235" s="327"/>
      <c r="AI235" s="327"/>
      <c r="AJ235" s="327"/>
      <c r="AK235" s="327"/>
      <c r="AL235" s="328"/>
      <c r="AM235" s="329"/>
      <c r="AN235" s="329"/>
      <c r="AO235" s="329"/>
      <c r="AP235" s="329"/>
      <c r="AQ235" s="329"/>
      <c r="AR235" s="328"/>
      <c r="AS235" s="328"/>
      <c r="AT235" s="328"/>
      <c r="AU235" s="328"/>
      <c r="AV235" s="328"/>
      <c r="AW235" s="328"/>
      <c r="AX235" s="328"/>
      <c r="AY235" s="328"/>
      <c r="AZ235" s="328"/>
      <c r="BA235" s="328"/>
      <c r="BB235" s="328"/>
      <c r="BC235" s="328"/>
    </row>
    <row r="236" spans="32:55">
      <c r="AF236" s="327"/>
      <c r="AG236" s="327"/>
      <c r="AH236" s="327"/>
      <c r="AI236" s="327"/>
      <c r="AJ236" s="327"/>
      <c r="AK236" s="327"/>
      <c r="AL236" s="328"/>
      <c r="AM236" s="329"/>
      <c r="AN236" s="329"/>
      <c r="AO236" s="329"/>
      <c r="AP236" s="329"/>
      <c r="AQ236" s="329"/>
      <c r="AR236" s="328"/>
      <c r="AS236" s="328"/>
      <c r="AT236" s="328"/>
      <c r="AU236" s="328"/>
      <c r="AV236" s="328"/>
      <c r="AW236" s="328"/>
      <c r="AX236" s="328"/>
      <c r="AY236" s="328"/>
      <c r="AZ236" s="328"/>
      <c r="BA236" s="328"/>
      <c r="BB236" s="328"/>
      <c r="BC236" s="328"/>
    </row>
    <row r="237" spans="32:55">
      <c r="AF237" s="327"/>
      <c r="AG237" s="327"/>
      <c r="AH237" s="327"/>
      <c r="AI237" s="327"/>
      <c r="AJ237" s="327"/>
      <c r="AK237" s="327"/>
      <c r="AL237" s="328"/>
      <c r="AM237" s="329"/>
      <c r="AN237" s="329"/>
      <c r="AO237" s="329"/>
      <c r="AP237" s="329"/>
      <c r="AQ237" s="329"/>
      <c r="AR237" s="328"/>
      <c r="AS237" s="328"/>
      <c r="AT237" s="328"/>
      <c r="AU237" s="328"/>
      <c r="AV237" s="328"/>
      <c r="AW237" s="328"/>
      <c r="AX237" s="328"/>
      <c r="AY237" s="328"/>
      <c r="AZ237" s="328"/>
      <c r="BA237" s="328"/>
      <c r="BB237" s="328"/>
      <c r="BC237" s="328"/>
    </row>
    <row r="238" spans="32:55">
      <c r="AF238" s="327"/>
      <c r="AG238" s="327"/>
      <c r="AH238" s="327"/>
      <c r="AI238" s="327"/>
      <c r="AJ238" s="327"/>
      <c r="AK238" s="327"/>
      <c r="AL238" s="328"/>
      <c r="AM238" s="329"/>
      <c r="AN238" s="329"/>
      <c r="AO238" s="329"/>
      <c r="AP238" s="329"/>
      <c r="AQ238" s="329"/>
      <c r="AR238" s="328"/>
      <c r="AS238" s="328"/>
      <c r="AT238" s="328"/>
      <c r="AU238" s="328"/>
      <c r="AV238" s="328"/>
      <c r="AW238" s="328"/>
      <c r="AX238" s="328"/>
      <c r="AY238" s="328"/>
      <c r="AZ238" s="328"/>
      <c r="BA238" s="328"/>
      <c r="BB238" s="328"/>
      <c r="BC238" s="328"/>
    </row>
    <row r="239" spans="32:55">
      <c r="AF239" s="327"/>
      <c r="AG239" s="327"/>
      <c r="AH239" s="327"/>
      <c r="AI239" s="327"/>
      <c r="AJ239" s="327"/>
      <c r="AK239" s="327"/>
      <c r="AL239" s="328"/>
      <c r="AM239" s="329"/>
      <c r="AN239" s="329"/>
      <c r="AO239" s="329"/>
      <c r="AP239" s="329"/>
      <c r="AQ239" s="329"/>
      <c r="AR239" s="328"/>
      <c r="AS239" s="328"/>
      <c r="AT239" s="328"/>
      <c r="AU239" s="328"/>
      <c r="AV239" s="328"/>
      <c r="AW239" s="328"/>
      <c r="AX239" s="328"/>
      <c r="AY239" s="328"/>
      <c r="AZ239" s="328"/>
      <c r="BA239" s="328"/>
      <c r="BB239" s="328"/>
      <c r="BC239" s="328"/>
    </row>
    <row r="240" spans="32:55">
      <c r="AF240" s="327"/>
      <c r="AG240" s="327"/>
      <c r="AH240" s="327"/>
      <c r="AI240" s="327"/>
      <c r="AJ240" s="327"/>
      <c r="AK240" s="327"/>
      <c r="AL240" s="328"/>
      <c r="AM240" s="329"/>
      <c r="AN240" s="329"/>
      <c r="AO240" s="329"/>
      <c r="AP240" s="329"/>
      <c r="AQ240" s="329"/>
      <c r="AR240" s="328"/>
      <c r="AS240" s="328"/>
      <c r="AT240" s="328"/>
      <c r="AU240" s="328"/>
      <c r="AV240" s="328"/>
      <c r="AW240" s="328"/>
      <c r="AX240" s="328"/>
      <c r="AY240" s="328"/>
      <c r="AZ240" s="328"/>
      <c r="BA240" s="328"/>
      <c r="BB240" s="328"/>
      <c r="BC240" s="328"/>
    </row>
    <row r="241" spans="32:55">
      <c r="AF241" s="327"/>
      <c r="AG241" s="327"/>
      <c r="AH241" s="327"/>
      <c r="AI241" s="327"/>
      <c r="AJ241" s="327"/>
      <c r="AK241" s="327"/>
      <c r="AL241" s="328"/>
      <c r="AM241" s="329"/>
      <c r="AN241" s="329"/>
      <c r="AO241" s="329"/>
      <c r="AP241" s="329"/>
      <c r="AQ241" s="329"/>
      <c r="AR241" s="328"/>
      <c r="AS241" s="328"/>
      <c r="AT241" s="328"/>
      <c r="AU241" s="328"/>
      <c r="AV241" s="328"/>
      <c r="AW241" s="328"/>
      <c r="AX241" s="328"/>
      <c r="AY241" s="328"/>
      <c r="AZ241" s="328"/>
      <c r="BA241" s="328"/>
      <c r="BB241" s="328"/>
      <c r="BC241" s="328"/>
    </row>
    <row r="242" spans="32:55">
      <c r="AF242" s="327"/>
      <c r="AG242" s="327"/>
      <c r="AH242" s="327"/>
      <c r="AI242" s="327"/>
      <c r="AJ242" s="327"/>
      <c r="AK242" s="327"/>
      <c r="AL242" s="328"/>
      <c r="AM242" s="329"/>
      <c r="AN242" s="329"/>
      <c r="AO242" s="329"/>
      <c r="AP242" s="329"/>
      <c r="AQ242" s="329"/>
      <c r="AR242" s="328"/>
      <c r="AS242" s="328"/>
      <c r="AT242" s="328"/>
      <c r="AU242" s="328"/>
      <c r="AV242" s="328"/>
      <c r="AW242" s="328"/>
      <c r="AX242" s="328"/>
      <c r="AY242" s="328"/>
      <c r="AZ242" s="328"/>
      <c r="BA242" s="328"/>
      <c r="BB242" s="328"/>
      <c r="BC242" s="328"/>
    </row>
    <row r="243" spans="32:55">
      <c r="AF243" s="327"/>
      <c r="AG243" s="327"/>
      <c r="AH243" s="327"/>
      <c r="AI243" s="327"/>
      <c r="AJ243" s="327"/>
      <c r="AK243" s="327"/>
      <c r="AL243" s="328"/>
      <c r="AM243" s="329"/>
      <c r="AN243" s="329"/>
      <c r="AO243" s="329"/>
      <c r="AP243" s="329"/>
      <c r="AQ243" s="329"/>
      <c r="AR243" s="328"/>
      <c r="AS243" s="328"/>
      <c r="AT243" s="328"/>
      <c r="AU243" s="328"/>
      <c r="AV243" s="328"/>
      <c r="AW243" s="328"/>
      <c r="AX243" s="328"/>
      <c r="AY243" s="328"/>
      <c r="AZ243" s="328"/>
      <c r="BA243" s="328"/>
      <c r="BB243" s="328"/>
      <c r="BC243" s="328"/>
    </row>
    <row r="244" spans="32:55">
      <c r="AF244" s="327"/>
      <c r="AG244" s="327"/>
      <c r="AH244" s="327"/>
      <c r="AI244" s="327"/>
      <c r="AJ244" s="327"/>
      <c r="AK244" s="327"/>
      <c r="AL244" s="328"/>
      <c r="AM244" s="329"/>
      <c r="AN244" s="329"/>
      <c r="AO244" s="329"/>
      <c r="AP244" s="329"/>
      <c r="AQ244" s="329"/>
      <c r="AR244" s="328"/>
      <c r="AS244" s="328"/>
      <c r="AT244" s="328"/>
      <c r="AU244" s="328"/>
      <c r="AV244" s="328"/>
      <c r="AW244" s="328"/>
      <c r="AX244" s="328"/>
      <c r="AY244" s="328"/>
      <c r="AZ244" s="328"/>
      <c r="BA244" s="328"/>
      <c r="BB244" s="328"/>
      <c r="BC244" s="328"/>
    </row>
    <row r="245" spans="32:55">
      <c r="AF245" s="327"/>
      <c r="AG245" s="327"/>
      <c r="AH245" s="327"/>
      <c r="AI245" s="327"/>
      <c r="AJ245" s="327"/>
      <c r="AK245" s="327"/>
      <c r="AL245" s="328"/>
      <c r="AM245" s="329"/>
      <c r="AN245" s="329"/>
      <c r="AO245" s="329"/>
      <c r="AP245" s="329"/>
      <c r="AQ245" s="329"/>
      <c r="AR245" s="328"/>
      <c r="AS245" s="328"/>
      <c r="AT245" s="328"/>
      <c r="AU245" s="328"/>
      <c r="AV245" s="328"/>
      <c r="AW245" s="328"/>
      <c r="AX245" s="328"/>
      <c r="AY245" s="328"/>
      <c r="AZ245" s="328"/>
      <c r="BA245" s="328"/>
      <c r="BB245" s="328"/>
      <c r="BC245" s="328"/>
    </row>
    <row r="246" spans="32:55">
      <c r="AF246" s="327"/>
      <c r="AG246" s="327"/>
      <c r="AH246" s="327"/>
      <c r="AI246" s="327"/>
      <c r="AJ246" s="327"/>
      <c r="AK246" s="327"/>
      <c r="AL246" s="328"/>
      <c r="AM246" s="329"/>
      <c r="AN246" s="329"/>
      <c r="AO246" s="329"/>
      <c r="AP246" s="329"/>
      <c r="AQ246" s="329"/>
      <c r="AR246" s="328"/>
      <c r="AS246" s="328"/>
      <c r="AT246" s="328"/>
      <c r="AU246" s="328"/>
      <c r="AV246" s="328"/>
      <c r="AW246" s="328"/>
      <c r="AX246" s="328"/>
      <c r="AY246" s="328"/>
      <c r="AZ246" s="328"/>
      <c r="BA246" s="328"/>
      <c r="BB246" s="328"/>
      <c r="BC246" s="328"/>
    </row>
    <row r="247" spans="32:55">
      <c r="AF247" s="327"/>
      <c r="AG247" s="327"/>
      <c r="AH247" s="327"/>
      <c r="AI247" s="327"/>
      <c r="AJ247" s="327"/>
      <c r="AK247" s="327"/>
      <c r="AL247" s="328"/>
      <c r="AM247" s="329"/>
      <c r="AN247" s="329"/>
      <c r="AO247" s="329"/>
      <c r="AP247" s="329"/>
      <c r="AQ247" s="329"/>
      <c r="AR247" s="328"/>
      <c r="AS247" s="328"/>
      <c r="AT247" s="328"/>
      <c r="AU247" s="328"/>
      <c r="AV247" s="328"/>
      <c r="AW247" s="328"/>
      <c r="AX247" s="328"/>
      <c r="AY247" s="328"/>
      <c r="AZ247" s="328"/>
      <c r="BA247" s="328"/>
      <c r="BB247" s="328"/>
      <c r="BC247" s="328"/>
    </row>
    <row r="248" spans="32:55">
      <c r="AF248" s="327"/>
      <c r="AG248" s="327"/>
      <c r="AH248" s="327"/>
      <c r="AI248" s="327"/>
      <c r="AJ248" s="327"/>
      <c r="AK248" s="327"/>
      <c r="AL248" s="328"/>
      <c r="AM248" s="329"/>
      <c r="AN248" s="329"/>
      <c r="AO248" s="329"/>
      <c r="AP248" s="329"/>
      <c r="AQ248" s="329"/>
      <c r="AR248" s="328"/>
      <c r="AS248" s="328"/>
      <c r="AT248" s="328"/>
      <c r="AU248" s="328"/>
      <c r="AV248" s="328"/>
      <c r="AW248" s="328"/>
      <c r="AX248" s="328"/>
      <c r="AY248" s="328"/>
      <c r="AZ248" s="328"/>
      <c r="BA248" s="328"/>
      <c r="BB248" s="328"/>
      <c r="BC248" s="328"/>
    </row>
    <row r="249" spans="32:55">
      <c r="AF249" s="327"/>
      <c r="AG249" s="327"/>
      <c r="AH249" s="327"/>
      <c r="AI249" s="327"/>
      <c r="AJ249" s="327"/>
      <c r="AK249" s="327"/>
      <c r="AL249" s="328"/>
      <c r="AM249" s="329"/>
      <c r="AN249" s="329"/>
      <c r="AO249" s="329"/>
      <c r="AP249" s="329"/>
      <c r="AQ249" s="329"/>
      <c r="AR249" s="328"/>
      <c r="AS249" s="328"/>
      <c r="AT249" s="328"/>
      <c r="AU249" s="328"/>
      <c r="AV249" s="328"/>
      <c r="AW249" s="328"/>
      <c r="AX249" s="328"/>
      <c r="AY249" s="328"/>
      <c r="AZ249" s="328"/>
      <c r="BA249" s="328"/>
      <c r="BB249" s="328"/>
      <c r="BC249" s="328"/>
    </row>
    <row r="250" spans="32:55">
      <c r="AF250" s="327"/>
      <c r="AG250" s="327"/>
      <c r="AH250" s="327"/>
      <c r="AI250" s="327"/>
      <c r="AJ250" s="327"/>
      <c r="AK250" s="327"/>
      <c r="AL250" s="328"/>
      <c r="AM250" s="329"/>
      <c r="AN250" s="329"/>
      <c r="AO250" s="329"/>
      <c r="AP250" s="329"/>
      <c r="AQ250" s="329"/>
      <c r="AR250" s="328"/>
      <c r="AS250" s="328"/>
      <c r="AT250" s="328"/>
      <c r="AU250" s="328"/>
      <c r="AV250" s="328"/>
      <c r="AW250" s="328"/>
      <c r="AX250" s="328"/>
      <c r="AY250" s="328"/>
      <c r="AZ250" s="328"/>
      <c r="BA250" s="328"/>
      <c r="BB250" s="328"/>
      <c r="BC250" s="328"/>
    </row>
    <row r="251" spans="32:55">
      <c r="AF251" s="327"/>
      <c r="AG251" s="327"/>
      <c r="AH251" s="327"/>
      <c r="AI251" s="327"/>
      <c r="AJ251" s="327"/>
      <c r="AK251" s="327"/>
      <c r="AL251" s="328"/>
      <c r="AM251" s="329"/>
      <c r="AN251" s="329"/>
      <c r="AO251" s="329"/>
      <c r="AP251" s="329"/>
      <c r="AQ251" s="329"/>
      <c r="AR251" s="328"/>
      <c r="AS251" s="328"/>
      <c r="AT251" s="328"/>
      <c r="AU251" s="328"/>
      <c r="AV251" s="328"/>
      <c r="AW251" s="328"/>
      <c r="AX251" s="328"/>
      <c r="AY251" s="328"/>
      <c r="AZ251" s="328"/>
      <c r="BA251" s="328"/>
      <c r="BB251" s="328"/>
      <c r="BC251" s="328"/>
    </row>
    <row r="252" spans="32:55">
      <c r="AF252" s="327"/>
      <c r="AG252" s="327"/>
      <c r="AH252" s="327"/>
      <c r="AI252" s="327"/>
      <c r="AJ252" s="327"/>
      <c r="AK252" s="327"/>
      <c r="AL252" s="328"/>
      <c r="AM252" s="329"/>
      <c r="AN252" s="329"/>
      <c r="AO252" s="329"/>
      <c r="AP252" s="329"/>
      <c r="AQ252" s="329"/>
      <c r="AR252" s="328"/>
      <c r="AS252" s="328"/>
      <c r="AT252" s="328"/>
      <c r="AU252" s="328"/>
      <c r="AV252" s="328"/>
      <c r="AW252" s="328"/>
      <c r="AX252" s="328"/>
      <c r="AY252" s="328"/>
      <c r="AZ252" s="328"/>
      <c r="BA252" s="328"/>
      <c r="BB252" s="328"/>
      <c r="BC252" s="328"/>
    </row>
    <row r="253" spans="32:55" ht="16.2" thickBot="1">
      <c r="AF253" s="327"/>
      <c r="AG253" s="327"/>
      <c r="AH253" s="327"/>
      <c r="AI253" s="327"/>
      <c r="AJ253" s="327"/>
      <c r="AK253" s="327"/>
      <c r="AL253" s="328"/>
      <c r="AM253" s="329"/>
      <c r="AN253" s="329"/>
      <c r="AO253" s="329"/>
      <c r="AP253" s="329"/>
      <c r="AQ253" s="329"/>
      <c r="AR253" s="328"/>
      <c r="AS253" s="328"/>
      <c r="AT253" s="328"/>
      <c r="AU253" s="328"/>
      <c r="AV253" s="328"/>
      <c r="AW253" s="328"/>
      <c r="AX253" s="328"/>
      <c r="AY253" s="328"/>
      <c r="AZ253" s="328"/>
      <c r="BA253" s="328"/>
      <c r="BB253" s="328"/>
      <c r="BC253" s="328"/>
    </row>
    <row r="254" spans="32:55" ht="16.2" thickTop="1">
      <c r="AF254" s="366"/>
      <c r="AG254" s="366"/>
      <c r="AH254" s="366"/>
      <c r="AI254" s="366"/>
      <c r="AJ254" s="366"/>
      <c r="AK254" s="366"/>
      <c r="AL254" s="366"/>
      <c r="AM254" s="371"/>
      <c r="AN254" s="371"/>
      <c r="AO254" s="371"/>
      <c r="AP254" s="371"/>
      <c r="AQ254" s="371"/>
      <c r="AR254" s="366"/>
      <c r="AS254" s="366"/>
      <c r="AT254" s="366"/>
      <c r="AU254" s="366"/>
      <c r="AV254" s="366"/>
      <c r="AW254" s="366"/>
      <c r="AX254" s="366"/>
      <c r="AY254" s="366"/>
      <c r="AZ254" s="366"/>
      <c r="BA254" s="366"/>
      <c r="BB254" s="366"/>
      <c r="BC254" s="366"/>
    </row>
    <row r="255" spans="32:55">
      <c r="AF255" s="327"/>
      <c r="AG255" s="327"/>
      <c r="AH255" s="327"/>
      <c r="AI255" s="327"/>
      <c r="AJ255" s="327"/>
      <c r="AK255" s="327"/>
      <c r="AL255" s="328"/>
      <c r="AM255" s="329"/>
      <c r="AN255" s="329"/>
      <c r="AO255" s="329"/>
      <c r="AP255" s="329"/>
      <c r="AQ255" s="329"/>
      <c r="AR255" s="328"/>
      <c r="AS255" s="328"/>
      <c r="AT255" s="328"/>
      <c r="AU255" s="328"/>
      <c r="AV255" s="328"/>
      <c r="AW255" s="328"/>
      <c r="AX255" s="328"/>
      <c r="AY255" s="328"/>
      <c r="AZ255" s="328"/>
      <c r="BA255" s="328"/>
      <c r="BB255" s="328"/>
      <c r="BC255" s="328"/>
    </row>
    <row r="256" spans="32:55">
      <c r="AF256" s="327"/>
      <c r="AG256" s="327"/>
      <c r="AH256" s="327"/>
      <c r="AI256" s="327"/>
      <c r="AJ256" s="327"/>
      <c r="AK256" s="327"/>
      <c r="AL256" s="328"/>
      <c r="AM256" s="329"/>
      <c r="AN256" s="329"/>
      <c r="AO256" s="329"/>
      <c r="AP256" s="329"/>
      <c r="AQ256" s="329"/>
      <c r="AR256" s="328"/>
      <c r="AS256" s="328"/>
      <c r="AT256" s="328"/>
      <c r="AU256" s="328"/>
      <c r="AV256" s="328"/>
      <c r="AW256" s="328"/>
      <c r="AX256" s="328"/>
      <c r="AY256" s="328"/>
      <c r="AZ256" s="328"/>
      <c r="BA256" s="328"/>
      <c r="BB256" s="328"/>
      <c r="BC256" s="328"/>
    </row>
    <row r="257" spans="32:55">
      <c r="AF257" s="327"/>
      <c r="AG257" s="327"/>
      <c r="AH257" s="327"/>
      <c r="AI257" s="327"/>
      <c r="AJ257" s="327"/>
      <c r="AK257" s="327"/>
      <c r="AL257" s="328"/>
      <c r="AM257" s="329"/>
      <c r="AN257" s="329"/>
      <c r="AO257" s="329"/>
      <c r="AP257" s="329"/>
      <c r="AQ257" s="329"/>
      <c r="AR257" s="328"/>
      <c r="AS257" s="328"/>
      <c r="AT257" s="328"/>
      <c r="AU257" s="328"/>
      <c r="AV257" s="328"/>
      <c r="AW257" s="328"/>
      <c r="AX257" s="328"/>
      <c r="AY257" s="328"/>
      <c r="AZ257" s="328"/>
      <c r="BA257" s="328"/>
      <c r="BB257" s="328"/>
      <c r="BC257" s="328"/>
    </row>
    <row r="258" spans="32:55">
      <c r="AF258" s="327"/>
      <c r="AG258" s="327"/>
      <c r="AH258" s="327"/>
      <c r="AI258" s="327"/>
      <c r="AJ258" s="327"/>
      <c r="AK258" s="327"/>
      <c r="AL258" s="328"/>
      <c r="AM258" s="329"/>
      <c r="AN258" s="329"/>
      <c r="AO258" s="329"/>
      <c r="AP258" s="329"/>
      <c r="AQ258" s="329"/>
      <c r="AR258" s="328"/>
      <c r="AS258" s="328"/>
      <c r="AT258" s="328"/>
      <c r="AU258" s="328"/>
      <c r="AV258" s="328"/>
      <c r="AW258" s="328"/>
      <c r="AX258" s="328"/>
      <c r="AY258" s="328"/>
      <c r="AZ258" s="328"/>
      <c r="BA258" s="328"/>
      <c r="BB258" s="328"/>
      <c r="BC258" s="328"/>
    </row>
    <row r="259" spans="32:55">
      <c r="AF259" s="327"/>
      <c r="AG259" s="327"/>
      <c r="AH259" s="327"/>
      <c r="AI259" s="327"/>
      <c r="AJ259" s="327"/>
      <c r="AK259" s="327"/>
      <c r="AL259" s="328"/>
      <c r="AM259" s="329"/>
      <c r="AN259" s="329"/>
      <c r="AO259" s="329"/>
      <c r="AP259" s="329"/>
      <c r="AQ259" s="329"/>
      <c r="AR259" s="328"/>
      <c r="AS259" s="328"/>
      <c r="AT259" s="328"/>
      <c r="AU259" s="328"/>
      <c r="AV259" s="328"/>
      <c r="AW259" s="328"/>
      <c r="AX259" s="328"/>
      <c r="AY259" s="328"/>
      <c r="AZ259" s="328"/>
      <c r="BA259" s="328"/>
      <c r="BB259" s="328"/>
      <c r="BC259" s="328"/>
    </row>
    <row r="260" spans="32:55">
      <c r="AF260" s="327"/>
      <c r="AG260" s="327"/>
      <c r="AH260" s="327"/>
      <c r="AI260" s="327"/>
      <c r="AJ260" s="327"/>
      <c r="AK260" s="327"/>
      <c r="AL260" s="328"/>
      <c r="AM260" s="329" t="s">
        <v>226</v>
      </c>
      <c r="AN260" s="329" t="s">
        <v>249</v>
      </c>
      <c r="AO260" s="329" t="s">
        <v>250</v>
      </c>
      <c r="AP260" s="329" t="s">
        <v>251</v>
      </c>
      <c r="AQ260" s="329" t="s">
        <v>252</v>
      </c>
      <c r="AR260" s="328"/>
      <c r="AS260" s="328"/>
      <c r="AT260" s="328"/>
      <c r="AU260" s="328"/>
      <c r="AV260" s="328"/>
      <c r="AW260" s="328"/>
      <c r="AX260" s="328"/>
      <c r="AY260" s="328"/>
      <c r="AZ260" s="328"/>
      <c r="BA260" s="328"/>
      <c r="BB260" s="328"/>
      <c r="BC260" s="328"/>
    </row>
    <row r="261" spans="32:55">
      <c r="AF261" s="327"/>
      <c r="AG261" s="327"/>
      <c r="AH261" s="327"/>
      <c r="AI261" s="327"/>
      <c r="AJ261" s="327"/>
      <c r="AK261" s="327"/>
      <c r="AL261" s="328"/>
      <c r="AM261" s="329">
        <v>2479</v>
      </c>
      <c r="AN261" s="329">
        <v>0</v>
      </c>
      <c r="AO261" s="329">
        <v>0</v>
      </c>
      <c r="AP261" s="373">
        <v>0</v>
      </c>
      <c r="AQ261" s="373">
        <v>0</v>
      </c>
      <c r="AR261" s="328"/>
      <c r="AS261" s="328"/>
      <c r="AT261" s="328"/>
      <c r="AU261" s="328"/>
      <c r="AV261" s="328"/>
      <c r="AW261" s="328"/>
      <c r="AX261" s="328"/>
      <c r="AY261" s="328"/>
      <c r="AZ261" s="328"/>
      <c r="BA261" s="328"/>
      <c r="BB261" s="328"/>
      <c r="BC261" s="328"/>
    </row>
    <row r="262" spans="32:55">
      <c r="AF262" s="327"/>
      <c r="AG262" s="327"/>
      <c r="AH262" s="327"/>
      <c r="AI262" s="327"/>
      <c r="AJ262" s="327"/>
      <c r="AK262" s="327"/>
      <c r="AL262" s="328"/>
      <c r="AM262" s="329">
        <v>2480</v>
      </c>
      <c r="AN262" s="329">
        <v>4.3516989698800002</v>
      </c>
      <c r="AO262" s="329">
        <v>33.46183500385505</v>
      </c>
      <c r="AP262" s="373">
        <v>0.74258944860860998</v>
      </c>
      <c r="AQ262" s="373">
        <v>0.3346183500385505</v>
      </c>
      <c r="AR262" s="328"/>
      <c r="AS262" s="328"/>
      <c r="AT262" s="328"/>
      <c r="AU262" s="328"/>
      <c r="AV262" s="328"/>
      <c r="AW262" s="328"/>
      <c r="AX262" s="328"/>
      <c r="AY262" s="328"/>
      <c r="AZ262" s="328"/>
      <c r="BA262" s="328"/>
      <c r="BB262" s="328"/>
      <c r="BC262" s="328"/>
    </row>
    <row r="263" spans="32:55">
      <c r="AF263" s="327"/>
      <c r="AG263" s="327"/>
      <c r="AH263" s="327"/>
      <c r="AI263" s="327"/>
      <c r="AJ263" s="327"/>
      <c r="AK263" s="327"/>
      <c r="AL263" s="328"/>
      <c r="AM263" s="329">
        <v>2481</v>
      </c>
      <c r="AN263" s="329">
        <v>4.5291988175000002</v>
      </c>
      <c r="AO263" s="329">
        <v>40.644654088050316</v>
      </c>
      <c r="AP263" s="373">
        <v>0.74312212565131763</v>
      </c>
      <c r="AQ263" s="373">
        <v>0.40644654088050314</v>
      </c>
      <c r="AR263" s="328"/>
      <c r="AS263" s="328"/>
      <c r="AT263" s="328"/>
      <c r="AU263" s="328"/>
      <c r="AV263" s="328"/>
      <c r="AW263" s="328"/>
      <c r="AX263" s="328"/>
      <c r="AY263" s="328"/>
      <c r="AZ263" s="328"/>
      <c r="BA263" s="328"/>
      <c r="BB263" s="328"/>
      <c r="BC263" s="328"/>
    </row>
    <row r="264" spans="32:55">
      <c r="AF264" s="327"/>
      <c r="AG264" s="327"/>
      <c r="AH264" s="327"/>
      <c r="AI264" s="327"/>
      <c r="AJ264" s="327"/>
      <c r="AK264" s="327"/>
      <c r="AL264" s="328"/>
      <c r="AM264" s="329">
        <v>2482</v>
      </c>
      <c r="AN264" s="329">
        <v>18.649851198499999</v>
      </c>
      <c r="AO264" s="329">
        <v>96.211897010949983</v>
      </c>
      <c r="AP264" s="373">
        <v>0.78549820344669852</v>
      </c>
      <c r="AQ264" s="373">
        <v>0.96211897010949987</v>
      </c>
      <c r="AR264" s="328"/>
      <c r="AS264" s="328"/>
      <c r="AT264" s="328"/>
      <c r="AU264" s="328"/>
      <c r="AV264" s="328"/>
      <c r="AW264" s="328"/>
      <c r="AX264" s="328"/>
      <c r="AY264" s="328"/>
      <c r="AZ264" s="328"/>
      <c r="BA264" s="328"/>
      <c r="BB264" s="328"/>
      <c r="BC264" s="328"/>
    </row>
    <row r="265" spans="32:55">
      <c r="AF265" s="327"/>
      <c r="AG265" s="327"/>
      <c r="AH265" s="327"/>
      <c r="AI265" s="327"/>
      <c r="AJ265" s="327"/>
      <c r="AK265" s="327"/>
      <c r="AL265" s="328"/>
      <c r="AM265" s="329">
        <v>2579</v>
      </c>
      <c r="AN265" s="329">
        <v>0</v>
      </c>
      <c r="AO265" s="329">
        <v>0</v>
      </c>
      <c r="AP265" s="373">
        <v>0</v>
      </c>
      <c r="AQ265" s="373">
        <v>0</v>
      </c>
      <c r="AR265" s="328"/>
      <c r="AS265" s="328"/>
      <c r="AT265" s="328"/>
      <c r="AU265" s="328"/>
      <c r="AV265" s="328"/>
      <c r="AW265" s="328"/>
      <c r="AX265" s="328"/>
      <c r="AY265" s="328"/>
      <c r="AZ265" s="328"/>
      <c r="BA265" s="328"/>
      <c r="BB265" s="328"/>
      <c r="BC265" s="328"/>
    </row>
    <row r="266" spans="32:55">
      <c r="AF266" s="327"/>
      <c r="AG266" s="327"/>
      <c r="AH266" s="327"/>
      <c r="AI266" s="327"/>
      <c r="AJ266" s="327"/>
      <c r="AK266" s="327"/>
      <c r="AL266" s="328"/>
      <c r="AM266" s="329">
        <v>2580</v>
      </c>
      <c r="AN266" s="329">
        <v>14.7642744509</v>
      </c>
      <c r="AO266" s="329">
        <v>78.627034677990096</v>
      </c>
      <c r="AP266" s="373">
        <v>0.77383758762715094</v>
      </c>
      <c r="AQ266" s="373">
        <v>0.78627034677990093</v>
      </c>
      <c r="AR266" s="328"/>
      <c r="AS266" s="328"/>
      <c r="AT266" s="328"/>
      <c r="AU266" s="328"/>
      <c r="AV266" s="328"/>
      <c r="AW266" s="328"/>
      <c r="AX266" s="328"/>
      <c r="AY266" s="328"/>
      <c r="AZ266" s="328"/>
      <c r="BA266" s="328"/>
      <c r="BB266" s="328"/>
      <c r="BC266" s="328"/>
    </row>
    <row r="267" spans="32:55">
      <c r="AF267" s="327"/>
      <c r="AG267" s="327"/>
      <c r="AH267" s="327"/>
      <c r="AI267" s="327"/>
      <c r="AJ267" s="327"/>
      <c r="AK267" s="327"/>
      <c r="AL267" s="328"/>
      <c r="AM267" s="329">
        <v>2674</v>
      </c>
      <c r="AN267" s="329">
        <v>0</v>
      </c>
      <c r="AO267" s="329">
        <v>0</v>
      </c>
      <c r="AP267" s="373">
        <v>0</v>
      </c>
      <c r="AQ267" s="373">
        <v>0</v>
      </c>
      <c r="AR267" s="328"/>
      <c r="AS267" s="328"/>
      <c r="AT267" s="328"/>
      <c r="AU267" s="328"/>
      <c r="AV267" s="328"/>
      <c r="AW267" s="328"/>
      <c r="AX267" s="328"/>
      <c r="AY267" s="328"/>
      <c r="AZ267" s="328"/>
      <c r="BA267" s="328"/>
      <c r="BB267" s="328"/>
      <c r="BC267" s="328"/>
    </row>
    <row r="268" spans="32:55">
      <c r="AF268" s="327"/>
      <c r="AG268" s="327"/>
      <c r="AH268" s="327"/>
      <c r="AI268" s="327"/>
      <c r="AJ268" s="327"/>
      <c r="AK268" s="327"/>
      <c r="AL268" s="328"/>
      <c r="AM268" s="329">
        <v>2679</v>
      </c>
      <c r="AN268" s="329">
        <v>0.44133707377600001</v>
      </c>
      <c r="AO268" s="329">
        <v>81.795302013422827</v>
      </c>
      <c r="AP268" s="373">
        <v>0.73085445255840187</v>
      </c>
      <c r="AQ268" s="373">
        <v>0.81795302013422821</v>
      </c>
      <c r="AR268" s="328"/>
      <c r="AS268" s="328"/>
      <c r="AT268" s="328"/>
      <c r="AU268" s="328"/>
      <c r="AV268" s="328"/>
      <c r="AW268" s="328"/>
      <c r="AX268" s="328"/>
      <c r="AY268" s="328"/>
      <c r="AZ268" s="328"/>
      <c r="BA268" s="328"/>
      <c r="BB268" s="328"/>
      <c r="BC268" s="328"/>
    </row>
    <row r="269" spans="32:55">
      <c r="AF269" s="327"/>
      <c r="AG269" s="327"/>
      <c r="AH269" s="327"/>
      <c r="AI269" s="327"/>
      <c r="AJ269" s="327"/>
      <c r="AK269" s="327"/>
      <c r="AL269" s="328"/>
      <c r="AM269" s="329">
        <v>2680</v>
      </c>
      <c r="AN269" s="329">
        <v>93.784725430099996</v>
      </c>
      <c r="AO269" s="329">
        <v>100</v>
      </c>
      <c r="AP269" s="373">
        <v>1.0109779610157301</v>
      </c>
      <c r="AQ269" s="373">
        <v>1</v>
      </c>
      <c r="AR269" s="328"/>
      <c r="AS269" s="328"/>
      <c r="AT269" s="328"/>
      <c r="AU269" s="328"/>
      <c r="AV269" s="328"/>
      <c r="AW269" s="328"/>
      <c r="AX269" s="328"/>
      <c r="AY269" s="328"/>
      <c r="AZ269" s="328"/>
      <c r="BA269" s="328"/>
      <c r="BB269" s="328"/>
      <c r="BC269" s="328"/>
    </row>
    <row r="270" spans="32:55">
      <c r="AF270" s="327"/>
      <c r="AG270" s="327"/>
      <c r="AH270" s="327"/>
      <c r="AI270" s="327"/>
      <c r="AJ270" s="327"/>
      <c r="AK270" s="327"/>
      <c r="AL270" s="328"/>
      <c r="AM270" s="329">
        <v>2770</v>
      </c>
      <c r="AN270" s="329">
        <v>0</v>
      </c>
      <c r="AO270" s="329">
        <v>0</v>
      </c>
      <c r="AP270" s="373">
        <v>0</v>
      </c>
      <c r="AQ270" s="373">
        <v>0</v>
      </c>
      <c r="AR270" s="328"/>
      <c r="AS270" s="328"/>
      <c r="AT270" s="328"/>
      <c r="AU270" s="328"/>
      <c r="AV270" s="328"/>
      <c r="AW270" s="328"/>
      <c r="AX270" s="328"/>
      <c r="AY270" s="328"/>
      <c r="AZ270" s="328"/>
      <c r="BA270" s="328"/>
      <c r="BB270" s="328"/>
      <c r="BC270" s="328"/>
    </row>
    <row r="271" spans="32:55">
      <c r="AF271" s="327"/>
      <c r="AG271" s="327"/>
      <c r="AH271" s="327"/>
      <c r="AI271" s="327"/>
      <c r="AJ271" s="327"/>
      <c r="AK271" s="327"/>
      <c r="AL271" s="328"/>
      <c r="AM271" s="329">
        <v>2778</v>
      </c>
      <c r="AN271" s="329">
        <v>0</v>
      </c>
      <c r="AO271" s="329">
        <v>0</v>
      </c>
      <c r="AP271" s="373">
        <v>0</v>
      </c>
      <c r="AQ271" s="373">
        <v>0</v>
      </c>
      <c r="AR271" s="328"/>
      <c r="AS271" s="328"/>
      <c r="AT271" s="328"/>
      <c r="AU271" s="328"/>
      <c r="AV271" s="328"/>
      <c r="AW271" s="328"/>
      <c r="AX271" s="328"/>
      <c r="AY271" s="328"/>
      <c r="AZ271" s="328"/>
      <c r="BA271" s="328"/>
      <c r="BB271" s="328"/>
      <c r="BC271" s="328"/>
    </row>
    <row r="272" spans="32:55">
      <c r="AF272" s="327"/>
      <c r="AG272" s="327"/>
      <c r="AH272" s="327"/>
      <c r="AI272" s="327"/>
      <c r="AJ272" s="327"/>
      <c r="AK272" s="327"/>
      <c r="AL272" s="328"/>
      <c r="AM272" s="329">
        <v>2779</v>
      </c>
      <c r="AN272" s="329">
        <v>3.8767487477499998</v>
      </c>
      <c r="AO272" s="329">
        <v>99.103139013452918</v>
      </c>
      <c r="AP272" s="373">
        <v>0.74116412299199785</v>
      </c>
      <c r="AQ272" s="373">
        <v>0.99103139013452912</v>
      </c>
      <c r="AR272" s="328"/>
      <c r="AS272" s="328"/>
      <c r="AT272" s="328"/>
      <c r="AU272" s="328"/>
      <c r="AV272" s="328"/>
      <c r="AW272" s="328"/>
      <c r="AX272" s="328"/>
      <c r="AY272" s="328"/>
      <c r="AZ272" s="328"/>
      <c r="BA272" s="328"/>
      <c r="BB272" s="328"/>
      <c r="BC272" s="328"/>
    </row>
    <row r="273" spans="32:55">
      <c r="AF273" s="327"/>
      <c r="AG273" s="327"/>
      <c r="AH273" s="327"/>
      <c r="AI273" s="327"/>
      <c r="AJ273" s="327"/>
      <c r="AK273" s="327"/>
      <c r="AL273" s="328"/>
      <c r="AM273" s="329">
        <v>2780</v>
      </c>
      <c r="AN273" s="329">
        <v>50.351767576</v>
      </c>
      <c r="AO273" s="329">
        <v>90.634920634920633</v>
      </c>
      <c r="AP273" s="373">
        <v>0.88063565449557601</v>
      </c>
      <c r="AQ273" s="373">
        <v>0.90634920634920635</v>
      </c>
      <c r="AR273" s="328"/>
      <c r="AS273" s="328"/>
      <c r="AT273" s="328"/>
      <c r="AU273" s="328"/>
      <c r="AV273" s="328"/>
      <c r="AW273" s="328"/>
      <c r="AX273" s="328"/>
      <c r="AY273" s="328"/>
      <c r="AZ273" s="328"/>
      <c r="BA273" s="328"/>
      <c r="BB273" s="328"/>
      <c r="BC273" s="328"/>
    </row>
    <row r="274" spans="32:55">
      <c r="AF274" s="327"/>
      <c r="AG274" s="327"/>
      <c r="AH274" s="327"/>
      <c r="AI274" s="327"/>
      <c r="AJ274" s="327"/>
      <c r="AK274" s="327"/>
      <c r="AL274" s="328"/>
      <c r="AM274" s="329">
        <v>2878</v>
      </c>
      <c r="AN274" s="329">
        <v>0</v>
      </c>
      <c r="AO274" s="329">
        <v>0</v>
      </c>
      <c r="AP274" s="373">
        <v>0</v>
      </c>
      <c r="AQ274" s="373">
        <v>0</v>
      </c>
      <c r="AR274" s="328"/>
      <c r="AS274" s="328"/>
      <c r="AT274" s="328"/>
      <c r="AU274" s="328"/>
      <c r="AV274" s="328"/>
      <c r="AW274" s="328"/>
      <c r="AX274" s="328"/>
      <c r="AY274" s="328"/>
      <c r="AZ274" s="328"/>
      <c r="BA274" s="328"/>
      <c r="BB274" s="328"/>
      <c r="BC274" s="328"/>
    </row>
    <row r="275" spans="32:55">
      <c r="AF275" s="327"/>
      <c r="AG275" s="327"/>
      <c r="AH275" s="327"/>
      <c r="AI275" s="327"/>
      <c r="AJ275" s="327"/>
      <c r="AK275" s="327"/>
      <c r="AL275" s="328"/>
      <c r="AM275" s="329">
        <v>2879</v>
      </c>
      <c r="AN275" s="329">
        <v>1.21531996813</v>
      </c>
      <c r="AO275" s="329">
        <v>100</v>
      </c>
      <c r="AP275" s="373">
        <v>0.7331771752243581</v>
      </c>
      <c r="AQ275" s="373">
        <v>0.7331771752243581</v>
      </c>
      <c r="AR275" s="328"/>
      <c r="AS275" s="328"/>
      <c r="AT275" s="328"/>
      <c r="AU275" s="328"/>
      <c r="AV275" s="328"/>
      <c r="AW275" s="328"/>
      <c r="AX275" s="328"/>
      <c r="AY275" s="328"/>
      <c r="AZ275" s="328"/>
      <c r="BA275" s="328"/>
      <c r="BB275" s="328"/>
      <c r="BC275" s="328"/>
    </row>
    <row r="276" spans="32:55">
      <c r="AF276" s="327"/>
      <c r="AG276" s="327"/>
      <c r="AH276" s="327"/>
      <c r="AI276" s="327"/>
      <c r="AJ276" s="327"/>
      <c r="AK276" s="327"/>
      <c r="AL276" s="328"/>
      <c r="AM276" s="329">
        <v>2880</v>
      </c>
      <c r="AN276" s="329">
        <v>67.521515945499999</v>
      </c>
      <c r="AO276" s="329">
        <v>90.227497527200796</v>
      </c>
      <c r="AP276" s="373">
        <v>0.93216206935244539</v>
      </c>
      <c r="AQ276" s="373">
        <v>0.90227497527200795</v>
      </c>
      <c r="AR276" s="328"/>
      <c r="AS276" s="328"/>
      <c r="AT276" s="328"/>
      <c r="AU276" s="328"/>
      <c r="AV276" s="328"/>
      <c r="AW276" s="328"/>
      <c r="AX276" s="328"/>
      <c r="AY276" s="328"/>
      <c r="AZ276" s="328"/>
      <c r="BA276" s="328"/>
      <c r="BB276" s="328"/>
      <c r="BC276" s="328"/>
    </row>
    <row r="277" spans="32:55">
      <c r="AF277" s="327"/>
      <c r="AG277" s="327"/>
      <c r="AH277" s="327"/>
      <c r="AI277" s="327"/>
      <c r="AJ277" s="327"/>
      <c r="AK277" s="327"/>
      <c r="AL277" s="328"/>
      <c r="AM277" s="329">
        <v>2979</v>
      </c>
      <c r="AN277" s="329">
        <v>0</v>
      </c>
      <c r="AO277" s="329">
        <v>0</v>
      </c>
      <c r="AP277" s="373">
        <v>0</v>
      </c>
      <c r="AQ277" s="373">
        <v>0</v>
      </c>
      <c r="AR277" s="328"/>
      <c r="AS277" s="328"/>
      <c r="AT277" s="328"/>
      <c r="AU277" s="328"/>
      <c r="AV277" s="328"/>
      <c r="AW277" s="328"/>
      <c r="AX277" s="328"/>
      <c r="AY277" s="328"/>
      <c r="AZ277" s="328"/>
      <c r="BA277" s="328"/>
      <c r="BB277" s="328"/>
      <c r="BC277" s="328"/>
    </row>
    <row r="278" spans="32:55">
      <c r="AF278" s="327"/>
      <c r="AG278" s="327"/>
      <c r="AH278" s="327"/>
      <c r="AI278" s="327"/>
      <c r="AJ278" s="327"/>
      <c r="AK278" s="327"/>
      <c r="AL278" s="328"/>
      <c r="AM278" s="329">
        <v>2980</v>
      </c>
      <c r="AN278" s="329">
        <v>72.543968960699999</v>
      </c>
      <c r="AO278" s="329">
        <v>94.191499243411698</v>
      </c>
      <c r="AP278" s="373">
        <v>0.94723445085106084</v>
      </c>
      <c r="AQ278" s="373">
        <v>0.94191499243411703</v>
      </c>
      <c r="AR278" s="328"/>
      <c r="AS278" s="328"/>
      <c r="AT278" s="328"/>
      <c r="AU278" s="328"/>
      <c r="AV278" s="328"/>
      <c r="AW278" s="328"/>
      <c r="AX278" s="328"/>
      <c r="AY278" s="328"/>
      <c r="AZ278" s="328"/>
      <c r="BA278" s="328"/>
      <c r="BB278" s="328"/>
      <c r="BC278" s="328"/>
    </row>
    <row r="279" spans="32:55">
      <c r="AF279" s="327"/>
      <c r="AG279" s="327"/>
      <c r="AH279" s="327"/>
      <c r="AI279" s="327"/>
      <c r="AJ279" s="327"/>
      <c r="AK279" s="327"/>
      <c r="AL279" s="328"/>
      <c r="AM279" s="329">
        <v>2981</v>
      </c>
      <c r="AN279" s="329">
        <v>10.4193742015</v>
      </c>
      <c r="AO279" s="329">
        <v>98.096885813148788</v>
      </c>
      <c r="AP279" s="373">
        <v>0.76079854197870145</v>
      </c>
      <c r="AQ279" s="373">
        <v>0.98096885813148793</v>
      </c>
      <c r="AR279" s="328"/>
      <c r="AS279" s="328"/>
      <c r="AT279" s="328"/>
      <c r="AU279" s="328"/>
      <c r="AV279" s="328"/>
      <c r="AW279" s="328"/>
      <c r="AX279" s="328"/>
      <c r="AY279" s="328"/>
      <c r="AZ279" s="328"/>
      <c r="BA279" s="328"/>
      <c r="BB279" s="328"/>
      <c r="BC279" s="328"/>
    </row>
    <row r="280" spans="32:55">
      <c r="AF280" s="327"/>
      <c r="AG280" s="327"/>
      <c r="AH280" s="327"/>
      <c r="AI280" s="327"/>
      <c r="AJ280" s="327"/>
      <c r="AK280" s="327"/>
      <c r="AL280" s="328"/>
      <c r="AM280" s="329">
        <v>3079</v>
      </c>
      <c r="AN280" s="329">
        <v>0.47594287753199999</v>
      </c>
      <c r="AO280" s="329">
        <v>100</v>
      </c>
      <c r="AP280" s="373">
        <v>0.73095830457547351</v>
      </c>
      <c r="AQ280" s="373">
        <v>0.73095830457547351</v>
      </c>
      <c r="AR280" s="328"/>
      <c r="AS280" s="328"/>
      <c r="AT280" s="328"/>
      <c r="AU280" s="328"/>
      <c r="AV280" s="328"/>
      <c r="AW280" s="328"/>
      <c r="AX280" s="328"/>
      <c r="AY280" s="328"/>
      <c r="AZ280" s="328"/>
      <c r="BA280" s="328"/>
      <c r="BB280" s="328"/>
      <c r="BC280" s="328"/>
    </row>
    <row r="281" spans="32:55">
      <c r="AF281" s="327"/>
      <c r="AG281" s="327"/>
      <c r="AH281" s="327"/>
      <c r="AI281" s="327"/>
      <c r="AJ281" s="327"/>
      <c r="AK281" s="327"/>
      <c r="AL281" s="328"/>
      <c r="AM281" s="329">
        <v>3080</v>
      </c>
      <c r="AN281" s="329">
        <v>86.562491550900006</v>
      </c>
      <c r="AO281" s="329">
        <v>97.648773512264881</v>
      </c>
      <c r="AP281" s="373">
        <v>0.98930403714425097</v>
      </c>
      <c r="AQ281" s="373">
        <v>0.97648773512264886</v>
      </c>
      <c r="AR281" s="328"/>
      <c r="AS281" s="328"/>
      <c r="AT281" s="328"/>
      <c r="AU281" s="328"/>
      <c r="AV281" s="328"/>
      <c r="AW281" s="328"/>
      <c r="AX281" s="328"/>
      <c r="AY281" s="328"/>
      <c r="AZ281" s="328"/>
      <c r="BA281" s="328"/>
      <c r="BB281" s="328"/>
      <c r="BC281" s="328"/>
    </row>
    <row r="282" spans="32:55">
      <c r="AF282" s="327"/>
      <c r="AG282" s="327"/>
      <c r="AH282" s="327"/>
      <c r="AI282" s="327"/>
      <c r="AJ282" s="327"/>
      <c r="AK282" s="327"/>
      <c r="AL282" s="328"/>
      <c r="AM282" s="329">
        <v>3081</v>
      </c>
      <c r="AN282" s="329">
        <v>33.314876887700002</v>
      </c>
      <c r="AO282" s="329">
        <v>97.812272617026437</v>
      </c>
      <c r="AP282" s="373">
        <v>0.82950794553998775</v>
      </c>
      <c r="AQ282" s="373">
        <v>0.97812272617026441</v>
      </c>
      <c r="AR282" s="328"/>
      <c r="AS282" s="328"/>
      <c r="AT282" s="328"/>
      <c r="AU282" s="328"/>
      <c r="AV282" s="328"/>
      <c r="AW282" s="328"/>
      <c r="AX282" s="328"/>
      <c r="AY282" s="328"/>
      <c r="AZ282" s="328"/>
      <c r="BA282" s="328"/>
      <c r="BB282" s="328"/>
      <c r="BC282" s="328"/>
    </row>
    <row r="283" spans="32:55">
      <c r="AF283" s="327"/>
      <c r="AG283" s="327"/>
      <c r="AH283" s="327"/>
      <c r="AI283" s="327"/>
      <c r="AJ283" s="327"/>
      <c r="AK283" s="327"/>
      <c r="AL283" s="328"/>
      <c r="AM283" s="329">
        <v>3174</v>
      </c>
      <c r="AN283" s="329">
        <v>0</v>
      </c>
      <c r="AO283" s="329">
        <v>0</v>
      </c>
      <c r="AP283" s="373">
        <v>0</v>
      </c>
      <c r="AQ283" s="373">
        <v>0</v>
      </c>
      <c r="AR283" s="328"/>
      <c r="AS283" s="328"/>
      <c r="AT283" s="328"/>
      <c r="AU283" s="328"/>
      <c r="AV283" s="328"/>
      <c r="AW283" s="328"/>
      <c r="AX283" s="328"/>
      <c r="AY283" s="328"/>
      <c r="AZ283" s="328"/>
      <c r="BA283" s="328"/>
      <c r="BB283" s="328"/>
      <c r="BC283" s="328"/>
    </row>
    <row r="284" spans="32:55">
      <c r="AF284" s="327"/>
      <c r="AG284" s="327"/>
      <c r="AH284" s="327"/>
      <c r="AI284" s="327"/>
      <c r="AJ284" s="327"/>
      <c r="AK284" s="327"/>
      <c r="AL284" s="328"/>
      <c r="AM284" s="329">
        <v>3175</v>
      </c>
      <c r="AN284" s="329">
        <v>0</v>
      </c>
      <c r="AO284" s="329">
        <v>0</v>
      </c>
      <c r="AP284" s="373">
        <v>0</v>
      </c>
      <c r="AQ284" s="373">
        <v>0</v>
      </c>
      <c r="AR284" s="328"/>
      <c r="AS284" s="328"/>
      <c r="AT284" s="328"/>
      <c r="AU284" s="328"/>
      <c r="AV284" s="328"/>
      <c r="AW284" s="328"/>
      <c r="AX284" s="328"/>
      <c r="AY284" s="328"/>
      <c r="AZ284" s="328"/>
      <c r="BA284" s="328"/>
      <c r="BB284" s="328"/>
      <c r="BC284" s="328"/>
    </row>
    <row r="285" spans="32:55">
      <c r="AF285" s="327"/>
      <c r="AG285" s="327"/>
      <c r="AH285" s="327"/>
      <c r="AI285" s="327"/>
      <c r="AJ285" s="327"/>
      <c r="AK285" s="327"/>
      <c r="AL285" s="328"/>
      <c r="AM285" s="329">
        <v>3176</v>
      </c>
      <c r="AN285" s="329">
        <v>0</v>
      </c>
      <c r="AO285" s="329">
        <v>0</v>
      </c>
      <c r="AP285" s="373">
        <v>0</v>
      </c>
      <c r="AQ285" s="373">
        <v>0</v>
      </c>
      <c r="AR285" s="328"/>
      <c r="AS285" s="328"/>
      <c r="AT285" s="328"/>
      <c r="AU285" s="328"/>
      <c r="AV285" s="328"/>
      <c r="AW285" s="328"/>
      <c r="AX285" s="328"/>
      <c r="AY285" s="328"/>
      <c r="AZ285" s="328"/>
      <c r="BA285" s="328"/>
      <c r="BB285" s="328"/>
      <c r="BC285" s="328"/>
    </row>
    <row r="286" spans="32:55">
      <c r="AF286" s="327"/>
      <c r="AG286" s="327"/>
      <c r="AH286" s="327"/>
      <c r="AI286" s="327"/>
      <c r="AJ286" s="327"/>
      <c r="AK286" s="327"/>
      <c r="AL286" s="328"/>
      <c r="AM286" s="329">
        <v>3177</v>
      </c>
      <c r="AN286" s="329">
        <v>0</v>
      </c>
      <c r="AO286" s="329">
        <v>0</v>
      </c>
      <c r="AP286" s="373">
        <v>0</v>
      </c>
      <c r="AQ286" s="373">
        <v>0</v>
      </c>
      <c r="AR286" s="328"/>
      <c r="AS286" s="328"/>
      <c r="AT286" s="328"/>
      <c r="AU286" s="328"/>
      <c r="AV286" s="328"/>
      <c r="AW286" s="328"/>
      <c r="AX286" s="328"/>
      <c r="AY286" s="328"/>
      <c r="AZ286" s="328"/>
      <c r="BA286" s="328"/>
      <c r="BB286" s="328"/>
      <c r="BC286" s="328"/>
    </row>
    <row r="287" spans="32:55">
      <c r="AF287" s="327"/>
      <c r="AG287" s="327"/>
      <c r="AH287" s="327"/>
      <c r="AI287" s="327"/>
      <c r="AJ287" s="327"/>
      <c r="AK287" s="327"/>
      <c r="AL287" s="328"/>
      <c r="AM287" s="329">
        <v>3178</v>
      </c>
      <c r="AN287" s="329">
        <v>0</v>
      </c>
      <c r="AO287" s="329">
        <v>0</v>
      </c>
      <c r="AP287" s="373">
        <v>0</v>
      </c>
      <c r="AQ287" s="373">
        <v>0</v>
      </c>
      <c r="AR287" s="328"/>
      <c r="AS287" s="328"/>
      <c r="AT287" s="328"/>
      <c r="AU287" s="328"/>
      <c r="AV287" s="328"/>
      <c r="AW287" s="328"/>
      <c r="AX287" s="328"/>
      <c r="AY287" s="328"/>
      <c r="AZ287" s="328"/>
      <c r="BA287" s="328"/>
      <c r="BB287" s="328"/>
      <c r="BC287" s="328"/>
    </row>
    <row r="288" spans="32:55">
      <c r="AF288" s="327"/>
      <c r="AG288" s="327"/>
      <c r="AH288" s="327"/>
      <c r="AI288" s="327"/>
      <c r="AJ288" s="327"/>
      <c r="AK288" s="327"/>
      <c r="AL288" s="328"/>
      <c r="AM288" s="329">
        <v>3179</v>
      </c>
      <c r="AN288" s="329">
        <v>34.763067261800003</v>
      </c>
      <c r="AO288" s="329">
        <v>93.99186616913336</v>
      </c>
      <c r="AP288" s="373">
        <v>0.83385396485266183</v>
      </c>
      <c r="AQ288" s="373">
        <v>0.93991866169133365</v>
      </c>
      <c r="AR288" s="328"/>
      <c r="AS288" s="328"/>
      <c r="AT288" s="328"/>
      <c r="AU288" s="328"/>
      <c r="AV288" s="328"/>
      <c r="AW288" s="328"/>
      <c r="AX288" s="328"/>
      <c r="AY288" s="328"/>
      <c r="AZ288" s="328"/>
      <c r="BA288" s="328"/>
      <c r="BB288" s="328"/>
      <c r="BC288" s="328"/>
    </row>
    <row r="289" spans="32:55">
      <c r="AF289" s="327"/>
      <c r="AG289" s="327"/>
      <c r="AH289" s="327"/>
      <c r="AI289" s="327"/>
      <c r="AJ289" s="327"/>
      <c r="AK289" s="327"/>
      <c r="AL289" s="328"/>
      <c r="AM289" s="329">
        <v>3180</v>
      </c>
      <c r="AN289" s="329">
        <v>66.125982991399994</v>
      </c>
      <c r="AO289" s="329">
        <v>98.571601501028923</v>
      </c>
      <c r="AP289" s="373">
        <v>0.92797407495719142</v>
      </c>
      <c r="AQ289" s="373">
        <v>0.98571601501028927</v>
      </c>
      <c r="AR289" s="328"/>
      <c r="AS289" s="328"/>
      <c r="AT289" s="328"/>
      <c r="AU289" s="328"/>
      <c r="AV289" s="328"/>
      <c r="AW289" s="328"/>
      <c r="AX289" s="328"/>
      <c r="AY289" s="328"/>
      <c r="AZ289" s="328"/>
      <c r="BA289" s="328"/>
      <c r="BB289" s="328"/>
      <c r="BC289" s="328"/>
    </row>
    <row r="290" spans="32:55">
      <c r="AF290" s="327"/>
      <c r="AG290" s="327"/>
      <c r="AH290" s="327"/>
      <c r="AI290" s="327"/>
      <c r="AJ290" s="327"/>
      <c r="AK290" s="327"/>
      <c r="AL290" s="328"/>
      <c r="AM290" s="329">
        <v>3274</v>
      </c>
      <c r="AN290" s="329">
        <v>0</v>
      </c>
      <c r="AO290" s="329">
        <v>0</v>
      </c>
      <c r="AP290" s="373">
        <v>0</v>
      </c>
      <c r="AQ290" s="373">
        <v>0</v>
      </c>
      <c r="AR290" s="328"/>
      <c r="AS290" s="328"/>
      <c r="AT290" s="328"/>
      <c r="AU290" s="328"/>
      <c r="AV290" s="328"/>
      <c r="AW290" s="328"/>
      <c r="AX290" s="328"/>
      <c r="AY290" s="328"/>
      <c r="AZ290" s="328"/>
      <c r="BA290" s="328"/>
      <c r="BB290" s="328"/>
      <c r="BC290" s="328"/>
    </row>
    <row r="291" spans="32:55">
      <c r="AF291" s="327"/>
      <c r="AG291" s="327"/>
      <c r="AH291" s="327"/>
      <c r="AI291" s="327"/>
      <c r="AJ291" s="327"/>
      <c r="AK291" s="327"/>
      <c r="AL291" s="328"/>
      <c r="AM291" s="329">
        <v>3276</v>
      </c>
      <c r="AN291" s="329">
        <v>0</v>
      </c>
      <c r="AO291" s="329">
        <v>0</v>
      </c>
      <c r="AP291" s="373">
        <v>0</v>
      </c>
      <c r="AQ291" s="373">
        <v>0</v>
      </c>
      <c r="AR291" s="328"/>
      <c r="AS291" s="328"/>
      <c r="AT291" s="328"/>
      <c r="AU291" s="328"/>
      <c r="AV291" s="328"/>
      <c r="AW291" s="328"/>
      <c r="AX291" s="328"/>
      <c r="AY291" s="328"/>
      <c r="AZ291" s="328"/>
      <c r="BA291" s="328"/>
      <c r="BB291" s="328"/>
      <c r="BC291" s="328"/>
    </row>
    <row r="292" spans="32:55">
      <c r="AF292" s="327"/>
      <c r="AG292" s="327"/>
      <c r="AH292" s="327"/>
      <c r="AI292" s="327"/>
      <c r="AJ292" s="327"/>
      <c r="AK292" s="327"/>
      <c r="AL292" s="328"/>
      <c r="AM292" s="329">
        <v>3277</v>
      </c>
      <c r="AN292" s="329">
        <v>0.11434430333499999</v>
      </c>
      <c r="AO292" s="329">
        <v>100</v>
      </c>
      <c r="AP292" s="373">
        <v>0.7298731472543083</v>
      </c>
      <c r="AQ292" s="373">
        <v>0.7298731472543083</v>
      </c>
      <c r="AR292" s="328"/>
      <c r="AS292" s="328"/>
      <c r="AT292" s="328"/>
      <c r="AU292" s="328"/>
      <c r="AV292" s="328"/>
      <c r="AW292" s="328"/>
      <c r="AX292" s="328"/>
      <c r="AY292" s="328"/>
      <c r="AZ292" s="328"/>
      <c r="BA292" s="328"/>
      <c r="BB292" s="328"/>
      <c r="BC292" s="328"/>
    </row>
    <row r="293" spans="32:55">
      <c r="AF293" s="327"/>
      <c r="AG293" s="327"/>
      <c r="AH293" s="327"/>
      <c r="AI293" s="327"/>
      <c r="AJ293" s="327"/>
      <c r="AK293" s="327"/>
      <c r="AL293" s="328"/>
      <c r="AM293" s="329">
        <v>3278</v>
      </c>
      <c r="AN293" s="329">
        <v>34.737485320700003</v>
      </c>
      <c r="AO293" s="329">
        <v>80.774544863459042</v>
      </c>
      <c r="AP293" s="373">
        <v>0.83377719344742074</v>
      </c>
      <c r="AQ293" s="373">
        <v>0.80774544863459041</v>
      </c>
      <c r="AR293" s="328"/>
      <c r="AS293" s="328"/>
      <c r="AT293" s="328"/>
      <c r="AU293" s="328"/>
      <c r="AV293" s="328"/>
      <c r="AW293" s="328"/>
      <c r="AX293" s="328"/>
      <c r="AY293" s="328"/>
      <c r="AZ293" s="328"/>
      <c r="BA293" s="328"/>
      <c r="BB293" s="328"/>
      <c r="BC293" s="328"/>
    </row>
    <row r="294" spans="32:55">
      <c r="AF294" s="327"/>
      <c r="AG294" s="327"/>
      <c r="AH294" s="327"/>
      <c r="AI294" s="327"/>
      <c r="AJ294" s="327"/>
      <c r="AK294" s="327"/>
      <c r="AL294" s="328"/>
      <c r="AM294" s="329">
        <v>3279</v>
      </c>
      <c r="AN294" s="329">
        <v>62.838377128499999</v>
      </c>
      <c r="AO294" s="329">
        <v>85.452695829094608</v>
      </c>
      <c r="AP294" s="373">
        <v>0.91810796976262854</v>
      </c>
      <c r="AQ294" s="373">
        <v>0.85452695829094605</v>
      </c>
      <c r="AR294" s="328"/>
      <c r="AS294" s="328"/>
      <c r="AT294" s="328"/>
      <c r="AU294" s="328"/>
      <c r="AV294" s="328"/>
      <c r="AW294" s="328"/>
      <c r="AX294" s="328"/>
      <c r="AY294" s="328"/>
      <c r="AZ294" s="328"/>
      <c r="BA294" s="328"/>
      <c r="BB294" s="328"/>
      <c r="BC294" s="328"/>
    </row>
    <row r="295" spans="32:55">
      <c r="AF295" s="327"/>
      <c r="AG295" s="327"/>
      <c r="AH295" s="327"/>
      <c r="AI295" s="327"/>
      <c r="AJ295" s="327"/>
      <c r="AK295" s="327"/>
      <c r="AL295" s="328"/>
      <c r="AM295" s="329">
        <v>3280</v>
      </c>
      <c r="AN295" s="329">
        <v>15.179503416999999</v>
      </c>
      <c r="AO295" s="329">
        <v>48.924731182795696</v>
      </c>
      <c r="AP295" s="373">
        <v>0.77508368975441699</v>
      </c>
      <c r="AQ295" s="373">
        <v>0.48924731182795694</v>
      </c>
      <c r="AR295" s="328"/>
      <c r="AS295" s="328"/>
      <c r="AT295" s="328"/>
      <c r="AU295" s="328"/>
      <c r="AV295" s="328"/>
      <c r="AW295" s="328"/>
      <c r="AX295" s="328"/>
      <c r="AY295" s="328"/>
      <c r="AZ295" s="328"/>
      <c r="BA295" s="328"/>
      <c r="BB295" s="328"/>
      <c r="BC295" s="328"/>
    </row>
    <row r="296" spans="32:55">
      <c r="AF296" s="327"/>
      <c r="AG296" s="327"/>
      <c r="AH296" s="327"/>
      <c r="AI296" s="327"/>
      <c r="AJ296" s="327"/>
      <c r="AK296" s="327"/>
      <c r="AL296" s="328"/>
      <c r="AM296" s="329">
        <v>3370</v>
      </c>
      <c r="AN296" s="329">
        <v>0</v>
      </c>
      <c r="AO296" s="329">
        <v>0</v>
      </c>
      <c r="AP296" s="373">
        <v>0</v>
      </c>
      <c r="AQ296" s="373">
        <v>0</v>
      </c>
      <c r="AR296" s="328"/>
      <c r="AS296" s="328"/>
      <c r="AT296" s="328"/>
      <c r="AU296" s="328"/>
      <c r="AV296" s="328"/>
      <c r="AW296" s="328"/>
      <c r="AX296" s="328"/>
      <c r="AY296" s="328"/>
      <c r="AZ296" s="328"/>
      <c r="BA296" s="328"/>
      <c r="BB296" s="328"/>
      <c r="BC296" s="328"/>
    </row>
    <row r="297" spans="32:55">
      <c r="AF297" s="327"/>
      <c r="AG297" s="327"/>
      <c r="AH297" s="327"/>
      <c r="AI297" s="327"/>
      <c r="AJ297" s="327"/>
      <c r="AK297" s="327"/>
      <c r="AL297" s="328"/>
      <c r="AM297" s="329">
        <v>3374</v>
      </c>
      <c r="AN297" s="329">
        <v>0</v>
      </c>
      <c r="AO297" s="329">
        <v>0</v>
      </c>
      <c r="AP297" s="373">
        <v>0</v>
      </c>
      <c r="AQ297" s="373">
        <v>0</v>
      </c>
      <c r="AR297" s="328"/>
      <c r="AS297" s="328"/>
      <c r="AT297" s="328"/>
      <c r="AU297" s="328"/>
      <c r="AV297" s="328"/>
      <c r="AW297" s="328"/>
      <c r="AX297" s="328"/>
      <c r="AY297" s="328"/>
      <c r="AZ297" s="328"/>
      <c r="BA297" s="328"/>
      <c r="BB297" s="328"/>
      <c r="BC297" s="328"/>
    </row>
    <row r="298" spans="32:55">
      <c r="AF298" s="327"/>
      <c r="AG298" s="327"/>
      <c r="AH298" s="327"/>
      <c r="AI298" s="327"/>
      <c r="AJ298" s="327"/>
      <c r="AK298" s="327"/>
      <c r="AL298" s="328"/>
      <c r="AM298" s="329">
        <v>3375</v>
      </c>
      <c r="AN298" s="329">
        <v>0</v>
      </c>
      <c r="AO298" s="329">
        <v>0</v>
      </c>
      <c r="AP298" s="373">
        <v>0</v>
      </c>
      <c r="AQ298" s="373">
        <v>0</v>
      </c>
      <c r="AR298" s="328"/>
      <c r="AS298" s="328"/>
      <c r="AT298" s="328"/>
      <c r="AU298" s="328"/>
      <c r="AV298" s="328"/>
      <c r="AW298" s="328"/>
      <c r="AX298" s="328"/>
      <c r="AY298" s="328"/>
      <c r="AZ298" s="328"/>
      <c r="BA298" s="328"/>
      <c r="BB298" s="328"/>
      <c r="BC298" s="328"/>
    </row>
    <row r="299" spans="32:55">
      <c r="AF299" s="327"/>
      <c r="AG299" s="327"/>
      <c r="AH299" s="327"/>
      <c r="AI299" s="327"/>
      <c r="AJ299" s="327"/>
      <c r="AK299" s="327"/>
      <c r="AL299" s="328"/>
      <c r="AM299" s="329">
        <v>3376</v>
      </c>
      <c r="AN299" s="329">
        <v>16.964084256900001</v>
      </c>
      <c r="AO299" s="329">
        <v>94.488592668546517</v>
      </c>
      <c r="AP299" s="373">
        <v>0.78043921685495687</v>
      </c>
      <c r="AQ299" s="373">
        <v>0.94488592668546512</v>
      </c>
      <c r="AR299" s="328"/>
      <c r="AS299" s="328"/>
      <c r="AT299" s="328"/>
      <c r="AU299" s="328"/>
      <c r="AV299" s="328"/>
      <c r="AW299" s="328"/>
      <c r="AX299" s="328"/>
      <c r="AY299" s="328"/>
      <c r="AZ299" s="328"/>
      <c r="BA299" s="328"/>
      <c r="BB299" s="328"/>
      <c r="BC299" s="328"/>
    </row>
    <row r="300" spans="32:55">
      <c r="AF300" s="327"/>
      <c r="AG300" s="327"/>
      <c r="AH300" s="327"/>
      <c r="AI300" s="327"/>
      <c r="AJ300" s="327"/>
      <c r="AK300" s="327"/>
      <c r="AL300" s="328"/>
      <c r="AM300" s="329">
        <v>3377</v>
      </c>
      <c r="AN300" s="329">
        <v>68.0531487011</v>
      </c>
      <c r="AO300" s="329">
        <v>81.175682465248698</v>
      </c>
      <c r="AP300" s="373">
        <v>0.93375749925200113</v>
      </c>
      <c r="AQ300" s="373">
        <v>0.811756824652487</v>
      </c>
      <c r="AR300" s="328"/>
      <c r="AS300" s="328"/>
      <c r="AT300" s="328"/>
      <c r="AU300" s="328"/>
      <c r="AV300" s="328"/>
      <c r="AW300" s="328"/>
      <c r="AX300" s="328"/>
      <c r="AY300" s="328"/>
      <c r="AZ300" s="328"/>
      <c r="BA300" s="328"/>
      <c r="BB300" s="328"/>
      <c r="BC300" s="328"/>
    </row>
    <row r="301" spans="32:55">
      <c r="AF301" s="327"/>
      <c r="AG301" s="327"/>
      <c r="AH301" s="327"/>
      <c r="AI301" s="327"/>
      <c r="AJ301" s="327"/>
      <c r="AK301" s="327"/>
      <c r="AL301" s="328"/>
      <c r="AM301" s="329">
        <v>3378</v>
      </c>
      <c r="AN301" s="329">
        <v>44.683335055199997</v>
      </c>
      <c r="AO301" s="329">
        <v>83.817976565845299</v>
      </c>
      <c r="AP301" s="373">
        <v>0.86362468850065521</v>
      </c>
      <c r="AQ301" s="373">
        <v>0.83817976565845298</v>
      </c>
      <c r="AR301" s="328"/>
      <c r="AS301" s="328"/>
      <c r="AT301" s="328"/>
      <c r="AU301" s="328"/>
      <c r="AV301" s="328"/>
      <c r="AW301" s="328"/>
      <c r="AX301" s="328"/>
      <c r="AY301" s="328"/>
      <c r="AZ301" s="328"/>
      <c r="BA301" s="328"/>
      <c r="BB301" s="328"/>
      <c r="BC301" s="328"/>
    </row>
    <row r="302" spans="32:55">
      <c r="AF302" s="327"/>
      <c r="AG302" s="327"/>
      <c r="AH302" s="327"/>
      <c r="AI302" s="327"/>
      <c r="AJ302" s="327"/>
      <c r="AK302" s="327"/>
      <c r="AL302" s="328"/>
      <c r="AM302" s="329">
        <v>3379</v>
      </c>
      <c r="AN302" s="329">
        <v>0</v>
      </c>
      <c r="AO302" s="329">
        <v>0</v>
      </c>
      <c r="AP302" s="373">
        <v>0</v>
      </c>
      <c r="AQ302" s="373">
        <v>0</v>
      </c>
      <c r="AR302" s="328"/>
      <c r="AS302" s="328"/>
      <c r="AT302" s="328"/>
      <c r="AU302" s="328"/>
      <c r="AV302" s="328"/>
      <c r="AW302" s="328"/>
      <c r="AX302" s="328"/>
      <c r="AY302" s="328"/>
      <c r="AZ302" s="328"/>
      <c r="BA302" s="328"/>
      <c r="BB302" s="328"/>
      <c r="BC302" s="328"/>
    </row>
    <row r="303" spans="32:55">
      <c r="AF303" s="327"/>
      <c r="AG303" s="327"/>
      <c r="AH303" s="327"/>
      <c r="AI303" s="327"/>
      <c r="AJ303" s="327"/>
      <c r="AK303" s="327"/>
      <c r="AL303" s="328"/>
      <c r="AM303" s="329">
        <v>3470</v>
      </c>
      <c r="AN303" s="329">
        <v>0</v>
      </c>
      <c r="AO303" s="329">
        <v>0</v>
      </c>
      <c r="AP303" s="373">
        <v>0</v>
      </c>
      <c r="AQ303" s="373">
        <v>0</v>
      </c>
      <c r="AR303" s="328"/>
      <c r="AS303" s="328"/>
      <c r="AT303" s="328"/>
      <c r="AU303" s="328"/>
      <c r="AV303" s="328"/>
      <c r="AW303" s="328"/>
      <c r="AX303" s="328"/>
      <c r="AY303" s="328"/>
      <c r="AZ303" s="328"/>
      <c r="BA303" s="328"/>
      <c r="BB303" s="328"/>
      <c r="BC303" s="328"/>
    </row>
    <row r="304" spans="32:55">
      <c r="AF304" s="327"/>
      <c r="AG304" s="327"/>
      <c r="AH304" s="327"/>
      <c r="AI304" s="327"/>
      <c r="AJ304" s="327"/>
      <c r="AK304" s="327"/>
      <c r="AL304" s="328"/>
      <c r="AM304" s="329">
        <v>3472</v>
      </c>
      <c r="AN304" s="329">
        <v>0</v>
      </c>
      <c r="AO304" s="329">
        <v>0</v>
      </c>
      <c r="AP304" s="373">
        <v>0</v>
      </c>
      <c r="AQ304" s="373">
        <v>0</v>
      </c>
      <c r="AR304" s="328"/>
      <c r="AS304" s="328"/>
      <c r="AT304" s="328"/>
      <c r="AU304" s="328"/>
      <c r="AV304" s="328"/>
      <c r="AW304" s="328"/>
      <c r="AX304" s="328"/>
      <c r="AY304" s="328"/>
      <c r="AZ304" s="328"/>
      <c r="BA304" s="328"/>
      <c r="BB304" s="328"/>
      <c r="BC304" s="328"/>
    </row>
    <row r="305" spans="32:55">
      <c r="AF305" s="327"/>
      <c r="AG305" s="327"/>
      <c r="AH305" s="327"/>
      <c r="AI305" s="327"/>
      <c r="AJ305" s="327"/>
      <c r="AK305" s="327"/>
      <c r="AL305" s="328"/>
      <c r="AM305" s="329">
        <v>3473</v>
      </c>
      <c r="AN305" s="329">
        <v>0</v>
      </c>
      <c r="AO305" s="329">
        <v>0</v>
      </c>
      <c r="AP305" s="373">
        <v>0</v>
      </c>
      <c r="AQ305" s="373">
        <v>0</v>
      </c>
      <c r="AR305" s="328"/>
      <c r="AS305" s="328"/>
      <c r="AT305" s="328"/>
      <c r="AU305" s="328"/>
      <c r="AV305" s="328"/>
      <c r="AW305" s="328"/>
      <c r="AX305" s="328"/>
      <c r="AY305" s="328"/>
      <c r="AZ305" s="328"/>
      <c r="BA305" s="328"/>
      <c r="BB305" s="328"/>
      <c r="BC305" s="328"/>
    </row>
    <row r="306" spans="32:55">
      <c r="AF306" s="327"/>
      <c r="AG306" s="327"/>
      <c r="AH306" s="327"/>
      <c r="AI306" s="327"/>
      <c r="AJ306" s="327"/>
      <c r="AK306" s="327"/>
      <c r="AL306" s="328"/>
      <c r="AM306" s="329">
        <v>3474</v>
      </c>
      <c r="AN306" s="329">
        <v>0</v>
      </c>
      <c r="AO306" s="329">
        <v>0</v>
      </c>
      <c r="AP306" s="373">
        <v>0</v>
      </c>
      <c r="AQ306" s="373">
        <v>0</v>
      </c>
      <c r="AR306" s="328"/>
      <c r="AS306" s="328"/>
      <c r="AT306" s="328"/>
      <c r="AU306" s="328"/>
      <c r="AV306" s="328"/>
      <c r="AW306" s="328"/>
      <c r="AX306" s="328"/>
      <c r="AY306" s="328"/>
      <c r="AZ306" s="328"/>
      <c r="BA306" s="328"/>
      <c r="BB306" s="328"/>
      <c r="BC306" s="328"/>
    </row>
    <row r="307" spans="32:55">
      <c r="AF307" s="327"/>
      <c r="AG307" s="327"/>
      <c r="AH307" s="327"/>
      <c r="AI307" s="327"/>
      <c r="AJ307" s="327"/>
      <c r="AK307" s="327"/>
      <c r="AL307" s="328"/>
      <c r="AM307" s="329">
        <v>3475</v>
      </c>
      <c r="AN307" s="329">
        <v>23.003049963300001</v>
      </c>
      <c r="AO307" s="329">
        <v>100</v>
      </c>
      <c r="AP307" s="373">
        <v>0.79856215293986343</v>
      </c>
      <c r="AQ307" s="373">
        <v>0.79856215293986343</v>
      </c>
      <c r="AR307" s="328"/>
      <c r="AS307" s="328"/>
      <c r="AT307" s="328"/>
      <c r="AU307" s="328"/>
      <c r="AV307" s="328"/>
      <c r="AW307" s="328"/>
      <c r="AX307" s="328"/>
      <c r="AY307" s="328"/>
      <c r="AZ307" s="328"/>
      <c r="BA307" s="328"/>
      <c r="BB307" s="328"/>
      <c r="BC307" s="328"/>
    </row>
    <row r="308" spans="32:55">
      <c r="AF308" s="327"/>
      <c r="AG308" s="327"/>
      <c r="AH308" s="327"/>
      <c r="AI308" s="327"/>
      <c r="AJ308" s="327"/>
      <c r="AK308" s="327"/>
      <c r="AL308" s="328"/>
      <c r="AM308" s="329">
        <v>3476</v>
      </c>
      <c r="AN308" s="329">
        <v>68.213471801799997</v>
      </c>
      <c r="AO308" s="329">
        <v>91.42096440193275</v>
      </c>
      <c r="AP308" s="373">
        <v>0.93423862887720177</v>
      </c>
      <c r="AQ308" s="373">
        <v>0.91420964401932747</v>
      </c>
      <c r="AR308" s="328"/>
      <c r="AS308" s="328"/>
      <c r="AT308" s="328"/>
      <c r="AU308" s="328"/>
      <c r="AV308" s="328"/>
      <c r="AW308" s="328"/>
      <c r="AX308" s="328"/>
      <c r="AY308" s="328"/>
      <c r="AZ308" s="328"/>
      <c r="BA308" s="328"/>
      <c r="BB308" s="328"/>
      <c r="BC308" s="328"/>
    </row>
    <row r="309" spans="32:55">
      <c r="AF309" s="327"/>
      <c r="AG309" s="327"/>
      <c r="AH309" s="327"/>
      <c r="AI309" s="327"/>
      <c r="AJ309" s="327"/>
      <c r="AK309" s="327"/>
      <c r="AL309" s="328"/>
      <c r="AM309" s="329">
        <v>3477</v>
      </c>
      <c r="AN309" s="329">
        <v>40.185779608600001</v>
      </c>
      <c r="AO309" s="329">
        <v>93.519014461703264</v>
      </c>
      <c r="AP309" s="373">
        <v>0.85012752460540864</v>
      </c>
      <c r="AQ309" s="373">
        <v>0.93519014461703265</v>
      </c>
      <c r="AR309" s="328"/>
      <c r="AS309" s="328"/>
      <c r="AT309" s="328"/>
      <c r="AU309" s="328"/>
      <c r="AV309" s="328"/>
      <c r="AW309" s="328"/>
      <c r="AX309" s="328"/>
      <c r="AY309" s="328"/>
      <c r="AZ309" s="328"/>
      <c r="BA309" s="328"/>
      <c r="BB309" s="328"/>
      <c r="BC309" s="328"/>
    </row>
    <row r="310" spans="32:55">
      <c r="AF310" s="327"/>
      <c r="AG310" s="327"/>
      <c r="AH310" s="327"/>
      <c r="AI310" s="327"/>
      <c r="AJ310" s="327"/>
      <c r="AK310" s="327"/>
      <c r="AL310" s="328"/>
      <c r="AM310" s="329">
        <v>3572</v>
      </c>
      <c r="AN310" s="329">
        <v>0</v>
      </c>
      <c r="AO310" s="329">
        <v>0</v>
      </c>
      <c r="AP310" s="373">
        <v>0</v>
      </c>
      <c r="AQ310" s="373">
        <v>0</v>
      </c>
      <c r="AR310" s="328"/>
      <c r="AS310" s="328"/>
      <c r="AT310" s="328"/>
      <c r="AU310" s="328"/>
      <c r="AV310" s="328"/>
      <c r="AW310" s="328"/>
      <c r="AX310" s="328"/>
      <c r="AY310" s="328"/>
      <c r="AZ310" s="328"/>
      <c r="BA310" s="328"/>
      <c r="BB310" s="328"/>
      <c r="BC310" s="328"/>
    </row>
    <row r="311" spans="32:55">
      <c r="AF311" s="327"/>
      <c r="AG311" s="327"/>
      <c r="AH311" s="327"/>
      <c r="AI311" s="327"/>
      <c r="AJ311" s="327"/>
      <c r="AK311" s="327"/>
      <c r="AL311" s="328"/>
      <c r="AM311" s="329">
        <v>3573</v>
      </c>
      <c r="AN311" s="329">
        <v>0</v>
      </c>
      <c r="AO311" s="329">
        <v>0</v>
      </c>
      <c r="AP311" s="373">
        <v>0</v>
      </c>
      <c r="AQ311" s="373">
        <v>0</v>
      </c>
      <c r="AR311" s="328"/>
      <c r="AS311" s="328"/>
      <c r="AT311" s="328"/>
      <c r="AU311" s="328"/>
      <c r="AV311" s="328"/>
      <c r="AW311" s="328"/>
      <c r="AX311" s="328"/>
      <c r="AY311" s="328"/>
      <c r="AZ311" s="328"/>
      <c r="BA311" s="328"/>
      <c r="BB311" s="328"/>
      <c r="BC311" s="328"/>
    </row>
    <row r="312" spans="32:55">
      <c r="AF312" s="327"/>
      <c r="AG312" s="327"/>
      <c r="AH312" s="327"/>
      <c r="AI312" s="327"/>
      <c r="AJ312" s="327"/>
      <c r="AK312" s="327"/>
      <c r="AL312" s="328"/>
      <c r="AM312" s="329">
        <v>3574</v>
      </c>
      <c r="AN312" s="329">
        <v>9.1750870752400004</v>
      </c>
      <c r="AO312" s="329">
        <v>0</v>
      </c>
      <c r="AP312" s="373">
        <v>0.7570644363127953</v>
      </c>
      <c r="AQ312" s="373">
        <v>0.7570644363127953</v>
      </c>
      <c r="AR312" s="328"/>
      <c r="AS312" s="328"/>
      <c r="AT312" s="328"/>
      <c r="AU312" s="328"/>
      <c r="AV312" s="328"/>
      <c r="AW312" s="328"/>
      <c r="AX312" s="328"/>
      <c r="AY312" s="328"/>
      <c r="AZ312" s="328"/>
      <c r="BA312" s="328"/>
      <c r="BB312" s="328"/>
      <c r="BC312" s="328"/>
    </row>
    <row r="313" spans="32:55">
      <c r="AF313" s="327"/>
      <c r="AG313" s="327"/>
      <c r="AH313" s="327"/>
      <c r="AI313" s="327"/>
      <c r="AJ313" s="327"/>
      <c r="AK313" s="327"/>
      <c r="AL313" s="328"/>
      <c r="AM313" s="329">
        <v>3575</v>
      </c>
      <c r="AN313" s="329">
        <v>68.763304480900004</v>
      </c>
      <c r="AO313" s="329">
        <v>93.75</v>
      </c>
      <c r="AP313" s="373">
        <v>0.9358886767471809</v>
      </c>
      <c r="AQ313" s="373">
        <v>0.9375</v>
      </c>
      <c r="AR313" s="328"/>
      <c r="AS313" s="328"/>
      <c r="AT313" s="328"/>
      <c r="AU313" s="328"/>
      <c r="AV313" s="328"/>
      <c r="AW313" s="328"/>
      <c r="AX313" s="328"/>
      <c r="AY313" s="328"/>
      <c r="AZ313" s="328"/>
      <c r="BA313" s="328"/>
      <c r="BB313" s="328"/>
      <c r="BC313" s="328"/>
    </row>
    <row r="314" spans="32:55">
      <c r="AF314" s="327"/>
      <c r="AG314" s="327"/>
      <c r="AH314" s="327"/>
      <c r="AI314" s="327"/>
      <c r="AJ314" s="327"/>
      <c r="AK314" s="327"/>
      <c r="AL314" s="328"/>
      <c r="AM314" s="329">
        <v>3674</v>
      </c>
      <c r="AN314" s="329">
        <v>0</v>
      </c>
      <c r="AO314" s="329">
        <v>0</v>
      </c>
      <c r="AP314" s="373">
        <v>0</v>
      </c>
      <c r="AQ314" s="373">
        <v>0</v>
      </c>
      <c r="AR314" s="328"/>
      <c r="AS314" s="328"/>
      <c r="AT314" s="328"/>
      <c r="AU314" s="328"/>
      <c r="AV314" s="328"/>
      <c r="AW314" s="328"/>
      <c r="AX314" s="328"/>
      <c r="AY314" s="328"/>
      <c r="AZ314" s="328"/>
      <c r="BA314" s="328"/>
      <c r="BB314" s="328"/>
      <c r="BC314" s="328"/>
    </row>
    <row r="315" spans="32:55">
      <c r="AF315" s="327"/>
      <c r="AG315" s="327"/>
      <c r="AH315" s="327"/>
      <c r="AI315" s="327"/>
      <c r="AJ315" s="327"/>
      <c r="AK315" s="327"/>
      <c r="AL315" s="328"/>
      <c r="AM315" s="329">
        <v>3675</v>
      </c>
      <c r="AN315" s="329">
        <v>0</v>
      </c>
      <c r="AO315" s="329">
        <v>0</v>
      </c>
      <c r="AP315" s="373">
        <v>0</v>
      </c>
      <c r="AQ315" s="373">
        <v>0</v>
      </c>
      <c r="AR315" s="328"/>
      <c r="AS315" s="328"/>
      <c r="AT315" s="328"/>
      <c r="AU315" s="328"/>
      <c r="AV315" s="328"/>
      <c r="AW315" s="328"/>
      <c r="AX315" s="328"/>
      <c r="AY315" s="328"/>
      <c r="AZ315" s="328"/>
      <c r="BA315" s="328"/>
      <c r="BB315" s="328"/>
      <c r="BC315" s="328"/>
    </row>
    <row r="316" spans="32:55">
      <c r="AF316" s="327"/>
      <c r="AG316" s="327"/>
      <c r="AH316" s="327"/>
      <c r="AI316" s="327"/>
      <c r="AJ316" s="327"/>
      <c r="AK316" s="327"/>
      <c r="AL316" s="328"/>
      <c r="AM316" s="329"/>
      <c r="AN316" s="329"/>
      <c r="AO316" s="329"/>
      <c r="AP316" s="329"/>
      <c r="AQ316" s="329"/>
      <c r="AR316" s="328"/>
      <c r="AS316" s="328"/>
      <c r="AT316" s="328"/>
      <c r="AU316" s="328"/>
      <c r="AV316" s="328"/>
      <c r="AW316" s="328"/>
      <c r="AX316" s="328"/>
      <c r="AY316" s="328"/>
      <c r="AZ316" s="328"/>
      <c r="BA316" s="328"/>
      <c r="BB316" s="328"/>
      <c r="BC316" s="328"/>
    </row>
    <row r="317" spans="32:55">
      <c r="AF317" s="327"/>
      <c r="AG317" s="327"/>
      <c r="AH317" s="327"/>
      <c r="AI317" s="327"/>
      <c r="AJ317" s="327"/>
      <c r="AK317" s="327"/>
      <c r="AL317" s="328"/>
      <c r="AM317" s="329"/>
      <c r="AN317" s="329"/>
      <c r="AO317" s="329"/>
      <c r="AP317" s="329"/>
      <c r="AQ317" s="329"/>
      <c r="AR317" s="328"/>
      <c r="AS317" s="328"/>
      <c r="AT317" s="328"/>
      <c r="AU317" s="328"/>
      <c r="AV317" s="328"/>
      <c r="AW317" s="328"/>
      <c r="AX317" s="328"/>
      <c r="AY317" s="328"/>
      <c r="AZ317" s="328"/>
      <c r="BA317" s="328"/>
      <c r="BB317" s="328"/>
      <c r="BC317" s="328"/>
    </row>
    <row r="318" spans="32:55">
      <c r="AF318" s="327"/>
      <c r="AG318" s="327"/>
      <c r="AH318" s="327"/>
      <c r="AI318" s="327"/>
      <c r="AJ318" s="327"/>
      <c r="AK318" s="327"/>
      <c r="AL318" s="328"/>
      <c r="AM318" s="329"/>
      <c r="AN318" s="329"/>
      <c r="AO318" s="329"/>
      <c r="AP318" s="329"/>
      <c r="AQ318" s="329"/>
      <c r="AR318" s="328"/>
      <c r="AS318" s="328"/>
      <c r="AT318" s="328"/>
      <c r="AU318" s="328"/>
      <c r="AV318" s="328"/>
      <c r="AW318" s="328"/>
      <c r="AX318" s="328"/>
      <c r="AY318" s="328"/>
      <c r="AZ318" s="328"/>
      <c r="BA318" s="328"/>
      <c r="BB318" s="328"/>
      <c r="BC318" s="328"/>
    </row>
    <row r="319" spans="32:55">
      <c r="AF319" s="327"/>
      <c r="AG319" s="327"/>
      <c r="AH319" s="327"/>
      <c r="AI319" s="327"/>
      <c r="AJ319" s="327"/>
      <c r="AK319" s="327"/>
      <c r="AL319" s="328"/>
      <c r="AM319" s="329"/>
      <c r="AN319" s="329"/>
      <c r="AO319" s="329"/>
      <c r="AP319" s="329"/>
      <c r="AQ319" s="329"/>
      <c r="AR319" s="328"/>
      <c r="AS319" s="328"/>
      <c r="AT319" s="328"/>
      <c r="AU319" s="328"/>
      <c r="AV319" s="328"/>
      <c r="AW319" s="328"/>
      <c r="AX319" s="328"/>
      <c r="AY319" s="328"/>
      <c r="AZ319" s="328"/>
      <c r="BA319" s="328"/>
      <c r="BB319" s="328"/>
      <c r="BC319" s="328"/>
    </row>
    <row r="320" spans="32:55">
      <c r="AF320" s="327"/>
      <c r="AG320" s="327"/>
      <c r="AH320" s="327"/>
      <c r="AI320" s="327"/>
      <c r="AJ320" s="327"/>
      <c r="AK320" s="327"/>
      <c r="AL320" s="328"/>
      <c r="AM320" s="329"/>
      <c r="AN320" s="329"/>
      <c r="AO320" s="329"/>
      <c r="AP320" s="329"/>
      <c r="AQ320" s="329"/>
      <c r="AR320" s="328"/>
      <c r="AS320" s="328"/>
      <c r="AT320" s="328"/>
      <c r="AU320" s="328"/>
      <c r="AV320" s="328"/>
      <c r="AW320" s="328"/>
      <c r="AX320" s="328"/>
      <c r="AY320" s="328"/>
      <c r="AZ320" s="328"/>
      <c r="BA320" s="328"/>
      <c r="BB320" s="328"/>
      <c r="BC320" s="328"/>
    </row>
    <row r="321" spans="32:55">
      <c r="AF321" s="327"/>
      <c r="AG321" s="327"/>
      <c r="AH321" s="327"/>
      <c r="AI321" s="327"/>
      <c r="AJ321" s="327"/>
      <c r="AK321" s="327"/>
      <c r="AL321" s="328"/>
      <c r="AM321" s="329"/>
      <c r="AN321" s="329"/>
      <c r="AO321" s="329"/>
      <c r="AP321" s="329"/>
      <c r="AQ321" s="329"/>
      <c r="AR321" s="328"/>
      <c r="AS321" s="328"/>
      <c r="AT321" s="328"/>
      <c r="AU321" s="328"/>
      <c r="AV321" s="328"/>
      <c r="AW321" s="328"/>
      <c r="AX321" s="328"/>
      <c r="AY321" s="328"/>
      <c r="AZ321" s="328"/>
      <c r="BA321" s="328"/>
      <c r="BB321" s="328"/>
      <c r="BC321" s="328"/>
    </row>
    <row r="322" spans="32:55">
      <c r="AF322" s="327"/>
      <c r="AG322" s="327"/>
      <c r="AH322" s="327"/>
      <c r="AI322" s="327"/>
      <c r="AJ322" s="327"/>
      <c r="AK322" s="327"/>
      <c r="AL322" s="328"/>
      <c r="AM322" s="329"/>
      <c r="AN322" s="329"/>
      <c r="AO322" s="329"/>
      <c r="AP322" s="329"/>
      <c r="AQ322" s="329"/>
      <c r="AR322" s="328"/>
      <c r="AS322" s="328"/>
      <c r="AT322" s="328"/>
      <c r="AU322" s="328"/>
      <c r="AV322" s="328"/>
      <c r="AW322" s="328"/>
      <c r="AX322" s="328"/>
      <c r="AY322" s="328"/>
      <c r="AZ322" s="328"/>
      <c r="BA322" s="328"/>
      <c r="BB322" s="328"/>
      <c r="BC322" s="328"/>
    </row>
    <row r="323" spans="32:55">
      <c r="AF323" s="327"/>
      <c r="AG323" s="327"/>
      <c r="AH323" s="327"/>
      <c r="AI323" s="327"/>
      <c r="AJ323" s="327"/>
      <c r="AK323" s="327"/>
      <c r="AL323" s="328"/>
      <c r="AM323" s="329"/>
      <c r="AN323" s="329"/>
      <c r="AO323" s="329"/>
      <c r="AP323" s="329"/>
      <c r="AQ323" s="329"/>
      <c r="AR323" s="328"/>
      <c r="AS323" s="328"/>
      <c r="AT323" s="328"/>
      <c r="AU323" s="328"/>
      <c r="AV323" s="328"/>
      <c r="AW323" s="328"/>
      <c r="AX323" s="328"/>
      <c r="AY323" s="328"/>
      <c r="AZ323" s="328"/>
      <c r="BA323" s="328"/>
      <c r="BB323" s="328"/>
      <c r="BC323" s="328"/>
    </row>
    <row r="324" spans="32:55">
      <c r="AF324" s="327"/>
      <c r="AG324" s="327"/>
      <c r="AH324" s="327"/>
      <c r="AI324" s="327"/>
      <c r="AJ324" s="327"/>
      <c r="AK324" s="327"/>
      <c r="AL324" s="328"/>
      <c r="AM324" s="329"/>
      <c r="AN324" s="329"/>
      <c r="AO324" s="329"/>
      <c r="AP324" s="329"/>
      <c r="AQ324" s="329"/>
      <c r="AR324" s="328"/>
      <c r="AS324" s="328"/>
      <c r="AT324" s="328"/>
      <c r="AU324" s="328"/>
      <c r="AV324" s="328"/>
      <c r="AW324" s="328"/>
      <c r="AX324" s="328"/>
      <c r="AY324" s="328"/>
      <c r="AZ324" s="328"/>
      <c r="BA324" s="328"/>
      <c r="BB324" s="328"/>
      <c r="BC324" s="328"/>
    </row>
    <row r="325" spans="32:55">
      <c r="AF325" s="327"/>
      <c r="AG325" s="327"/>
      <c r="AH325" s="327"/>
      <c r="AI325" s="327"/>
      <c r="AJ325" s="327"/>
      <c r="AK325" s="327"/>
      <c r="AL325" s="328"/>
      <c r="AM325" s="329"/>
      <c r="AN325" s="329"/>
      <c r="AO325" s="329"/>
      <c r="AP325" s="329"/>
      <c r="AQ325" s="329"/>
      <c r="AR325" s="328"/>
      <c r="AS325" s="328"/>
      <c r="AT325" s="328"/>
      <c r="AU325" s="328"/>
      <c r="AV325" s="328"/>
      <c r="AW325" s="328"/>
      <c r="AX325" s="328"/>
      <c r="AY325" s="328"/>
      <c r="AZ325" s="328"/>
      <c r="BA325" s="328"/>
      <c r="BB325" s="328"/>
      <c r="BC325" s="328"/>
    </row>
    <row r="326" spans="32:55">
      <c r="AF326" s="327"/>
      <c r="AG326" s="327"/>
      <c r="AH326" s="327"/>
      <c r="AI326" s="327"/>
      <c r="AJ326" s="327"/>
      <c r="AK326" s="327"/>
      <c r="AL326" s="328"/>
      <c r="AM326" s="329"/>
      <c r="AN326" s="329"/>
      <c r="AO326" s="329"/>
      <c r="AP326" s="329"/>
      <c r="AQ326" s="329"/>
      <c r="AR326" s="328"/>
      <c r="AS326" s="328"/>
      <c r="AT326" s="328"/>
      <c r="AU326" s="328"/>
      <c r="AV326" s="328"/>
      <c r="AW326" s="328"/>
      <c r="AX326" s="328"/>
      <c r="AY326" s="328"/>
      <c r="AZ326" s="328"/>
      <c r="BA326" s="328"/>
      <c r="BB326" s="328"/>
      <c r="BC326" s="328"/>
    </row>
    <row r="327" spans="32:55">
      <c r="AF327" s="327"/>
      <c r="AG327" s="327"/>
      <c r="AH327" s="327"/>
      <c r="AI327" s="327"/>
      <c r="AJ327" s="327"/>
      <c r="AK327" s="327"/>
      <c r="AL327" s="328"/>
      <c r="AM327" s="329"/>
      <c r="AN327" s="329"/>
      <c r="AO327" s="329"/>
      <c r="AP327" s="329"/>
      <c r="AQ327" s="329"/>
      <c r="AR327" s="328"/>
      <c r="AS327" s="328"/>
      <c r="AT327" s="328"/>
      <c r="AU327" s="328"/>
      <c r="AV327" s="328"/>
      <c r="AW327" s="328"/>
      <c r="AX327" s="328"/>
      <c r="AY327" s="328"/>
      <c r="AZ327" s="328"/>
      <c r="BA327" s="328"/>
      <c r="BB327" s="328"/>
      <c r="BC327" s="328"/>
    </row>
    <row r="328" spans="32:55">
      <c r="AF328" s="327"/>
      <c r="AG328" s="327"/>
      <c r="AH328" s="327"/>
      <c r="AI328" s="327"/>
      <c r="AJ328" s="327"/>
      <c r="AK328" s="327"/>
      <c r="AL328" s="328"/>
      <c r="AM328" s="329"/>
      <c r="AN328" s="329"/>
      <c r="AO328" s="329"/>
      <c r="AP328" s="329"/>
      <c r="AQ328" s="329"/>
      <c r="AR328" s="328"/>
      <c r="AS328" s="328"/>
      <c r="AT328" s="328"/>
      <c r="AU328" s="328"/>
      <c r="AV328" s="328"/>
      <c r="AW328" s="328"/>
      <c r="AX328" s="328"/>
      <c r="AY328" s="328"/>
      <c r="AZ328" s="328"/>
      <c r="BA328" s="328"/>
      <c r="BB328" s="328"/>
      <c r="BC328" s="328"/>
    </row>
    <row r="329" spans="32:55">
      <c r="AF329" s="327"/>
      <c r="AG329" s="327"/>
      <c r="AH329" s="327"/>
      <c r="AI329" s="327"/>
      <c r="AJ329" s="327"/>
      <c r="AK329" s="327"/>
      <c r="AL329" s="328"/>
      <c r="AM329" s="329"/>
      <c r="AN329" s="329"/>
      <c r="AO329" s="329"/>
      <c r="AP329" s="329"/>
      <c r="AQ329" s="329"/>
      <c r="AR329" s="328"/>
      <c r="AS329" s="328"/>
      <c r="AT329" s="328"/>
      <c r="AU329" s="328"/>
      <c r="AV329" s="328"/>
      <c r="AW329" s="328"/>
      <c r="AX329" s="328"/>
      <c r="AY329" s="328"/>
      <c r="AZ329" s="328"/>
      <c r="BA329" s="328"/>
      <c r="BB329" s="328"/>
      <c r="BC329" s="328"/>
    </row>
    <row r="330" spans="32:55">
      <c r="AF330" s="327"/>
      <c r="AG330" s="327"/>
      <c r="AH330" s="327"/>
      <c r="AI330" s="327"/>
      <c r="AJ330" s="327"/>
      <c r="AK330" s="327"/>
      <c r="AL330" s="328"/>
      <c r="AM330" s="329"/>
      <c r="AN330" s="329"/>
      <c r="AO330" s="329"/>
      <c r="AP330" s="329"/>
      <c r="AQ330" s="329"/>
      <c r="AR330" s="328"/>
      <c r="AS330" s="328"/>
      <c r="AT330" s="328"/>
      <c r="AU330" s="328"/>
      <c r="AV330" s="328"/>
      <c r="AW330" s="328"/>
      <c r="AX330" s="328"/>
      <c r="AY330" s="328"/>
      <c r="AZ330" s="328"/>
      <c r="BA330" s="328"/>
      <c r="BB330" s="328"/>
      <c r="BC330" s="328"/>
    </row>
    <row r="331" spans="32:55">
      <c r="AF331" s="327"/>
      <c r="AG331" s="327"/>
      <c r="AH331" s="327"/>
      <c r="AI331" s="327"/>
      <c r="AJ331" s="327"/>
      <c r="AK331" s="327"/>
      <c r="AL331" s="328"/>
      <c r="AM331" s="329"/>
      <c r="AN331" s="329"/>
      <c r="AO331" s="329"/>
      <c r="AP331" s="329"/>
      <c r="AQ331" s="329"/>
      <c r="AR331" s="328"/>
      <c r="AS331" s="328"/>
      <c r="AT331" s="328"/>
      <c r="AU331" s="328"/>
      <c r="AV331" s="328"/>
      <c r="AW331" s="328"/>
      <c r="AX331" s="328"/>
      <c r="AY331" s="328"/>
      <c r="AZ331" s="328"/>
      <c r="BA331" s="328"/>
      <c r="BB331" s="328"/>
      <c r="BC331" s="328"/>
    </row>
    <row r="332" spans="32:55">
      <c r="AF332" s="327"/>
      <c r="AG332" s="327"/>
      <c r="AH332" s="327"/>
      <c r="AI332" s="327"/>
      <c r="AJ332" s="327"/>
      <c r="AK332" s="327"/>
      <c r="AL332" s="328"/>
      <c r="AM332" s="329"/>
      <c r="AN332" s="329"/>
      <c r="AO332" s="329"/>
      <c r="AP332" s="329"/>
      <c r="AQ332" s="329"/>
      <c r="AR332" s="328"/>
      <c r="AS332" s="328"/>
      <c r="AT332" s="328"/>
      <c r="AU332" s="328"/>
      <c r="AV332" s="328"/>
      <c r="AW332" s="328"/>
      <c r="AX332" s="328"/>
      <c r="AY332" s="328"/>
      <c r="AZ332" s="328"/>
      <c r="BA332" s="328"/>
      <c r="BB332" s="328"/>
      <c r="BC332" s="328"/>
    </row>
    <row r="333" spans="32:55">
      <c r="AF333" s="327"/>
      <c r="AG333" s="327"/>
      <c r="AH333" s="327"/>
      <c r="AI333" s="327"/>
      <c r="AJ333" s="327"/>
      <c r="AK333" s="327"/>
      <c r="AL333" s="328"/>
      <c r="AM333" s="329"/>
      <c r="AN333" s="329"/>
      <c r="AO333" s="329"/>
      <c r="AP333" s="329"/>
      <c r="AQ333" s="329"/>
      <c r="AR333" s="328"/>
      <c r="AS333" s="328"/>
      <c r="AT333" s="328"/>
      <c r="AU333" s="328"/>
      <c r="AV333" s="328"/>
      <c r="AW333" s="328"/>
      <c r="AX333" s="328"/>
      <c r="AY333" s="328"/>
      <c r="AZ333" s="328"/>
      <c r="BA333" s="328"/>
      <c r="BB333" s="328"/>
      <c r="BC333" s="328"/>
    </row>
    <row r="334" spans="32:55">
      <c r="AF334" s="327"/>
      <c r="AG334" s="327"/>
      <c r="AH334" s="327"/>
      <c r="AI334" s="327"/>
      <c r="AJ334" s="327"/>
      <c r="AK334" s="327"/>
      <c r="AL334" s="328"/>
      <c r="AM334" s="329"/>
      <c r="AN334" s="329"/>
      <c r="AO334" s="329"/>
      <c r="AP334" s="329"/>
      <c r="AQ334" s="329"/>
      <c r="AR334" s="328"/>
      <c r="AS334" s="328"/>
      <c r="AT334" s="328"/>
      <c r="AU334" s="328"/>
      <c r="AV334" s="328"/>
      <c r="AW334" s="328"/>
      <c r="AX334" s="328"/>
      <c r="AY334" s="328"/>
      <c r="AZ334" s="328"/>
      <c r="BA334" s="328"/>
      <c r="BB334" s="328"/>
      <c r="BC334" s="328"/>
    </row>
    <row r="335" spans="32:55">
      <c r="AF335" s="327"/>
      <c r="AG335" s="327"/>
      <c r="AH335" s="327"/>
      <c r="AI335" s="327"/>
      <c r="AJ335" s="327"/>
      <c r="AK335" s="327"/>
      <c r="AL335" s="328"/>
      <c r="AM335" s="329"/>
      <c r="AN335" s="329"/>
      <c r="AO335" s="329"/>
      <c r="AP335" s="329"/>
      <c r="AQ335" s="329"/>
      <c r="AR335" s="328"/>
      <c r="AS335" s="328"/>
      <c r="AT335" s="328"/>
      <c r="AU335" s="328"/>
      <c r="AV335" s="328"/>
      <c r="AW335" s="328"/>
      <c r="AX335" s="328"/>
      <c r="AY335" s="328"/>
      <c r="AZ335" s="328"/>
      <c r="BA335" s="328"/>
      <c r="BB335" s="328"/>
      <c r="BC335" s="328"/>
    </row>
    <row r="336" spans="32:55">
      <c r="AF336" s="327"/>
      <c r="AG336" s="327"/>
      <c r="AH336" s="327"/>
      <c r="AI336" s="327"/>
      <c r="AJ336" s="327"/>
      <c r="AK336" s="327"/>
      <c r="AL336" s="328"/>
      <c r="AM336" s="329"/>
      <c r="AN336" s="329"/>
      <c r="AO336" s="329"/>
      <c r="AP336" s="329"/>
      <c r="AQ336" s="329"/>
      <c r="AR336" s="328"/>
      <c r="AS336" s="328"/>
      <c r="AT336" s="328"/>
      <c r="AU336" s="328"/>
      <c r="AV336" s="328"/>
      <c r="AW336" s="328"/>
      <c r="AX336" s="328"/>
      <c r="AY336" s="328"/>
      <c r="AZ336" s="328"/>
      <c r="BA336" s="328"/>
      <c r="BB336" s="328"/>
      <c r="BC336" s="328"/>
    </row>
    <row r="337" spans="32:55">
      <c r="AF337" s="327"/>
      <c r="AG337" s="327"/>
      <c r="AH337" s="327"/>
      <c r="AI337" s="327"/>
      <c r="AJ337" s="327"/>
      <c r="AK337" s="327"/>
      <c r="AL337" s="328"/>
      <c r="AM337" s="329"/>
      <c r="AN337" s="329"/>
      <c r="AO337" s="329"/>
      <c r="AP337" s="329"/>
      <c r="AQ337" s="329"/>
      <c r="AR337" s="328"/>
      <c r="AS337" s="328"/>
      <c r="AT337" s="328"/>
      <c r="AU337" s="328"/>
      <c r="AV337" s="328"/>
      <c r="AW337" s="328"/>
      <c r="AX337" s="328"/>
      <c r="AY337" s="328"/>
      <c r="AZ337" s="328"/>
      <c r="BA337" s="328"/>
      <c r="BB337" s="328"/>
      <c r="BC337" s="328"/>
    </row>
    <row r="338" spans="32:55">
      <c r="AF338" s="327"/>
      <c r="AG338" s="327"/>
      <c r="AH338" s="327"/>
      <c r="AI338" s="327"/>
      <c r="AJ338" s="327"/>
      <c r="AK338" s="327"/>
      <c r="AL338" s="328"/>
      <c r="AM338" s="329"/>
      <c r="AN338" s="329"/>
      <c r="AO338" s="329"/>
      <c r="AP338" s="329"/>
      <c r="AQ338" s="329"/>
      <c r="AR338" s="328"/>
      <c r="AS338" s="328"/>
      <c r="AT338" s="328"/>
      <c r="AU338" s="328"/>
      <c r="AV338" s="328"/>
      <c r="AW338" s="328"/>
      <c r="AX338" s="328"/>
      <c r="AY338" s="328"/>
      <c r="AZ338" s="328"/>
      <c r="BA338" s="328"/>
      <c r="BB338" s="328"/>
      <c r="BC338" s="328"/>
    </row>
    <row r="339" spans="32:55">
      <c r="AF339" s="327"/>
      <c r="AG339" s="327"/>
      <c r="AH339" s="327"/>
      <c r="AI339" s="327"/>
      <c r="AJ339" s="327"/>
      <c r="AK339" s="327"/>
      <c r="AL339" s="328"/>
      <c r="AM339" s="329"/>
      <c r="AN339" s="329"/>
      <c r="AO339" s="329"/>
      <c r="AP339" s="329"/>
      <c r="AQ339" s="329"/>
      <c r="AR339" s="328"/>
      <c r="AS339" s="328"/>
      <c r="AT339" s="328"/>
      <c r="AU339" s="328"/>
      <c r="AV339" s="328"/>
      <c r="AW339" s="328"/>
      <c r="AX339" s="328"/>
      <c r="AY339" s="328"/>
      <c r="AZ339" s="328"/>
      <c r="BA339" s="328"/>
      <c r="BB339" s="328"/>
      <c r="BC339" s="328"/>
    </row>
    <row r="340" spans="32:55">
      <c r="AF340" s="327"/>
      <c r="AG340" s="327"/>
      <c r="AH340" s="327"/>
      <c r="AI340" s="327"/>
      <c r="AJ340" s="327"/>
      <c r="AK340" s="327"/>
      <c r="AL340" s="328"/>
      <c r="AM340" s="329"/>
      <c r="AN340" s="329"/>
      <c r="AO340" s="329"/>
      <c r="AP340" s="329"/>
      <c r="AQ340" s="329"/>
      <c r="AR340" s="328"/>
      <c r="AS340" s="328"/>
      <c r="AT340" s="328"/>
      <c r="AU340" s="328"/>
      <c r="AV340" s="328"/>
      <c r="AW340" s="328"/>
      <c r="AX340" s="328"/>
      <c r="AY340" s="328"/>
      <c r="AZ340" s="328"/>
      <c r="BA340" s="328"/>
      <c r="BB340" s="328"/>
      <c r="BC340" s="328"/>
    </row>
    <row r="341" spans="32:55">
      <c r="AF341" s="327"/>
      <c r="AG341" s="327"/>
      <c r="AH341" s="327"/>
      <c r="AI341" s="327"/>
      <c r="AJ341" s="327"/>
      <c r="AK341" s="327"/>
      <c r="AL341" s="328"/>
      <c r="AM341" s="329"/>
      <c r="AN341" s="329"/>
      <c r="AO341" s="329"/>
      <c r="AP341" s="329"/>
      <c r="AQ341" s="329"/>
      <c r="AR341" s="328"/>
      <c r="AS341" s="328"/>
      <c r="AT341" s="328"/>
      <c r="AU341" s="328"/>
      <c r="AV341" s="328"/>
      <c r="AW341" s="328"/>
      <c r="AX341" s="328"/>
      <c r="AY341" s="328"/>
      <c r="AZ341" s="328"/>
      <c r="BA341" s="328"/>
      <c r="BB341" s="328"/>
      <c r="BC341" s="328"/>
    </row>
    <row r="342" spans="32:55">
      <c r="AF342" s="327"/>
      <c r="AG342" s="327"/>
      <c r="AH342" s="327"/>
      <c r="AI342" s="327"/>
      <c r="AJ342" s="327"/>
      <c r="AK342" s="327"/>
      <c r="AL342" s="328"/>
      <c r="AM342" s="329"/>
      <c r="AN342" s="329"/>
      <c r="AO342" s="329"/>
      <c r="AP342" s="329"/>
      <c r="AQ342" s="329"/>
      <c r="AR342" s="328"/>
      <c r="AS342" s="328"/>
      <c r="AT342" s="328"/>
      <c r="AU342" s="328"/>
      <c r="AV342" s="328"/>
      <c r="AW342" s="328"/>
      <c r="AX342" s="328"/>
      <c r="AY342" s="328"/>
      <c r="AZ342" s="328"/>
      <c r="BA342" s="328"/>
      <c r="BB342" s="328"/>
      <c r="BC342" s="328"/>
    </row>
    <row r="343" spans="32:55">
      <c r="AF343" s="327"/>
      <c r="AG343" s="327"/>
      <c r="AH343" s="327"/>
      <c r="AI343" s="327"/>
      <c r="AJ343" s="327"/>
      <c r="AK343" s="327"/>
      <c r="AL343" s="328"/>
      <c r="AM343" s="329"/>
      <c r="AN343" s="329"/>
      <c r="AO343" s="329"/>
      <c r="AP343" s="329"/>
      <c r="AQ343" s="329"/>
      <c r="AR343" s="328"/>
      <c r="AS343" s="328"/>
      <c r="AT343" s="328"/>
      <c r="AU343" s="328"/>
      <c r="AV343" s="328"/>
      <c r="AW343" s="328"/>
      <c r="AX343" s="328"/>
      <c r="AY343" s="328"/>
      <c r="AZ343" s="328"/>
      <c r="BA343" s="328"/>
      <c r="BB343" s="328"/>
      <c r="BC343" s="328"/>
    </row>
    <row r="344" spans="32:55">
      <c r="AF344" s="327"/>
      <c r="AG344" s="327"/>
      <c r="AH344" s="327"/>
      <c r="AI344" s="327"/>
      <c r="AJ344" s="327"/>
      <c r="AK344" s="327"/>
      <c r="AL344" s="328"/>
      <c r="AM344" s="329"/>
      <c r="AN344" s="329"/>
      <c r="AO344" s="329"/>
      <c r="AP344" s="329"/>
      <c r="AQ344" s="329"/>
      <c r="AR344" s="328"/>
      <c r="AS344" s="328"/>
      <c r="AT344" s="328"/>
      <c r="AU344" s="328"/>
      <c r="AV344" s="328"/>
      <c r="AW344" s="328"/>
      <c r="AX344" s="328"/>
      <c r="AY344" s="328"/>
      <c r="AZ344" s="328"/>
      <c r="BA344" s="328"/>
      <c r="BB344" s="328"/>
      <c r="BC344" s="328"/>
    </row>
    <row r="345" spans="32:55">
      <c r="AF345" s="327"/>
      <c r="AG345" s="327"/>
      <c r="AH345" s="327"/>
      <c r="AI345" s="327"/>
      <c r="AJ345" s="327"/>
      <c r="AK345" s="327"/>
      <c r="AL345" s="328"/>
      <c r="AM345" s="329"/>
      <c r="AN345" s="329"/>
      <c r="AO345" s="329"/>
      <c r="AP345" s="329"/>
      <c r="AQ345" s="329"/>
      <c r="AR345" s="328"/>
      <c r="AS345" s="328"/>
      <c r="AT345" s="328"/>
      <c r="AU345" s="328"/>
      <c r="AV345" s="328"/>
      <c r="AW345" s="328"/>
      <c r="AX345" s="328"/>
      <c r="AY345" s="328"/>
      <c r="AZ345" s="328"/>
      <c r="BA345" s="328"/>
      <c r="BB345" s="328"/>
      <c r="BC345" s="328"/>
    </row>
    <row r="346" spans="32:55">
      <c r="AF346" s="327"/>
      <c r="AG346" s="327"/>
      <c r="AH346" s="327"/>
      <c r="AI346" s="327"/>
      <c r="AJ346" s="327"/>
      <c r="AK346" s="327"/>
      <c r="AL346" s="328"/>
      <c r="AM346" s="329"/>
      <c r="AN346" s="329"/>
      <c r="AO346" s="329"/>
      <c r="AP346" s="329"/>
      <c r="AQ346" s="329"/>
      <c r="AR346" s="328"/>
      <c r="AS346" s="328"/>
      <c r="AT346" s="328"/>
      <c r="AU346" s="328"/>
      <c r="AV346" s="328"/>
      <c r="AW346" s="328"/>
      <c r="AX346" s="328"/>
      <c r="AY346" s="328"/>
      <c r="AZ346" s="328"/>
      <c r="BA346" s="328"/>
      <c r="BB346" s="328"/>
      <c r="BC346" s="328"/>
    </row>
    <row r="347" spans="32:55">
      <c r="AF347" s="327"/>
      <c r="AG347" s="327"/>
      <c r="AH347" s="327"/>
      <c r="AI347" s="327"/>
      <c r="AJ347" s="327"/>
      <c r="AK347" s="327"/>
      <c r="AL347" s="328"/>
      <c r="AM347" s="329"/>
      <c r="AN347" s="329"/>
      <c r="AO347" s="329"/>
      <c r="AP347" s="329"/>
      <c r="AQ347" s="329"/>
      <c r="AR347" s="328"/>
      <c r="AS347" s="328"/>
      <c r="AT347" s="328"/>
      <c r="AU347" s="328"/>
      <c r="AV347" s="328"/>
      <c r="AW347" s="328"/>
      <c r="AX347" s="328"/>
      <c r="AY347" s="328"/>
      <c r="AZ347" s="328"/>
      <c r="BA347" s="328"/>
      <c r="BB347" s="328"/>
      <c r="BC347" s="328"/>
    </row>
    <row r="348" spans="32:55">
      <c r="AF348" s="327"/>
      <c r="AG348" s="327"/>
      <c r="AH348" s="327"/>
      <c r="AI348" s="327"/>
      <c r="AJ348" s="327"/>
      <c r="AK348" s="327"/>
      <c r="AL348" s="328"/>
      <c r="AM348" s="329"/>
      <c r="AN348" s="329"/>
      <c r="AO348" s="329"/>
      <c r="AP348" s="329"/>
      <c r="AQ348" s="329"/>
      <c r="AR348" s="328"/>
      <c r="AS348" s="328"/>
      <c r="AT348" s="328"/>
      <c r="AU348" s="328"/>
      <c r="AV348" s="328"/>
      <c r="AW348" s="328"/>
      <c r="AX348" s="328"/>
      <c r="AY348" s="328"/>
      <c r="AZ348" s="328"/>
      <c r="BA348" s="328"/>
      <c r="BB348" s="328"/>
      <c r="BC348" s="328"/>
    </row>
    <row r="349" spans="32:55">
      <c r="AF349" s="327"/>
      <c r="AG349" s="327"/>
      <c r="AH349" s="327"/>
      <c r="AI349" s="327"/>
      <c r="AJ349" s="327"/>
      <c r="AK349" s="327"/>
      <c r="AL349" s="328"/>
      <c r="AM349" s="329"/>
      <c r="AN349" s="329"/>
      <c r="AO349" s="329"/>
      <c r="AP349" s="329"/>
      <c r="AQ349" s="329"/>
      <c r="AR349" s="328"/>
      <c r="AS349" s="328"/>
      <c r="AT349" s="328"/>
      <c r="AU349" s="328"/>
      <c r="AV349" s="328"/>
      <c r="AW349" s="328"/>
      <c r="AX349" s="328"/>
      <c r="AY349" s="328"/>
      <c r="AZ349" s="328"/>
      <c r="BA349" s="328"/>
      <c r="BB349" s="328"/>
      <c r="BC349" s="328"/>
    </row>
    <row r="350" spans="32:55">
      <c r="AF350" s="327"/>
      <c r="AG350" s="327"/>
      <c r="AH350" s="327"/>
      <c r="AI350" s="327"/>
      <c r="AJ350" s="327"/>
      <c r="AK350" s="327"/>
      <c r="AL350" s="328"/>
      <c r="AM350" s="329"/>
      <c r="AN350" s="329"/>
      <c r="AO350" s="329"/>
      <c r="AP350" s="329"/>
      <c r="AQ350" s="329"/>
      <c r="AR350" s="328"/>
      <c r="AS350" s="328"/>
      <c r="AT350" s="328"/>
      <c r="AU350" s="328"/>
      <c r="AV350" s="328"/>
      <c r="AW350" s="328"/>
      <c r="AX350" s="328"/>
      <c r="AY350" s="328"/>
      <c r="AZ350" s="328"/>
      <c r="BA350" s="328"/>
      <c r="BB350" s="328"/>
      <c r="BC350" s="328"/>
    </row>
    <row r="351" spans="32:55">
      <c r="AF351" s="327"/>
      <c r="AG351" s="327"/>
      <c r="AH351" s="327"/>
      <c r="AI351" s="327"/>
      <c r="AJ351" s="327"/>
      <c r="AK351" s="327"/>
      <c r="AL351" s="328"/>
      <c r="AM351" s="329"/>
      <c r="AN351" s="329"/>
      <c r="AO351" s="329"/>
      <c r="AP351" s="329"/>
      <c r="AQ351" s="329"/>
      <c r="AR351" s="328"/>
      <c r="AS351" s="328"/>
      <c r="AT351" s="328"/>
      <c r="AU351" s="328"/>
      <c r="AV351" s="328"/>
      <c r="AW351" s="328"/>
      <c r="AX351" s="328"/>
      <c r="AY351" s="328"/>
      <c r="AZ351" s="328"/>
      <c r="BA351" s="328"/>
      <c r="BB351" s="328"/>
      <c r="BC351" s="328"/>
    </row>
    <row r="352" spans="32:55">
      <c r="AF352" s="327"/>
      <c r="AG352" s="327"/>
      <c r="AH352" s="327"/>
      <c r="AI352" s="327"/>
      <c r="AJ352" s="327"/>
      <c r="AK352" s="327"/>
      <c r="AL352" s="328"/>
      <c r="AM352" s="329"/>
      <c r="AN352" s="329"/>
      <c r="AO352" s="329"/>
      <c r="AP352" s="329"/>
      <c r="AQ352" s="329"/>
      <c r="AR352" s="328"/>
      <c r="AS352" s="328"/>
      <c r="AT352" s="328"/>
      <c r="AU352" s="328"/>
      <c r="AV352" s="328"/>
      <c r="AW352" s="328"/>
      <c r="AX352" s="328"/>
      <c r="AY352" s="328"/>
      <c r="AZ352" s="328"/>
      <c r="BA352" s="328"/>
      <c r="BB352" s="328"/>
      <c r="BC352" s="328"/>
    </row>
    <row r="353" spans="32:55">
      <c r="AF353" s="327"/>
      <c r="AG353" s="327"/>
      <c r="AH353" s="327"/>
      <c r="AI353" s="327"/>
      <c r="AJ353" s="327"/>
      <c r="AK353" s="327"/>
      <c r="AL353" s="328"/>
      <c r="AM353" s="329"/>
      <c r="AN353" s="329"/>
      <c r="AO353" s="329"/>
      <c r="AP353" s="329"/>
      <c r="AQ353" s="329"/>
      <c r="AR353" s="328"/>
      <c r="AS353" s="328"/>
      <c r="AT353" s="328"/>
      <c r="AU353" s="328"/>
      <c r="AV353" s="328"/>
      <c r="AW353" s="328"/>
      <c r="AX353" s="328"/>
      <c r="AY353" s="328"/>
      <c r="AZ353" s="328"/>
      <c r="BA353" s="328"/>
      <c r="BB353" s="328"/>
      <c r="BC353" s="328"/>
    </row>
    <row r="354" spans="32:55">
      <c r="AF354" s="327"/>
      <c r="AG354" s="327"/>
      <c r="AH354" s="327"/>
      <c r="AI354" s="327"/>
      <c r="AJ354" s="327"/>
      <c r="AK354" s="327"/>
      <c r="AL354" s="328"/>
      <c r="AM354" s="329"/>
      <c r="AN354" s="329"/>
      <c r="AO354" s="329"/>
      <c r="AP354" s="329"/>
      <c r="AQ354" s="329"/>
      <c r="AR354" s="328"/>
      <c r="AS354" s="328"/>
      <c r="AT354" s="328"/>
      <c r="AU354" s="328"/>
      <c r="AV354" s="328"/>
      <c r="AW354" s="328"/>
      <c r="AX354" s="328"/>
      <c r="AY354" s="328"/>
      <c r="AZ354" s="328"/>
      <c r="BA354" s="328"/>
      <c r="BB354" s="328"/>
      <c r="BC354" s="328"/>
    </row>
    <row r="355" spans="32:55">
      <c r="AF355" s="327"/>
      <c r="AG355" s="327"/>
      <c r="AH355" s="327"/>
      <c r="AI355" s="327"/>
      <c r="AJ355" s="327"/>
      <c r="AK355" s="327"/>
      <c r="AL355" s="328"/>
      <c r="AM355" s="329"/>
      <c r="AN355" s="329"/>
      <c r="AO355" s="329"/>
      <c r="AP355" s="329"/>
      <c r="AQ355" s="329"/>
      <c r="AR355" s="328"/>
      <c r="AS355" s="328"/>
      <c r="AT355" s="328"/>
      <c r="AU355" s="328"/>
      <c r="AV355" s="328"/>
      <c r="AW355" s="328"/>
      <c r="AX355" s="328"/>
      <c r="AY355" s="328"/>
      <c r="AZ355" s="328"/>
      <c r="BA355" s="328"/>
      <c r="BB355" s="328"/>
      <c r="BC355" s="328"/>
    </row>
    <row r="356" spans="32:55">
      <c r="AF356" s="327"/>
      <c r="AG356" s="327"/>
      <c r="AH356" s="327"/>
      <c r="AI356" s="327"/>
      <c r="AJ356" s="327"/>
      <c r="AK356" s="327"/>
      <c r="AL356" s="328"/>
      <c r="AM356" s="329"/>
      <c r="AN356" s="329"/>
      <c r="AO356" s="329"/>
      <c r="AP356" s="329"/>
      <c r="AQ356" s="329"/>
      <c r="AR356" s="328"/>
      <c r="AS356" s="328"/>
      <c r="AT356" s="328"/>
      <c r="AU356" s="328"/>
      <c r="AV356" s="328"/>
      <c r="AW356" s="328"/>
      <c r="AX356" s="328"/>
      <c r="AY356" s="328"/>
      <c r="AZ356" s="328"/>
      <c r="BA356" s="328"/>
      <c r="BB356" s="328"/>
      <c r="BC356" s="328"/>
    </row>
    <row r="357" spans="32:55">
      <c r="AF357" s="327"/>
      <c r="AG357" s="327"/>
      <c r="AH357" s="327"/>
      <c r="AI357" s="327"/>
      <c r="AJ357" s="327"/>
      <c r="AK357" s="327"/>
      <c r="AL357" s="328"/>
      <c r="AM357" s="329"/>
      <c r="AN357" s="329"/>
      <c r="AO357" s="329"/>
      <c r="AP357" s="329"/>
      <c r="AQ357" s="329"/>
      <c r="AR357" s="328"/>
      <c r="AS357" s="328"/>
      <c r="AT357" s="328"/>
      <c r="AU357" s="328"/>
      <c r="AV357" s="328"/>
      <c r="AW357" s="328"/>
      <c r="AX357" s="328"/>
      <c r="AY357" s="328"/>
      <c r="AZ357" s="328"/>
      <c r="BA357" s="328"/>
      <c r="BB357" s="328"/>
      <c r="BC357" s="328"/>
    </row>
    <row r="358" spans="32:55">
      <c r="AF358" s="327"/>
      <c r="AG358" s="327"/>
      <c r="AH358" s="327"/>
      <c r="AI358" s="327"/>
      <c r="AJ358" s="327"/>
      <c r="AK358" s="327"/>
      <c r="AL358" s="328"/>
      <c r="AM358" s="329"/>
      <c r="AN358" s="329"/>
      <c r="AO358" s="329"/>
      <c r="AP358" s="329"/>
      <c r="AQ358" s="329"/>
      <c r="AR358" s="328"/>
      <c r="AS358" s="328"/>
      <c r="AT358" s="328"/>
      <c r="AU358" s="328"/>
      <c r="AV358" s="328"/>
      <c r="AW358" s="328"/>
      <c r="AX358" s="328"/>
      <c r="AY358" s="328"/>
      <c r="AZ358" s="328"/>
      <c r="BA358" s="328"/>
      <c r="BB358" s="328"/>
      <c r="BC358" s="328"/>
    </row>
    <row r="359" spans="32:55">
      <c r="AF359" s="327"/>
      <c r="AG359" s="327"/>
      <c r="AH359" s="327"/>
      <c r="AI359" s="327"/>
      <c r="AJ359" s="327"/>
      <c r="AK359" s="327"/>
      <c r="AL359" s="328"/>
      <c r="AM359" s="329"/>
      <c r="AN359" s="329"/>
      <c r="AO359" s="329"/>
      <c r="AP359" s="329"/>
      <c r="AQ359" s="329"/>
      <c r="AR359" s="328"/>
      <c r="AS359" s="328"/>
      <c r="AT359" s="328"/>
      <c r="AU359" s="328"/>
      <c r="AV359" s="328"/>
      <c r="AW359" s="328"/>
      <c r="AX359" s="328"/>
      <c r="AY359" s="328"/>
      <c r="AZ359" s="328"/>
      <c r="BA359" s="328"/>
      <c r="BB359" s="328"/>
      <c r="BC359" s="328"/>
    </row>
    <row r="360" spans="32:55">
      <c r="AF360" s="327"/>
      <c r="AG360" s="327"/>
      <c r="AH360" s="327"/>
      <c r="AI360" s="327"/>
      <c r="AJ360" s="327"/>
      <c r="AK360" s="327"/>
      <c r="AL360" s="328"/>
      <c r="AM360" s="329"/>
      <c r="AN360" s="329"/>
      <c r="AO360" s="329"/>
      <c r="AP360" s="329"/>
      <c r="AQ360" s="329"/>
      <c r="AR360" s="328"/>
      <c r="AS360" s="328"/>
      <c r="AT360" s="328"/>
      <c r="AU360" s="328"/>
      <c r="AV360" s="328"/>
      <c r="AW360" s="328"/>
      <c r="AX360" s="328"/>
      <c r="AY360" s="328"/>
      <c r="AZ360" s="328"/>
      <c r="BA360" s="328"/>
      <c r="BB360" s="328"/>
      <c r="BC360" s="328"/>
    </row>
    <row r="361" spans="32:55">
      <c r="AF361" s="327"/>
      <c r="AG361" s="327"/>
      <c r="AH361" s="327"/>
      <c r="AI361" s="327"/>
      <c r="AJ361" s="327"/>
      <c r="AK361" s="327"/>
      <c r="AL361" s="328"/>
      <c r="AM361" s="329"/>
      <c r="AN361" s="329"/>
      <c r="AO361" s="329"/>
      <c r="AP361" s="329"/>
      <c r="AQ361" s="329"/>
      <c r="AR361" s="328"/>
      <c r="AS361" s="328"/>
      <c r="AT361" s="328"/>
      <c r="AU361" s="328"/>
      <c r="AV361" s="328"/>
      <c r="AW361" s="328"/>
      <c r="AX361" s="328"/>
      <c r="AY361" s="328"/>
      <c r="AZ361" s="328"/>
      <c r="BA361" s="328"/>
      <c r="BB361" s="328"/>
      <c r="BC361" s="328"/>
    </row>
    <row r="362" spans="32:55">
      <c r="AF362" s="327"/>
      <c r="AG362" s="327"/>
      <c r="AH362" s="327"/>
      <c r="AI362" s="327"/>
      <c r="AJ362" s="327"/>
      <c r="AK362" s="327"/>
      <c r="AL362" s="328"/>
      <c r="AM362" s="329"/>
      <c r="AN362" s="329"/>
      <c r="AO362" s="329"/>
      <c r="AP362" s="329"/>
      <c r="AQ362" s="329"/>
      <c r="AR362" s="328"/>
      <c r="AS362" s="328"/>
      <c r="AT362" s="328"/>
      <c r="AU362" s="328"/>
      <c r="AV362" s="328"/>
      <c r="AW362" s="328"/>
      <c r="AX362" s="328"/>
      <c r="AY362" s="328"/>
      <c r="AZ362" s="328"/>
      <c r="BA362" s="328"/>
      <c r="BB362" s="328"/>
      <c r="BC362" s="328"/>
    </row>
    <row r="363" spans="32:55">
      <c r="AF363" s="327"/>
      <c r="AG363" s="327"/>
      <c r="AH363" s="327"/>
      <c r="AI363" s="327"/>
      <c r="AJ363" s="327"/>
      <c r="AK363" s="327"/>
      <c r="AL363" s="328"/>
      <c r="AM363" s="329"/>
      <c r="AN363" s="329"/>
      <c r="AO363" s="329"/>
      <c r="AP363" s="329"/>
      <c r="AQ363" s="329"/>
      <c r="AR363" s="328"/>
      <c r="AS363" s="328"/>
      <c r="AT363" s="328"/>
      <c r="AU363" s="328"/>
      <c r="AV363" s="328"/>
      <c r="AW363" s="328"/>
      <c r="AX363" s="328"/>
      <c r="AY363" s="328"/>
      <c r="AZ363" s="328"/>
      <c r="BA363" s="328"/>
      <c r="BB363" s="328"/>
      <c r="BC363" s="328"/>
    </row>
    <row r="364" spans="32:55">
      <c r="AF364" s="327"/>
      <c r="AG364" s="327"/>
      <c r="AH364" s="327"/>
      <c r="AI364" s="327"/>
      <c r="AJ364" s="327"/>
      <c r="AK364" s="327"/>
      <c r="AL364" s="328"/>
      <c r="AM364" s="329"/>
      <c r="AN364" s="329"/>
      <c r="AO364" s="329"/>
      <c r="AP364" s="329"/>
      <c r="AQ364" s="329"/>
      <c r="AR364" s="328"/>
      <c r="AS364" s="328"/>
      <c r="AT364" s="328"/>
      <c r="AU364" s="328"/>
      <c r="AV364" s="328"/>
      <c r="AW364" s="328"/>
      <c r="AX364" s="328"/>
      <c r="AY364" s="328"/>
      <c r="AZ364" s="328"/>
      <c r="BA364" s="328"/>
      <c r="BB364" s="328"/>
      <c r="BC364" s="328"/>
    </row>
    <row r="365" spans="32:55">
      <c r="AF365" s="327"/>
      <c r="AG365" s="327"/>
      <c r="AH365" s="327"/>
      <c r="AI365" s="327"/>
      <c r="AJ365" s="327"/>
      <c r="AK365" s="327"/>
      <c r="AL365" s="328"/>
      <c r="AM365" s="329"/>
      <c r="AN365" s="329"/>
      <c r="AO365" s="329"/>
      <c r="AP365" s="329"/>
      <c r="AQ365" s="329"/>
      <c r="AR365" s="328"/>
      <c r="AS365" s="328"/>
      <c r="AT365" s="328"/>
      <c r="AU365" s="328"/>
      <c r="AV365" s="328"/>
      <c r="AW365" s="328"/>
      <c r="AX365" s="328"/>
      <c r="AY365" s="328"/>
      <c r="AZ365" s="328"/>
      <c r="BA365" s="328"/>
      <c r="BB365" s="328"/>
      <c r="BC365" s="328"/>
    </row>
    <row r="366" spans="32:55">
      <c r="AF366" s="327"/>
      <c r="AG366" s="327"/>
      <c r="AH366" s="327"/>
      <c r="AI366" s="327"/>
      <c r="AJ366" s="327"/>
      <c r="AK366" s="327"/>
      <c r="AL366" s="328"/>
      <c r="AM366" s="329"/>
      <c r="AN366" s="329"/>
      <c r="AO366" s="329"/>
      <c r="AP366" s="329"/>
      <c r="AQ366" s="329"/>
      <c r="AR366" s="328"/>
      <c r="AS366" s="328"/>
      <c r="AT366" s="328"/>
      <c r="AU366" s="328"/>
      <c r="AV366" s="328"/>
      <c r="AW366" s="328"/>
      <c r="AX366" s="328"/>
      <c r="AY366" s="328"/>
      <c r="AZ366" s="328"/>
      <c r="BA366" s="328"/>
      <c r="BB366" s="328"/>
      <c r="BC366" s="328"/>
    </row>
    <row r="367" spans="32:55">
      <c r="AF367" s="327"/>
      <c r="AG367" s="327"/>
      <c r="AH367" s="327"/>
      <c r="AI367" s="327"/>
      <c r="AJ367" s="327"/>
      <c r="AK367" s="327"/>
      <c r="AL367" s="328"/>
      <c r="AM367" s="329"/>
      <c r="AN367" s="329"/>
      <c r="AO367" s="329"/>
      <c r="AP367" s="329"/>
      <c r="AQ367" s="329"/>
      <c r="AR367" s="328"/>
      <c r="AS367" s="328"/>
      <c r="AT367" s="328"/>
      <c r="AU367" s="328"/>
      <c r="AV367" s="328"/>
      <c r="AW367" s="328"/>
      <c r="AX367" s="328"/>
      <c r="AY367" s="328"/>
      <c r="AZ367" s="328"/>
      <c r="BA367" s="328"/>
      <c r="BB367" s="328"/>
      <c r="BC367" s="328"/>
    </row>
    <row r="368" spans="32:55">
      <c r="AF368" s="327"/>
      <c r="AG368" s="327"/>
      <c r="AH368" s="327"/>
      <c r="AI368" s="327"/>
      <c r="AJ368" s="327"/>
      <c r="AK368" s="327"/>
      <c r="AL368" s="328"/>
      <c r="AM368" s="328"/>
      <c r="AN368" s="328"/>
      <c r="AO368" s="328"/>
      <c r="AP368" s="328"/>
      <c r="AQ368" s="328"/>
      <c r="AR368" s="328"/>
      <c r="AS368" s="328"/>
      <c r="AT368" s="328"/>
      <c r="AU368" s="328"/>
      <c r="AV368" s="328"/>
      <c r="AW368" s="328"/>
      <c r="AX368" s="328"/>
      <c r="AY368" s="328"/>
      <c r="AZ368" s="328"/>
      <c r="BA368" s="328"/>
      <c r="BB368" s="328"/>
      <c r="BC368" s="328"/>
    </row>
  </sheetData>
  <sheetProtection password="9771" sheet="1" objects="1" scenarios="1" selectLockedCells="1"/>
  <phoneticPr fontId="2" type="noConversion"/>
  <pageMargins left="0.75" right="0.75" top="1" bottom="1" header="0.5" footer="0.5"/>
  <pageSetup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sheetPr enableFormatConditionsCalculation="0">
    <tabColor indexed="16"/>
  </sheetPr>
  <dimension ref="A1"/>
  <sheetViews>
    <sheetView topLeftCell="A7" zoomScale="85" workbookViewId="0">
      <selection activeCell="J52" sqref="J52"/>
    </sheetView>
  </sheetViews>
  <sheetFormatPr defaultRowHeight="13.2"/>
  <cols>
    <col min="1" max="16384" width="8.88671875" style="375"/>
  </cols>
  <sheetData/>
  <sheetProtection password="9771" sheet="1" objects="1" scenarios="1" selectLockedCells="1"/>
  <phoneticPr fontId="2" type="noConversion"/>
  <pageMargins left="0.75" right="0.75" top="1" bottom="1" header="0.5" footer="0.5"/>
  <pageSetup orientation="portrait" horizontalDpi="1200" verticalDpi="1200" r:id="rId1"/>
  <headerFooter alignWithMargins="0"/>
  <drawing r:id="rId2"/>
  <legacyDrawing r:id="rId3"/>
  <oleObjects>
    <oleObject progId="SigmaPlotGraphicObject.7" shapeId="9220" r:id="rId4"/>
  </oleObjects>
</worksheet>
</file>

<file path=xl/worksheets/sheet7.xml><?xml version="1.0" encoding="utf-8"?>
<worksheet xmlns="http://schemas.openxmlformats.org/spreadsheetml/2006/main" xmlns:r="http://schemas.openxmlformats.org/officeDocument/2006/relationships">
  <sheetPr codeName="Sheet1" enableFormatConditionsCalculation="0">
    <tabColor indexed="30"/>
  </sheetPr>
  <dimension ref="A1:F20"/>
  <sheetViews>
    <sheetView zoomScale="85" workbookViewId="0">
      <selection activeCell="C19" sqref="C19"/>
    </sheetView>
  </sheetViews>
  <sheetFormatPr defaultRowHeight="13.2"/>
  <cols>
    <col min="1" max="1" width="29.88671875" style="416" customWidth="1"/>
    <col min="2" max="2" width="36.33203125" style="416" bestFit="1" customWidth="1"/>
    <col min="3" max="6" width="12.21875" style="416" customWidth="1"/>
    <col min="7" max="16384" width="8.88671875" style="416"/>
  </cols>
  <sheetData>
    <row r="1" spans="1:6" s="419" customFormat="1">
      <c r="A1" s="423"/>
    </row>
    <row r="2" spans="1:6" s="419" customFormat="1">
      <c r="A2" s="423"/>
    </row>
    <row r="3" spans="1:6" s="419" customFormat="1">
      <c r="A3" s="423"/>
    </row>
    <row r="4" spans="1:6" s="419" customFormat="1">
      <c r="A4" s="423"/>
    </row>
    <row r="5" spans="1:6" s="419" customFormat="1">
      <c r="A5" s="423"/>
    </row>
    <row r="6" spans="1:6" s="419" customFormat="1"/>
    <row r="7" spans="1:6">
      <c r="A7" s="420" t="s">
        <v>262</v>
      </c>
      <c r="B7" s="420"/>
      <c r="C7" s="420"/>
      <c r="D7" s="420"/>
      <c r="E7" s="420"/>
      <c r="F7" s="420"/>
    </row>
    <row r="8" spans="1:6">
      <c r="A8" s="421" t="s">
        <v>256</v>
      </c>
      <c r="B8" s="421" t="s">
        <v>257</v>
      </c>
      <c r="C8" s="421" t="s">
        <v>258</v>
      </c>
      <c r="D8" s="421" t="s">
        <v>259</v>
      </c>
      <c r="E8" s="421" t="s">
        <v>260</v>
      </c>
      <c r="F8" s="421" t="s">
        <v>261</v>
      </c>
    </row>
    <row r="9" spans="1:6">
      <c r="A9" s="422">
        <v>7</v>
      </c>
      <c r="B9" s="422" t="s">
        <v>263</v>
      </c>
      <c r="C9" s="510">
        <v>0.9</v>
      </c>
      <c r="D9" s="510">
        <v>0.82</v>
      </c>
      <c r="E9" s="510">
        <v>0.87</v>
      </c>
      <c r="F9" s="510">
        <v>0.87</v>
      </c>
    </row>
    <row r="10" spans="1:6">
      <c r="A10" s="422">
        <v>6</v>
      </c>
      <c r="B10" s="422" t="s">
        <v>264</v>
      </c>
      <c r="C10" s="510">
        <v>0.89</v>
      </c>
      <c r="D10" s="510">
        <v>0.81</v>
      </c>
      <c r="E10" s="510">
        <v>0.86</v>
      </c>
      <c r="F10" s="510">
        <v>0.86</v>
      </c>
    </row>
    <row r="11" spans="1:6">
      <c r="A11" s="422">
        <v>5</v>
      </c>
      <c r="B11" s="422" t="s">
        <v>265</v>
      </c>
      <c r="C11" s="510">
        <v>0.87</v>
      </c>
      <c r="D11" s="510">
        <v>0.8</v>
      </c>
      <c r="E11" s="510">
        <v>0.85</v>
      </c>
      <c r="F11" s="510">
        <v>0.85</v>
      </c>
    </row>
    <row r="12" spans="1:6">
      <c r="A12" s="422">
        <v>4</v>
      </c>
      <c r="B12" s="422" t="s">
        <v>266</v>
      </c>
      <c r="C12" s="510">
        <v>0.86</v>
      </c>
      <c r="D12" s="510">
        <v>0.79</v>
      </c>
      <c r="E12" s="510">
        <v>0.84</v>
      </c>
      <c r="F12" s="510">
        <v>0.84</v>
      </c>
    </row>
    <row r="13" spans="1:6">
      <c r="A13" s="422">
        <v>3</v>
      </c>
      <c r="B13" s="422" t="s">
        <v>267</v>
      </c>
      <c r="C13" s="510">
        <v>0.83</v>
      </c>
      <c r="D13" s="510">
        <v>0.76</v>
      </c>
      <c r="E13" s="510">
        <v>0.81</v>
      </c>
      <c r="F13" s="510">
        <v>0.81</v>
      </c>
    </row>
    <row r="14" spans="1:6">
      <c r="A14" s="422">
        <v>2</v>
      </c>
      <c r="B14" s="422" t="s">
        <v>268</v>
      </c>
      <c r="C14" s="510">
        <v>0.76</v>
      </c>
      <c r="D14" s="510">
        <v>0.69</v>
      </c>
      <c r="E14" s="510">
        <v>0.74</v>
      </c>
      <c r="F14" s="510">
        <v>0.74</v>
      </c>
    </row>
    <row r="15" spans="1:6">
      <c r="A15" s="422">
        <v>1</v>
      </c>
      <c r="B15" s="422">
        <v>2980</v>
      </c>
      <c r="C15" s="510">
        <v>0.67</v>
      </c>
      <c r="D15" s="510">
        <v>0.64</v>
      </c>
      <c r="E15" s="510">
        <v>0.66</v>
      </c>
      <c r="F15" s="510">
        <v>0.66</v>
      </c>
    </row>
    <row r="16" spans="1:6">
      <c r="A16" s="422">
        <v>0</v>
      </c>
      <c r="B16" s="422" t="s">
        <v>269</v>
      </c>
      <c r="C16" s="510">
        <v>0.53</v>
      </c>
      <c r="D16" s="510">
        <v>0.53</v>
      </c>
      <c r="E16" s="510">
        <v>0.53</v>
      </c>
      <c r="F16" s="510">
        <v>0.53</v>
      </c>
    </row>
    <row r="17" spans="1:6">
      <c r="A17" s="417"/>
      <c r="B17" s="417"/>
      <c r="C17" s="418"/>
      <c r="D17" s="418"/>
      <c r="E17" s="418"/>
      <c r="F17" s="418"/>
    </row>
    <row r="18" spans="1:6" ht="13.8" thickBot="1">
      <c r="B18" s="412"/>
      <c r="C18" s="413"/>
      <c r="D18" s="412"/>
    </row>
    <row r="19" spans="1:6" ht="14.4" thickTop="1" thickBot="1">
      <c r="B19" s="414" t="s">
        <v>270</v>
      </c>
      <c r="C19" s="415">
        <v>0.87</v>
      </c>
      <c r="D19" s="412"/>
    </row>
    <row r="20" spans="1:6" ht="13.8" thickTop="1">
      <c r="B20" s="412"/>
      <c r="C20" s="412"/>
      <c r="D20" s="412"/>
    </row>
  </sheetData>
  <sheetProtection password="9771" sheet="1" objects="1" scenarios="1" selectLockedCells="1"/>
  <phoneticPr fontId="2" type="noConversion"/>
  <conditionalFormatting sqref="C9:F16">
    <cfRule type="cellIs" dxfId="0" priority="1" stopIfTrue="1" operator="greaterThanOrEqual">
      <formula>$C$19</formula>
    </cfRule>
  </conditionalFormatting>
  <pageMargins left="0.75" right="0.75" top="1" bottom="1" header="0.5" footer="0.5"/>
  <pageSetup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sheetPr codeName="Sheet6" enableFormatConditionsCalculation="0">
    <tabColor indexed="8"/>
  </sheetPr>
  <dimension ref="A1:K33"/>
  <sheetViews>
    <sheetView zoomScale="75" workbookViewId="0">
      <selection activeCell="T16" sqref="T16"/>
    </sheetView>
  </sheetViews>
  <sheetFormatPr defaultColWidth="10.5546875" defaultRowHeight="13.2"/>
  <sheetData>
    <row r="1" spans="1:11">
      <c r="A1" s="480" t="s">
        <v>211</v>
      </c>
      <c r="B1" s="480"/>
      <c r="C1" s="480"/>
      <c r="D1" s="480"/>
      <c r="E1" s="480"/>
      <c r="F1" s="480"/>
      <c r="G1" s="480"/>
      <c r="H1" s="480"/>
      <c r="I1" s="480"/>
      <c r="J1" s="481"/>
      <c r="K1" s="481"/>
    </row>
    <row r="2" spans="1:11">
      <c r="A2" s="480"/>
      <c r="B2" s="480"/>
      <c r="C2" s="480"/>
      <c r="D2" s="480"/>
      <c r="E2" s="480"/>
      <c r="F2" s="480"/>
      <c r="G2" s="480"/>
      <c r="H2" s="480"/>
      <c r="I2" s="480"/>
      <c r="J2" s="481"/>
      <c r="K2" s="481"/>
    </row>
    <row r="3" spans="1:11" ht="23.4" customHeight="1" thickBot="1">
      <c r="A3" s="482"/>
      <c r="B3" s="482"/>
      <c r="C3" s="482"/>
      <c r="D3" s="482"/>
      <c r="E3" s="482"/>
      <c r="F3" s="482"/>
      <c r="G3" s="482"/>
      <c r="H3" s="482"/>
      <c r="I3" s="482"/>
      <c r="J3" s="482"/>
      <c r="K3" s="482"/>
    </row>
    <row r="4" spans="1:11" ht="16.2" thickTop="1">
      <c r="A4" s="443" t="s">
        <v>86</v>
      </c>
      <c r="B4" s="444"/>
      <c r="C4" s="444"/>
      <c r="D4" s="445" t="s">
        <v>87</v>
      </c>
      <c r="E4" s="433"/>
      <c r="F4" s="433"/>
      <c r="G4" s="434"/>
      <c r="H4" s="432" t="s">
        <v>88</v>
      </c>
      <c r="I4" s="433"/>
      <c r="J4" s="433"/>
      <c r="K4" s="434"/>
    </row>
    <row r="5" spans="1:11" ht="31.2">
      <c r="A5" s="441" t="s">
        <v>85</v>
      </c>
      <c r="B5" s="442"/>
      <c r="C5" s="442"/>
      <c r="D5" s="175" t="s">
        <v>89</v>
      </c>
      <c r="E5" s="176" t="s">
        <v>90</v>
      </c>
      <c r="F5" s="176" t="s">
        <v>91</v>
      </c>
      <c r="G5" s="177" t="s">
        <v>92</v>
      </c>
      <c r="H5" s="178" t="s">
        <v>89</v>
      </c>
      <c r="I5" s="176" t="s">
        <v>90</v>
      </c>
      <c r="J5" s="176" t="s">
        <v>91</v>
      </c>
      <c r="K5" s="177" t="s">
        <v>92</v>
      </c>
    </row>
    <row r="6" spans="1:11" ht="15.6">
      <c r="A6" s="437" t="s">
        <v>93</v>
      </c>
      <c r="B6" s="438"/>
      <c r="C6" s="438"/>
      <c r="D6" s="179">
        <v>0.85460992907801425</v>
      </c>
      <c r="E6" s="180">
        <v>0.85512751306729173</v>
      </c>
      <c r="F6" s="183">
        <v>0.86</v>
      </c>
      <c r="G6" s="181">
        <v>0.81229181204165746</v>
      </c>
      <c r="H6" s="182">
        <v>0.7978723404255319</v>
      </c>
      <c r="I6" s="180">
        <v>0.79835556199228463</v>
      </c>
      <c r="J6" s="180">
        <v>0.77761905388858898</v>
      </c>
      <c r="K6" s="181">
        <v>0.75836372493515736</v>
      </c>
    </row>
    <row r="7" spans="1:11" ht="15.6">
      <c r="A7" s="437" t="s">
        <v>94</v>
      </c>
      <c r="B7" s="438"/>
      <c r="C7" s="438"/>
      <c r="D7" s="179">
        <v>0.87765957446808507</v>
      </c>
      <c r="E7" s="180">
        <v>0.87819111819151319</v>
      </c>
      <c r="F7" s="183">
        <v>0.88</v>
      </c>
      <c r="G7" s="181">
        <v>0.83420009742867296</v>
      </c>
      <c r="H7" s="182">
        <v>0.82801418439716312</v>
      </c>
      <c r="I7" s="180">
        <v>0.82851566100088192</v>
      </c>
      <c r="J7" s="180">
        <v>0.80699577370215791</v>
      </c>
      <c r="K7" s="181">
        <v>0.78701302121048544</v>
      </c>
    </row>
    <row r="8" spans="1:11" ht="15.6">
      <c r="A8" s="437" t="s">
        <v>95</v>
      </c>
      <c r="B8" s="438"/>
      <c r="C8" s="438"/>
      <c r="D8" s="179">
        <v>0.89184397163120566</v>
      </c>
      <c r="E8" s="183">
        <v>0.89238410596026485</v>
      </c>
      <c r="F8" s="183">
        <v>0.9</v>
      </c>
      <c r="G8" s="184">
        <v>0.84768211920529801</v>
      </c>
      <c r="H8" s="182">
        <v>0.84751773049645385</v>
      </c>
      <c r="I8" s="180">
        <v>0.84803101918291557</v>
      </c>
      <c r="J8" s="180">
        <v>0.82600423946387891</v>
      </c>
      <c r="K8" s="181">
        <v>0.80555080115334488</v>
      </c>
    </row>
    <row r="9" spans="1:11" ht="15.6">
      <c r="A9" s="437" t="s">
        <v>96</v>
      </c>
      <c r="B9" s="438"/>
      <c r="C9" s="438"/>
      <c r="D9" s="179">
        <v>0.9042553191489362</v>
      </c>
      <c r="E9" s="180">
        <v>0.90480297025792267</v>
      </c>
      <c r="F9" s="183">
        <v>0.91</v>
      </c>
      <c r="G9" s="181">
        <v>0.85947888825984498</v>
      </c>
      <c r="H9" s="182">
        <v>0.86702127659574468</v>
      </c>
      <c r="I9" s="180">
        <v>0.86754637736494922</v>
      </c>
      <c r="J9" s="180">
        <v>0.8450127052255999</v>
      </c>
      <c r="K9" s="181">
        <v>0.82408858109620431</v>
      </c>
    </row>
    <row r="10" spans="1:11" ht="16.2" thickBot="1">
      <c r="A10" s="439" t="s">
        <v>97</v>
      </c>
      <c r="B10" s="440"/>
      <c r="C10" s="440"/>
      <c r="D10" s="185">
        <v>0.86170212765957444</v>
      </c>
      <c r="E10" s="186">
        <v>0.86222400695166745</v>
      </c>
      <c r="F10" s="189">
        <v>0.87</v>
      </c>
      <c r="G10" s="187">
        <v>0.81903282292996982</v>
      </c>
      <c r="H10" s="188">
        <v>0.80449368764898022</v>
      </c>
      <c r="I10" s="186">
        <v>0.80498091935321625</v>
      </c>
      <c r="J10" s="186">
        <v>0.78407232404534066</v>
      </c>
      <c r="K10" s="187">
        <v>0.76465719983088465</v>
      </c>
    </row>
    <row r="11" spans="1:11" ht="13.8" thickTop="1"/>
    <row r="12" spans="1:11">
      <c r="A12" s="480" t="s">
        <v>212</v>
      </c>
      <c r="B12" s="480"/>
      <c r="C12" s="480"/>
      <c r="D12" s="480"/>
      <c r="E12" s="480"/>
      <c r="F12" s="480"/>
      <c r="G12" s="480"/>
      <c r="H12" s="480"/>
      <c r="I12" s="480"/>
      <c r="J12" s="481"/>
      <c r="K12" s="481"/>
    </row>
    <row r="13" spans="1:11">
      <c r="A13" s="480"/>
      <c r="B13" s="480"/>
      <c r="C13" s="480"/>
      <c r="D13" s="480"/>
      <c r="E13" s="480"/>
      <c r="F13" s="480"/>
      <c r="G13" s="480"/>
      <c r="H13" s="480"/>
      <c r="I13" s="480"/>
      <c r="J13" s="481"/>
      <c r="K13" s="481"/>
    </row>
    <row r="14" spans="1:11" ht="36" customHeight="1" thickBot="1">
      <c r="A14" s="482"/>
      <c r="B14" s="482"/>
      <c r="C14" s="482"/>
      <c r="D14" s="482"/>
      <c r="E14" s="482"/>
      <c r="F14" s="482"/>
      <c r="G14" s="482"/>
      <c r="H14" s="482"/>
      <c r="I14" s="482"/>
      <c r="J14" s="482"/>
      <c r="K14" s="482"/>
    </row>
    <row r="15" spans="1:11" ht="16.2" thickTop="1">
      <c r="A15" s="443" t="s">
        <v>86</v>
      </c>
      <c r="B15" s="444"/>
      <c r="C15" s="444"/>
      <c r="D15" s="445" t="s">
        <v>87</v>
      </c>
      <c r="E15" s="433"/>
      <c r="F15" s="433"/>
      <c r="G15" s="434"/>
      <c r="H15" s="432" t="s">
        <v>88</v>
      </c>
      <c r="I15" s="433"/>
      <c r="J15" s="433"/>
      <c r="K15" s="434"/>
    </row>
    <row r="16" spans="1:11" ht="31.2">
      <c r="A16" s="441" t="s">
        <v>85</v>
      </c>
      <c r="B16" s="442"/>
      <c r="C16" s="442"/>
      <c r="D16" s="175" t="s">
        <v>89</v>
      </c>
      <c r="E16" s="176" t="s">
        <v>90</v>
      </c>
      <c r="F16" s="176" t="s">
        <v>91</v>
      </c>
      <c r="G16" s="177" t="s">
        <v>92</v>
      </c>
      <c r="H16" s="178" t="s">
        <v>89</v>
      </c>
      <c r="I16" s="176" t="s">
        <v>90</v>
      </c>
      <c r="J16" s="176" t="s">
        <v>91</v>
      </c>
      <c r="K16" s="177" t="s">
        <v>92</v>
      </c>
    </row>
    <row r="17" spans="1:11" ht="15.6">
      <c r="A17" s="437" t="s">
        <v>93</v>
      </c>
      <c r="B17" s="438"/>
      <c r="C17" s="438"/>
      <c r="D17" s="179">
        <v>0.86399071156078955</v>
      </c>
      <c r="E17" s="180">
        <v>0.85761321968730153</v>
      </c>
      <c r="F17" s="183">
        <v>0.83</v>
      </c>
      <c r="G17" s="181">
        <v>0.81456514954125736</v>
      </c>
      <c r="H17" s="182">
        <v>0.81091391607231711</v>
      </c>
      <c r="I17" s="180">
        <v>0.8049282071513183</v>
      </c>
      <c r="J17" s="180">
        <v>0.78397822592782229</v>
      </c>
      <c r="K17" s="181">
        <v>0.76452467193457607</v>
      </c>
    </row>
    <row r="18" spans="1:11" ht="15.6">
      <c r="A18" s="437" t="s">
        <v>94</v>
      </c>
      <c r="B18" s="438"/>
      <c r="C18" s="438"/>
      <c r="D18" s="179">
        <v>0.88555315972798143</v>
      </c>
      <c r="E18" s="180">
        <v>0.87901650603004466</v>
      </c>
      <c r="F18" s="183">
        <v>0.85</v>
      </c>
      <c r="G18" s="181">
        <v>0.8348940935689716</v>
      </c>
      <c r="H18" s="182">
        <v>0.83911096367556803</v>
      </c>
      <c r="I18" s="180">
        <v>0.83291712006105934</v>
      </c>
      <c r="J18" s="180">
        <v>0.81123866741027872</v>
      </c>
      <c r="K18" s="181">
        <v>0.79110867566312537</v>
      </c>
    </row>
    <row r="19" spans="1:11" ht="15.6">
      <c r="A19" s="437" t="s">
        <v>95</v>
      </c>
      <c r="B19" s="438"/>
      <c r="C19" s="438"/>
      <c r="D19" s="179">
        <v>0.89882235860009951</v>
      </c>
      <c r="E19" s="183">
        <v>0.89218775916404047</v>
      </c>
      <c r="F19" s="183">
        <v>0.86896666113783383</v>
      </c>
      <c r="G19" s="184">
        <v>0.84740421297064183</v>
      </c>
      <c r="H19" s="182">
        <v>0.8573561121247304</v>
      </c>
      <c r="I19" s="180">
        <v>0.85102759312030352</v>
      </c>
      <c r="J19" s="180">
        <v>0.82887777660480944</v>
      </c>
      <c r="K19" s="181">
        <v>0.80831008984042207</v>
      </c>
    </row>
    <row r="20" spans="1:11" ht="15.6">
      <c r="A20" s="437" t="s">
        <v>96</v>
      </c>
      <c r="B20" s="438"/>
      <c r="C20" s="438"/>
      <c r="D20" s="179">
        <v>0.91043290761320284</v>
      </c>
      <c r="E20" s="180">
        <v>0.90371260565628675</v>
      </c>
      <c r="F20" s="183">
        <v>0.89</v>
      </c>
      <c r="G20" s="181">
        <v>0.85835056744710325</v>
      </c>
      <c r="H20" s="182">
        <v>0.87560126057389287</v>
      </c>
      <c r="I20" s="180">
        <v>0.8691380661795477</v>
      </c>
      <c r="J20" s="180">
        <v>0.84651688579934015</v>
      </c>
      <c r="K20" s="181">
        <v>0.82551150401771878</v>
      </c>
    </row>
    <row r="21" spans="1:11" ht="16.2" thickBot="1">
      <c r="A21" s="439" t="s">
        <v>97</v>
      </c>
      <c r="B21" s="440"/>
      <c r="C21" s="440"/>
      <c r="D21" s="185">
        <v>0.87062531099684859</v>
      </c>
      <c r="E21" s="186">
        <v>0.86419884625429944</v>
      </c>
      <c r="F21" s="189">
        <v>0.83</v>
      </c>
      <c r="G21" s="187">
        <v>0.82082020924209242</v>
      </c>
      <c r="H21" s="188">
        <v>0.81714093788896003</v>
      </c>
      <c r="I21" s="186">
        <v>0.81110926460688604</v>
      </c>
      <c r="J21" s="186">
        <v>0.7899984081196274</v>
      </c>
      <c r="K21" s="187">
        <v>0.77039546995288732</v>
      </c>
    </row>
    <row r="22" spans="1:11" ht="13.8" thickTop="1"/>
    <row r="23" spans="1:11">
      <c r="A23" s="480" t="s">
        <v>213</v>
      </c>
      <c r="B23" s="480"/>
      <c r="C23" s="480"/>
      <c r="D23" s="480"/>
      <c r="E23" s="480"/>
      <c r="F23" s="480"/>
      <c r="G23" s="480"/>
      <c r="H23" s="480"/>
      <c r="I23" s="480"/>
      <c r="J23" s="481"/>
      <c r="K23" s="481"/>
    </row>
    <row r="24" spans="1:11">
      <c r="A24" s="480"/>
      <c r="B24" s="480"/>
      <c r="C24" s="480"/>
      <c r="D24" s="480"/>
      <c r="E24" s="480"/>
      <c r="F24" s="480"/>
      <c r="G24" s="480"/>
      <c r="H24" s="480"/>
      <c r="I24" s="480"/>
      <c r="J24" s="481"/>
      <c r="K24" s="481"/>
    </row>
    <row r="25" spans="1:11" ht="28.95" customHeight="1" thickBot="1">
      <c r="A25" s="482"/>
      <c r="B25" s="482"/>
      <c r="C25" s="482"/>
      <c r="D25" s="482"/>
      <c r="E25" s="482"/>
      <c r="F25" s="482"/>
      <c r="G25" s="482"/>
      <c r="H25" s="482"/>
      <c r="I25" s="482"/>
      <c r="J25" s="482"/>
      <c r="K25" s="482"/>
    </row>
    <row r="26" spans="1:11" ht="16.2" thickTop="1">
      <c r="A26" s="443" t="s">
        <v>86</v>
      </c>
      <c r="B26" s="444"/>
      <c r="C26" s="444"/>
      <c r="D26" s="445" t="s">
        <v>87</v>
      </c>
      <c r="E26" s="433"/>
      <c r="F26" s="433"/>
      <c r="G26" s="434"/>
      <c r="H26" s="432" t="s">
        <v>88</v>
      </c>
      <c r="I26" s="433"/>
      <c r="J26" s="433"/>
      <c r="K26" s="434"/>
    </row>
    <row r="27" spans="1:11" ht="31.2">
      <c r="A27" s="441" t="s">
        <v>85</v>
      </c>
      <c r="B27" s="442"/>
      <c r="C27" s="442"/>
      <c r="D27" s="175" t="s">
        <v>89</v>
      </c>
      <c r="E27" s="176" t="s">
        <v>90</v>
      </c>
      <c r="F27" s="176" t="s">
        <v>91</v>
      </c>
      <c r="G27" s="177" t="s">
        <v>92</v>
      </c>
      <c r="H27" s="178" t="s">
        <v>89</v>
      </c>
      <c r="I27" s="176" t="s">
        <v>90</v>
      </c>
      <c r="J27" s="176" t="s">
        <v>91</v>
      </c>
      <c r="K27" s="177" t="s">
        <v>92</v>
      </c>
    </row>
    <row r="28" spans="1:11" ht="15.6">
      <c r="A28" s="437" t="s">
        <v>93</v>
      </c>
      <c r="B28" s="438"/>
      <c r="C28" s="438"/>
      <c r="D28" s="297">
        <v>82</v>
      </c>
      <c r="E28" s="298">
        <v>87.377049180327859</v>
      </c>
      <c r="F28" s="298">
        <v>106.1967213114754</v>
      </c>
      <c r="G28" s="299">
        <v>123.67213114754098</v>
      </c>
      <c r="H28" s="300">
        <v>114</v>
      </c>
      <c r="I28" s="298">
        <v>121.47540983606557</v>
      </c>
      <c r="J28" s="298">
        <v>147.63934426229508</v>
      </c>
      <c r="K28" s="299">
        <v>171.93442622950818</v>
      </c>
    </row>
    <row r="29" spans="1:11" ht="15.6">
      <c r="A29" s="437" t="s">
        <v>94</v>
      </c>
      <c r="B29" s="438"/>
      <c r="C29" s="438"/>
      <c r="D29" s="297">
        <v>69</v>
      </c>
      <c r="E29" s="298">
        <v>73.52459016393442</v>
      </c>
      <c r="F29" s="298">
        <v>89.360655737704917</v>
      </c>
      <c r="G29" s="299">
        <v>104.0655737704918</v>
      </c>
      <c r="H29" s="300">
        <v>97</v>
      </c>
      <c r="I29" s="298">
        <v>103.36065573770492</v>
      </c>
      <c r="J29" s="298">
        <v>125.62295081967214</v>
      </c>
      <c r="K29" s="299">
        <v>146.29508196721312</v>
      </c>
    </row>
    <row r="30" spans="1:11" ht="15.6">
      <c r="A30" s="437" t="s">
        <v>95</v>
      </c>
      <c r="B30" s="438"/>
      <c r="C30" s="438"/>
      <c r="D30" s="297">
        <v>61</v>
      </c>
      <c r="E30" s="301">
        <v>65</v>
      </c>
      <c r="F30" s="301">
        <v>79</v>
      </c>
      <c r="G30" s="302">
        <v>92</v>
      </c>
      <c r="H30" s="300">
        <v>86</v>
      </c>
      <c r="I30" s="298">
        <v>91.639344262295083</v>
      </c>
      <c r="J30" s="298">
        <v>111.37704918032787</v>
      </c>
      <c r="K30" s="299">
        <v>129.70491803278688</v>
      </c>
    </row>
    <row r="31" spans="1:11" ht="15.6">
      <c r="A31" s="437" t="s">
        <v>96</v>
      </c>
      <c r="B31" s="438"/>
      <c r="C31" s="438"/>
      <c r="D31" s="297">
        <v>54</v>
      </c>
      <c r="E31" s="298">
        <v>57.540983606557376</v>
      </c>
      <c r="F31" s="298">
        <v>69.93442622950819</v>
      </c>
      <c r="G31" s="299">
        <v>81.442622950819668</v>
      </c>
      <c r="H31" s="300">
        <v>75</v>
      </c>
      <c r="I31" s="298">
        <v>79.918032786885249</v>
      </c>
      <c r="J31" s="298">
        <v>97.131147540983605</v>
      </c>
      <c r="K31" s="299">
        <v>113.11475409836065</v>
      </c>
    </row>
    <row r="32" spans="1:11" ht="16.2" thickBot="1">
      <c r="A32" s="439" t="s">
        <v>97</v>
      </c>
      <c r="B32" s="440"/>
      <c r="C32" s="440"/>
      <c r="D32" s="303">
        <v>78</v>
      </c>
      <c r="E32" s="304">
        <v>83.114754098360663</v>
      </c>
      <c r="F32" s="304">
        <v>101.01639344262296</v>
      </c>
      <c r="G32" s="305">
        <v>117.63934426229508</v>
      </c>
      <c r="H32" s="306">
        <v>108.4390243902439</v>
      </c>
      <c r="I32" s="304">
        <v>115.54978008796481</v>
      </c>
      <c r="J32" s="304">
        <v>140.43742502998799</v>
      </c>
      <c r="K32" s="305">
        <v>163.54738104758096</v>
      </c>
    </row>
    <row r="33" ht="13.8" thickTop="1"/>
  </sheetData>
  <sheetProtection selectLockedCells="1"/>
  <mergeCells count="30">
    <mergeCell ref="A32:C32"/>
    <mergeCell ref="A27:C27"/>
    <mergeCell ref="A28:C28"/>
    <mergeCell ref="A29:C29"/>
    <mergeCell ref="A30:C30"/>
    <mergeCell ref="A23:K25"/>
    <mergeCell ref="A26:C26"/>
    <mergeCell ref="D26:G26"/>
    <mergeCell ref="H26:K26"/>
    <mergeCell ref="A31:C31"/>
    <mergeCell ref="A5:C5"/>
    <mergeCell ref="A6:C6"/>
    <mergeCell ref="A7:C7"/>
    <mergeCell ref="A8:C8"/>
    <mergeCell ref="A1:K3"/>
    <mergeCell ref="A4:C4"/>
    <mergeCell ref="D4:G4"/>
    <mergeCell ref="H4:K4"/>
    <mergeCell ref="A9:C9"/>
    <mergeCell ref="A10:C10"/>
    <mergeCell ref="A12:K14"/>
    <mergeCell ref="A15:C15"/>
    <mergeCell ref="D15:G15"/>
    <mergeCell ref="H15:K15"/>
    <mergeCell ref="A20:C20"/>
    <mergeCell ref="A21:C21"/>
    <mergeCell ref="A16:C16"/>
    <mergeCell ref="A17:C17"/>
    <mergeCell ref="A18:C18"/>
    <mergeCell ref="A19:C19"/>
  </mergeCells>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Interface (Start Here!)</vt:lpstr>
      <vt:lpstr>Bathymetric Closures</vt:lpstr>
      <vt:lpstr>Release Mortality</vt:lpstr>
      <vt:lpstr>Projected Reductions</vt:lpstr>
    </vt:vector>
  </TitlesOfParts>
  <Company>National Marine Fisheries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nick.farmer</dc:creator>
  <cp:lastModifiedBy>Nicholas A. Farmer, Ph.D.</cp:lastModifiedBy>
  <dcterms:created xsi:type="dcterms:W3CDTF">2009-07-08T18:56:01Z</dcterms:created>
  <dcterms:modified xsi:type="dcterms:W3CDTF">2009-12-02T17:56:47Z</dcterms:modified>
</cp:coreProperties>
</file>