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60" windowWidth="11295" windowHeight="8625"/>
  </bookViews>
  <sheets>
    <sheet name="Introduction" sheetId="3" r:id="rId1"/>
    <sheet name="Landings" sheetId="1" r:id="rId2"/>
    <sheet name="Decisions" sheetId="2" r:id="rId3"/>
  </sheets>
  <calcPr calcId="125725"/>
</workbook>
</file>

<file path=xl/calcChain.xml><?xml version="1.0" encoding="utf-8"?>
<calcChain xmlns="http://schemas.openxmlformats.org/spreadsheetml/2006/main">
  <c r="C15" i="2"/>
  <c r="F22" i="1" l="1"/>
  <c r="D15"/>
  <c r="I26" i="2"/>
  <c r="G26"/>
  <c r="I25"/>
  <c r="G25"/>
  <c r="H4"/>
  <c r="F4"/>
  <c r="H3"/>
  <c r="F3"/>
  <c r="E3" i="1"/>
  <c r="E4"/>
  <c r="E5"/>
  <c r="E6"/>
  <c r="E7"/>
  <c r="E8"/>
  <c r="E9"/>
  <c r="E10"/>
  <c r="E11"/>
  <c r="E12"/>
  <c r="E13"/>
  <c r="E14"/>
  <c r="E16"/>
  <c r="E17"/>
  <c r="E18"/>
  <c r="E19"/>
  <c r="E20"/>
  <c r="E2"/>
  <c r="C3"/>
  <c r="C4"/>
  <c r="C5"/>
  <c r="C6"/>
  <c r="C7"/>
  <c r="C8"/>
  <c r="C9"/>
  <c r="C10"/>
  <c r="C11"/>
  <c r="C12"/>
  <c r="C13"/>
  <c r="C14"/>
  <c r="C16"/>
  <c r="C17"/>
  <c r="C18"/>
  <c r="C19"/>
  <c r="C20"/>
  <c r="C2"/>
  <c r="D44" i="2"/>
  <c r="D43"/>
  <c r="D42"/>
  <c r="D41"/>
  <c r="D40"/>
  <c r="C44"/>
  <c r="C43"/>
  <c r="C42"/>
  <c r="C41"/>
  <c r="C40"/>
  <c r="D39"/>
  <c r="C39"/>
  <c r="B39"/>
  <c r="C37"/>
  <c r="C35"/>
  <c r="C33"/>
  <c r="C32"/>
  <c r="D30"/>
  <c r="D37" s="1"/>
  <c r="D29"/>
  <c r="D36" s="1"/>
  <c r="D28"/>
  <c r="D35" s="1"/>
  <c r="D27"/>
  <c r="D34" s="1"/>
  <c r="D26"/>
  <c r="D33" s="1"/>
  <c r="C30"/>
  <c r="C29"/>
  <c r="C36" s="1"/>
  <c r="C28"/>
  <c r="C27"/>
  <c r="C34" s="1"/>
  <c r="C26"/>
  <c r="D25"/>
  <c r="D32" s="1"/>
  <c r="C25"/>
  <c r="B44"/>
  <c r="B43"/>
  <c r="B42"/>
  <c r="B41"/>
  <c r="B40"/>
  <c r="B30"/>
  <c r="B37" s="1"/>
  <c r="B29"/>
  <c r="B36" s="1"/>
  <c r="B28"/>
  <c r="B35" s="1"/>
  <c r="B27"/>
  <c r="B34" s="1"/>
  <c r="B26"/>
  <c r="B33" s="1"/>
  <c r="B25"/>
  <c r="B32" s="1"/>
  <c r="B17"/>
  <c r="D21" s="1"/>
  <c r="D22" s="1"/>
  <c r="D23" s="1"/>
  <c r="B16"/>
  <c r="C21" s="1"/>
  <c r="C22" s="1"/>
  <c r="C23" s="1"/>
  <c r="F15" i="1"/>
  <c r="C15" l="1"/>
  <c r="F21"/>
  <c r="B15" i="2" s="1"/>
  <c r="B21" s="1"/>
  <c r="B22" s="1"/>
  <c r="B23" s="1"/>
  <c r="E15" i="1"/>
</calcChain>
</file>

<file path=xl/sharedStrings.xml><?xml version="1.0" encoding="utf-8"?>
<sst xmlns="http://schemas.openxmlformats.org/spreadsheetml/2006/main" count="108" uniqueCount="82">
  <si>
    <t>Fishing Season</t>
  </si>
  <si>
    <t>Com. Total</t>
  </si>
  <si>
    <t>Rec. Total</t>
  </si>
  <si>
    <t>Com. &amp; Rec. Total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</si>
  <si>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</si>
  <si>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</si>
  <si>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</si>
  <si>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</si>
  <si>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</si>
  <si>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</si>
  <si>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</si>
  <si>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</si>
  <si>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</si>
  <si>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</si>
  <si>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</si>
  <si>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</si>
  <si>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</si>
  <si>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</si>
  <si>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</si>
  <si>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</si>
  <si>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</si>
  <si>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</si>
  <si>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</si>
  <si>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Note:  2004/05 recreational landings estimated as mean of 2 previous years.</t>
  </si>
  <si>
    <t>ABC = Mean 10 years =</t>
  </si>
  <si>
    <t>ABC = Median 10 years =</t>
  </si>
  <si>
    <t>Alt.2: 80%C/20%R</t>
  </si>
  <si>
    <t>Alt.3: 74%C/26%R</t>
  </si>
  <si>
    <t>Alt.4: 78%C/22%R</t>
  </si>
  <si>
    <t>Decision #1:  Allocations</t>
  </si>
  <si>
    <t>Decision #2:  ABC Control Rule and ABC</t>
  </si>
  <si>
    <t>Alt.2:  Data poor control rule</t>
  </si>
  <si>
    <t>Alt.3: ABC=OFL</t>
  </si>
  <si>
    <t>Alt.4a: ABC=yield@65%MFMT</t>
  </si>
  <si>
    <t>Alt.4b: ABC=yield@75%MFMT</t>
  </si>
  <si>
    <t>Alt.4c: ABC=yield@85%MFMT</t>
  </si>
  <si>
    <t>Staff alternatives</t>
  </si>
  <si>
    <t>Alt.5a-d: ABC=%OFL with P*</t>
  </si>
  <si>
    <t>Alt.7: SSC control rule &amp; ABC=high of 10 years</t>
  </si>
  <si>
    <t>Alt.6: SSC control rule &amp; ABC=average or median 10 years</t>
  </si>
  <si>
    <t>Alt.8: SSC control rule &amp; ABC=low of 10 years</t>
  </si>
  <si>
    <t>Decision #3:  ACL</t>
  </si>
  <si>
    <t>Alt.2a: ACL=OY=ABC</t>
  </si>
  <si>
    <t>Alt.2b: ACL=OY=90%ABC</t>
  </si>
  <si>
    <t>Alt.2c: ACL=OY=80%ABC</t>
  </si>
  <si>
    <t>Alt.3a: SectorACL=SectorOY=Allocation%*ABC</t>
  </si>
  <si>
    <t>High</t>
  </si>
  <si>
    <t>Low</t>
  </si>
  <si>
    <t xml:space="preserve">     Recreational (20%) ACL</t>
  </si>
  <si>
    <t xml:space="preserve">     Commercial (80%) ACL</t>
  </si>
  <si>
    <t xml:space="preserve">     Commercial (74%) ACL</t>
  </si>
  <si>
    <t xml:space="preserve">     Recreational (26%) ACL</t>
  </si>
  <si>
    <t xml:space="preserve">     Commercial (78%) ACL</t>
  </si>
  <si>
    <t xml:space="preserve">     Recreational (22%) ACL</t>
  </si>
  <si>
    <r>
      <t>Alt.3b: SectorACL=SectorOY=80%or</t>
    </r>
    <r>
      <rPr>
        <sz val="11"/>
        <color rgb="FFFF0000"/>
        <rFont val="Calibri"/>
        <family val="2"/>
        <scheme val="minor"/>
      </rPr>
      <t>90%</t>
    </r>
    <r>
      <rPr>
        <sz val="11"/>
        <color theme="1"/>
        <rFont val="Calibri"/>
        <family val="2"/>
        <scheme val="minor"/>
      </rPr>
      <t>(Allocation%*ABC)</t>
    </r>
  </si>
  <si>
    <r>
      <t>Alt.3c: SectorACL=SectorOY=Allocation%(80%or</t>
    </r>
    <r>
      <rPr>
        <sz val="11"/>
        <color rgb="FFFF0000"/>
        <rFont val="Calibri"/>
        <family val="2"/>
        <scheme val="minor"/>
      </rPr>
      <t>90%</t>
    </r>
    <r>
      <rPr>
        <sz val="11"/>
        <color theme="1"/>
        <rFont val="Calibri"/>
        <family val="2"/>
        <scheme val="minor"/>
      </rPr>
      <t>*ABC)</t>
    </r>
  </si>
  <si>
    <t>%Rec</t>
  </si>
  <si>
    <t>%Com</t>
  </si>
  <si>
    <t>Com</t>
  </si>
  <si>
    <t>Rec</t>
  </si>
  <si>
    <t>Total</t>
  </si>
  <si>
    <t>SPINY LOBSTER AMENDMENT 10 DECISIONS</t>
  </si>
  <si>
    <t>Recreational Landings for 2004-05 were filled-in using the mean of the two previous year's recreational landings.</t>
  </si>
  <si>
    <t>Once the committee chooses a preferred alternative, then the percentage allocations are used in the next decision.</t>
  </si>
  <si>
    <r>
      <rPr>
        <b/>
        <sz val="11"/>
        <color theme="1"/>
        <rFont val="Calibri"/>
        <family val="2"/>
        <scheme val="minor"/>
      </rPr>
      <t>Decision #1</t>
    </r>
    <r>
      <rPr>
        <sz val="11"/>
        <color theme="1"/>
        <rFont val="Calibri"/>
        <family val="2"/>
        <scheme val="minor"/>
      </rPr>
      <t xml:space="preserve"> - allocation.  Two years of data are shown which includes almost the full range as shown in the Landings Tab.</t>
    </r>
  </si>
  <si>
    <t>This spreadsheed contains three Tabs: (1) Introduction, (2) Landings and (3) Decisions.</t>
  </si>
  <si>
    <r>
      <t xml:space="preserve">(1) </t>
    </r>
    <r>
      <rPr>
        <b/>
        <sz val="11"/>
        <color theme="1"/>
        <rFont val="Calibri"/>
        <family val="2"/>
        <scheme val="minor"/>
      </rPr>
      <t>Introduction</t>
    </r>
    <r>
      <rPr>
        <sz val="11"/>
        <color theme="1"/>
        <rFont val="Calibri"/>
        <family val="2"/>
        <scheme val="minor"/>
      </rPr>
      <t xml:space="preserve"> - brief overview of what's included and decisions to be made.</t>
    </r>
  </si>
  <si>
    <r>
      <t xml:space="preserve">(3) </t>
    </r>
    <r>
      <rPr>
        <b/>
        <sz val="11"/>
        <color theme="1"/>
        <rFont val="Calibri"/>
        <family val="2"/>
        <scheme val="minor"/>
      </rPr>
      <t>Decisions</t>
    </r>
    <r>
      <rPr>
        <sz val="11"/>
        <color theme="1"/>
        <rFont val="Calibri"/>
        <family val="2"/>
        <scheme val="minor"/>
      </rPr>
      <t xml:space="preserve"> - this Tab outlines the decisions that need to be made:</t>
    </r>
  </si>
  <si>
    <r>
      <t xml:space="preserve">(2) </t>
    </r>
    <r>
      <rPr>
        <b/>
        <sz val="11"/>
        <color theme="1"/>
        <rFont val="Calibri"/>
        <family val="2"/>
        <scheme val="minor"/>
      </rPr>
      <t>Landings</t>
    </r>
    <r>
      <rPr>
        <sz val="11"/>
        <color theme="1"/>
        <rFont val="Calibri"/>
        <family val="2"/>
        <scheme val="minor"/>
      </rPr>
      <t xml:space="preserve"> - data provided by Bill Sharp (Florida) with no recreational total for 2004-05 due to lack of recreational survey given hurricanes.</t>
    </r>
  </si>
  <si>
    <t>Attachment 3c - SAFMC SSC control rule</t>
  </si>
  <si>
    <t>Attachment 3d - Gulf Council SSC control rule</t>
  </si>
  <si>
    <r>
      <rPr>
        <b/>
        <sz val="11"/>
        <color theme="1"/>
        <rFont val="Calibri"/>
        <family val="2"/>
        <scheme val="minor"/>
      </rPr>
      <t>Decision #2</t>
    </r>
    <r>
      <rPr>
        <sz val="11"/>
        <color theme="1"/>
        <rFont val="Calibri"/>
        <family val="2"/>
        <scheme val="minor"/>
      </rPr>
      <t xml:space="preserve"> - ABC Control Rule &amp; ABC.  Two attachments present the latest South Atlantic and Gulf Council SSC Control Rules.</t>
    </r>
  </si>
  <si>
    <t>The SSC Subcommittee rejected the SEDAR Update for spiny lobster  and indicated they had no confidence in the reference points.</t>
  </si>
  <si>
    <t>Since we have no OFL or ABC recommendations from the SSC Subcommittee, my staff recommendations are to add:</t>
  </si>
  <si>
    <t>Mean</t>
  </si>
  <si>
    <t>Median</t>
  </si>
  <si>
    <t>Alt.6: SSC control rule &amp; ABC=average or median 10 years.  SSC recommended median of 10 years for Spanish mackerel.</t>
  </si>
  <si>
    <t>Once the committee chooses a preferred alternative, then the ABC is used in the next decision.</t>
  </si>
  <si>
    <r>
      <rPr>
        <b/>
        <sz val="11"/>
        <color theme="1"/>
        <rFont val="Calibri"/>
        <family val="2"/>
        <scheme val="minor"/>
      </rPr>
      <t>Decision #3</t>
    </r>
    <r>
      <rPr>
        <sz val="11"/>
        <color theme="1"/>
        <rFont val="Calibri"/>
        <family val="2"/>
        <scheme val="minor"/>
      </rPr>
      <t xml:space="preserve"> - ACL.  </t>
    </r>
  </si>
  <si>
    <t>Specify the ACL (Alternative 2) and then the allocation from #1 specifies recreational and commercial ACLs (Alternative 3).</t>
  </si>
  <si>
    <t>Two years of landings data are provided to show the impacts on recent landings.  More years are shown in landings Tab.</t>
  </si>
  <si>
    <t>After these decisions are made, return to Draft Amendment 10/EIS to make the remaining decisions.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</si>
</sst>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3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2" borderId="0" xfId="0" applyFont="1" applyFill="1"/>
    <xf numFmtId="3" fontId="0" fillId="2" borderId="0" xfId="0" applyNumberFormat="1" applyFont="1" applyFill="1"/>
    <xf numFmtId="0" fontId="0" fillId="2" borderId="0" xfId="0" applyFill="1"/>
    <xf numFmtId="3" fontId="0" fillId="2" borderId="0" xfId="0" applyNumberFormat="1" applyFill="1"/>
    <xf numFmtId="0" fontId="0" fillId="0" borderId="0" xfId="0" applyFill="1"/>
    <xf numFmtId="9" fontId="0" fillId="0" borderId="0" xfId="1" applyFont="1" applyAlignment="1">
      <alignment horizontal="center"/>
    </xf>
    <xf numFmtId="0" fontId="1" fillId="0" borderId="0" xfId="0" applyFont="1" applyAlignment="1">
      <alignment horizontal="center" wrapText="1"/>
    </xf>
    <xf numFmtId="3" fontId="5" fillId="2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Landings!$B$1</c:f>
              <c:strCache>
                <c:ptCount val="1"/>
                <c:pt idx="0">
                  <c:v>Com. Total</c:v>
                </c:pt>
              </c:strCache>
            </c:strRef>
          </c:tx>
          <c:marker>
            <c:symbol val="none"/>
          </c:marker>
          <c:cat>
            <c:strRef>
              <c:f>Landings!$A$2:$A$20</c:f>
              <c:strCache>
                <c:ptCount val="19"/>
                <c:pt idx="0">
                  <c:v>1991/92</c:v>
                </c:pt>
                <c:pt idx="1">
                  <c:v>1992/93</c:v>
                </c:pt>
                <c:pt idx="2">
                  <c:v>1993/94</c:v>
                </c:pt>
                <c:pt idx="3">
                  <c:v>1994/95</c:v>
                </c:pt>
                <c:pt idx="4">
                  <c:v>1995/96</c:v>
                </c:pt>
                <c:pt idx="5">
                  <c:v>1996/97</c:v>
                </c:pt>
                <c:pt idx="6">
                  <c:v>1997/98</c:v>
                </c:pt>
                <c:pt idx="7">
                  <c:v>1998/99</c:v>
                </c:pt>
                <c:pt idx="8">
                  <c:v>1999/00</c:v>
                </c:pt>
                <c:pt idx="9">
                  <c:v>2000/01</c:v>
                </c:pt>
                <c:pt idx="10">
                  <c:v>2001/02</c:v>
                </c:pt>
                <c:pt idx="11">
                  <c:v>2002/03</c:v>
                </c:pt>
                <c:pt idx="12">
                  <c:v>2003/04</c:v>
                </c:pt>
                <c:pt idx="13">
                  <c:v>2004/05</c:v>
                </c:pt>
                <c:pt idx="14">
                  <c:v>2005/06</c:v>
                </c:pt>
                <c:pt idx="15">
                  <c:v>2006/07</c:v>
                </c:pt>
                <c:pt idx="16">
                  <c:v>2007/08</c:v>
                </c:pt>
                <c:pt idx="17">
                  <c:v>2008/09</c:v>
                </c:pt>
                <c:pt idx="18">
                  <c:v>2009/10</c:v>
                </c:pt>
              </c:strCache>
            </c:strRef>
          </c:cat>
          <c:val>
            <c:numRef>
              <c:f>Landings!$B$2:$B$20</c:f>
              <c:numCache>
                <c:formatCode>#,##0</c:formatCode>
                <c:ptCount val="19"/>
                <c:pt idx="0">
                  <c:v>6836015</c:v>
                </c:pt>
                <c:pt idx="1">
                  <c:v>5368188</c:v>
                </c:pt>
                <c:pt idx="2">
                  <c:v>5309790</c:v>
                </c:pt>
                <c:pt idx="3">
                  <c:v>7181641</c:v>
                </c:pt>
                <c:pt idx="4">
                  <c:v>7017134</c:v>
                </c:pt>
                <c:pt idx="5">
                  <c:v>7744104</c:v>
                </c:pt>
                <c:pt idx="6">
                  <c:v>7640177</c:v>
                </c:pt>
                <c:pt idx="7">
                  <c:v>5447533</c:v>
                </c:pt>
                <c:pt idx="8">
                  <c:v>7669207</c:v>
                </c:pt>
                <c:pt idx="9">
                  <c:v>5568707</c:v>
                </c:pt>
                <c:pt idx="10">
                  <c:v>3079262.74</c:v>
                </c:pt>
                <c:pt idx="11">
                  <c:v>4577392.25</c:v>
                </c:pt>
                <c:pt idx="12">
                  <c:v>4161588.79</c:v>
                </c:pt>
                <c:pt idx="13">
                  <c:v>5472994.1400000006</c:v>
                </c:pt>
                <c:pt idx="14">
                  <c:v>2963160.2300000004</c:v>
                </c:pt>
                <c:pt idx="15">
                  <c:v>4799492.8</c:v>
                </c:pt>
                <c:pt idx="16">
                  <c:v>3778036.5100000002</c:v>
                </c:pt>
                <c:pt idx="17">
                  <c:v>3269396.66</c:v>
                </c:pt>
                <c:pt idx="18">
                  <c:v>4343305</c:v>
                </c:pt>
              </c:numCache>
            </c:numRef>
          </c:val>
        </c:ser>
        <c:ser>
          <c:idx val="1"/>
          <c:order val="1"/>
          <c:tx>
            <c:strRef>
              <c:f>Landings!$D$1</c:f>
              <c:strCache>
                <c:ptCount val="1"/>
                <c:pt idx="0">
                  <c:v>Rec. Total</c:v>
                </c:pt>
              </c:strCache>
            </c:strRef>
          </c:tx>
          <c:marker>
            <c:symbol val="none"/>
          </c:marker>
          <c:cat>
            <c:strRef>
              <c:f>Landings!$A$2:$A$20</c:f>
              <c:strCache>
                <c:ptCount val="19"/>
                <c:pt idx="0">
                  <c:v>1991/92</c:v>
                </c:pt>
                <c:pt idx="1">
                  <c:v>1992/93</c:v>
                </c:pt>
                <c:pt idx="2">
                  <c:v>1993/94</c:v>
                </c:pt>
                <c:pt idx="3">
                  <c:v>1994/95</c:v>
                </c:pt>
                <c:pt idx="4">
                  <c:v>1995/96</c:v>
                </c:pt>
                <c:pt idx="5">
                  <c:v>1996/97</c:v>
                </c:pt>
                <c:pt idx="6">
                  <c:v>1997/98</c:v>
                </c:pt>
                <c:pt idx="7">
                  <c:v>1998/99</c:v>
                </c:pt>
                <c:pt idx="8">
                  <c:v>1999/00</c:v>
                </c:pt>
                <c:pt idx="9">
                  <c:v>2000/01</c:v>
                </c:pt>
                <c:pt idx="10">
                  <c:v>2001/02</c:v>
                </c:pt>
                <c:pt idx="11">
                  <c:v>2002/03</c:v>
                </c:pt>
                <c:pt idx="12">
                  <c:v>2003/04</c:v>
                </c:pt>
                <c:pt idx="13">
                  <c:v>2004/05</c:v>
                </c:pt>
                <c:pt idx="14">
                  <c:v>2005/06</c:v>
                </c:pt>
                <c:pt idx="15">
                  <c:v>2006/07</c:v>
                </c:pt>
                <c:pt idx="16">
                  <c:v>2007/08</c:v>
                </c:pt>
                <c:pt idx="17">
                  <c:v>2008/09</c:v>
                </c:pt>
                <c:pt idx="18">
                  <c:v>2009/10</c:v>
                </c:pt>
              </c:strCache>
            </c:strRef>
          </c:cat>
          <c:val>
            <c:numRef>
              <c:f>Landings!$D$2:$D$20</c:f>
              <c:numCache>
                <c:formatCode>#,##0</c:formatCode>
                <c:ptCount val="19"/>
                <c:pt idx="0">
                  <c:v>1815790.8604134871</c:v>
                </c:pt>
                <c:pt idx="1">
                  <c:v>1352443.1223581105</c:v>
                </c:pt>
                <c:pt idx="2">
                  <c:v>1883114.1822136908</c:v>
                </c:pt>
                <c:pt idx="3">
                  <c:v>1905995.1340760945</c:v>
                </c:pt>
                <c:pt idx="4">
                  <c:v>1930717.881890049</c:v>
                </c:pt>
                <c:pt idx="5">
                  <c:v>1922596.1827919127</c:v>
                </c:pt>
                <c:pt idx="6">
                  <c:v>2304186.4774770066</c:v>
                </c:pt>
                <c:pt idx="7">
                  <c:v>1302676.9737541215</c:v>
                </c:pt>
                <c:pt idx="8">
                  <c:v>2461980.7060711496</c:v>
                </c:pt>
                <c:pt idx="9">
                  <c:v>1949033.100241564</c:v>
                </c:pt>
                <c:pt idx="10">
                  <c:v>1251080.5208854324</c:v>
                </c:pt>
                <c:pt idx="11">
                  <c:v>1455297.7713970263</c:v>
                </c:pt>
                <c:pt idx="12">
                  <c:v>1411508.5113589314</c:v>
                </c:pt>
                <c:pt idx="13">
                  <c:v>1433403.141377979</c:v>
                </c:pt>
                <c:pt idx="14">
                  <c:v>1131013.5490816878</c:v>
                </c:pt>
                <c:pt idx="15">
                  <c:v>1304510.7310208958</c:v>
                </c:pt>
                <c:pt idx="16">
                  <c:v>1215068.5742583605</c:v>
                </c:pt>
                <c:pt idx="17">
                  <c:v>1263508.9518813167</c:v>
                </c:pt>
                <c:pt idx="18">
                  <c:v>1126713.6208315224</c:v>
                </c:pt>
              </c:numCache>
            </c:numRef>
          </c:val>
        </c:ser>
        <c:ser>
          <c:idx val="2"/>
          <c:order val="2"/>
          <c:tx>
            <c:strRef>
              <c:f>Landings!$F$1</c:f>
              <c:strCache>
                <c:ptCount val="1"/>
                <c:pt idx="0">
                  <c:v>Com. &amp; Rec. Total</c:v>
                </c:pt>
              </c:strCache>
            </c:strRef>
          </c:tx>
          <c:marker>
            <c:symbol val="none"/>
          </c:marker>
          <c:cat>
            <c:strRef>
              <c:f>Landings!$A$2:$A$20</c:f>
              <c:strCache>
                <c:ptCount val="19"/>
                <c:pt idx="0">
                  <c:v>1991/92</c:v>
                </c:pt>
                <c:pt idx="1">
                  <c:v>1992/93</c:v>
                </c:pt>
                <c:pt idx="2">
                  <c:v>1993/94</c:v>
                </c:pt>
                <c:pt idx="3">
                  <c:v>1994/95</c:v>
                </c:pt>
                <c:pt idx="4">
                  <c:v>1995/96</c:v>
                </c:pt>
                <c:pt idx="5">
                  <c:v>1996/97</c:v>
                </c:pt>
                <c:pt idx="6">
                  <c:v>1997/98</c:v>
                </c:pt>
                <c:pt idx="7">
                  <c:v>1998/99</c:v>
                </c:pt>
                <c:pt idx="8">
                  <c:v>1999/00</c:v>
                </c:pt>
                <c:pt idx="9">
                  <c:v>2000/01</c:v>
                </c:pt>
                <c:pt idx="10">
                  <c:v>2001/02</c:v>
                </c:pt>
                <c:pt idx="11">
                  <c:v>2002/03</c:v>
                </c:pt>
                <c:pt idx="12">
                  <c:v>2003/04</c:v>
                </c:pt>
                <c:pt idx="13">
                  <c:v>2004/05</c:v>
                </c:pt>
                <c:pt idx="14">
                  <c:v>2005/06</c:v>
                </c:pt>
                <c:pt idx="15">
                  <c:v>2006/07</c:v>
                </c:pt>
                <c:pt idx="16">
                  <c:v>2007/08</c:v>
                </c:pt>
                <c:pt idx="17">
                  <c:v>2008/09</c:v>
                </c:pt>
                <c:pt idx="18">
                  <c:v>2009/10</c:v>
                </c:pt>
              </c:strCache>
            </c:strRef>
          </c:cat>
          <c:val>
            <c:numRef>
              <c:f>Landings!$F$2:$F$20</c:f>
              <c:numCache>
                <c:formatCode>#,##0</c:formatCode>
                <c:ptCount val="19"/>
                <c:pt idx="0">
                  <c:v>8651805.860413488</c:v>
                </c:pt>
                <c:pt idx="1">
                  <c:v>6720631.1223581107</c:v>
                </c:pt>
                <c:pt idx="2">
                  <c:v>7192904.1822136911</c:v>
                </c:pt>
                <c:pt idx="3">
                  <c:v>9087636.1340760943</c:v>
                </c:pt>
                <c:pt idx="4">
                  <c:v>8947851.8818900492</c:v>
                </c:pt>
                <c:pt idx="5">
                  <c:v>9666700.1827919129</c:v>
                </c:pt>
                <c:pt idx="6">
                  <c:v>9944363.4774770066</c:v>
                </c:pt>
                <c:pt idx="7">
                  <c:v>6750209.973754121</c:v>
                </c:pt>
                <c:pt idx="8">
                  <c:v>10131187.70607115</c:v>
                </c:pt>
                <c:pt idx="9">
                  <c:v>7517740.1002415642</c:v>
                </c:pt>
                <c:pt idx="10">
                  <c:v>4330343.2608854324</c:v>
                </c:pt>
                <c:pt idx="11">
                  <c:v>6032690.0213970263</c:v>
                </c:pt>
                <c:pt idx="12">
                  <c:v>5573097.3013589317</c:v>
                </c:pt>
                <c:pt idx="13">
                  <c:v>6906397.2813779796</c:v>
                </c:pt>
                <c:pt idx="14">
                  <c:v>4094173.7790816883</c:v>
                </c:pt>
                <c:pt idx="15">
                  <c:v>6104003.5310208956</c:v>
                </c:pt>
                <c:pt idx="16">
                  <c:v>4993105.0842583608</c:v>
                </c:pt>
                <c:pt idx="17">
                  <c:v>4532905.6118813166</c:v>
                </c:pt>
                <c:pt idx="18">
                  <c:v>5470018.6208315222</c:v>
                </c:pt>
              </c:numCache>
            </c:numRef>
          </c:val>
        </c:ser>
        <c:marker val="1"/>
        <c:axId val="105832832"/>
        <c:axId val="105834368"/>
      </c:lineChart>
      <c:catAx>
        <c:axId val="105832832"/>
        <c:scaling>
          <c:orientation val="minMax"/>
        </c:scaling>
        <c:axPos val="b"/>
        <c:tickLblPos val="nextTo"/>
        <c:crossAx val="105834368"/>
        <c:crosses val="autoZero"/>
        <c:auto val="1"/>
        <c:lblAlgn val="ctr"/>
        <c:lblOffset val="100"/>
      </c:catAx>
      <c:valAx>
        <c:axId val="105834368"/>
        <c:scaling>
          <c:orientation val="minMax"/>
        </c:scaling>
        <c:axPos val="l"/>
        <c:majorGridlines/>
        <c:numFmt formatCode="#,##0" sourceLinked="1"/>
        <c:tickLblPos val="nextTo"/>
        <c:crossAx val="10583283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</xdr:row>
      <xdr:rowOff>85725</xdr:rowOff>
    </xdr:from>
    <xdr:to>
      <xdr:col>13</xdr:col>
      <xdr:colOff>390525</xdr:colOff>
      <xdr:row>15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0.19583</cdr:x>
      <cdr:y>0.42708</cdr:y>
    </cdr:from>
    <cdr:to>
      <cdr:x>0.69375</cdr:x>
      <cdr:y>0.42708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895350" y="1171575"/>
          <a:ext cx="2276475" cy="0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0.64375</cdr:x>
      <cdr:y>0.20139</cdr:y>
    </cdr:from>
    <cdr:to>
      <cdr:x>0.79167</cdr:x>
      <cdr:y>0.375</cdr:y>
    </cdr:to>
    <cdr:sp macro="" textlink="">
      <cdr:nvSpPr>
        <cdr:cNvPr id="6" name="Oval Callout 5"/>
        <cdr:cNvSpPr/>
      </cdr:nvSpPr>
      <cdr:spPr>
        <a:xfrm xmlns:a="http://schemas.openxmlformats.org/drawingml/2006/main">
          <a:off x="2943225" y="552450"/>
          <a:ext cx="676275" cy="476250"/>
        </a:xfrm>
        <a:prstGeom xmlns:a="http://schemas.openxmlformats.org/drawingml/2006/main" prst="wedgeEllipseCallou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r>
            <a:rPr lang="en-US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ABC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A2" sqref="A2:XFD2"/>
    </sheetView>
  </sheetViews>
  <sheetFormatPr defaultRowHeight="15"/>
  <sheetData>
    <row r="1" spans="1:3">
      <c r="A1" s="3" t="s">
        <v>61</v>
      </c>
    </row>
    <row r="2" spans="1:3">
      <c r="A2" t="s">
        <v>65</v>
      </c>
    </row>
    <row r="4" spans="1:3">
      <c r="A4" t="s">
        <v>66</v>
      </c>
    </row>
    <row r="6" spans="1:3">
      <c r="A6" t="s">
        <v>68</v>
      </c>
    </row>
    <row r="7" spans="1:3">
      <c r="B7" t="s">
        <v>62</v>
      </c>
    </row>
    <row r="9" spans="1:3">
      <c r="A9" t="s">
        <v>67</v>
      </c>
    </row>
    <row r="10" spans="1:3">
      <c r="B10" t="s">
        <v>64</v>
      </c>
    </row>
    <row r="11" spans="1:3">
      <c r="C11" t="s">
        <v>63</v>
      </c>
    </row>
    <row r="12" spans="1:3">
      <c r="B12" t="s">
        <v>71</v>
      </c>
    </row>
    <row r="13" spans="1:3">
      <c r="C13" t="s">
        <v>69</v>
      </c>
    </row>
    <row r="14" spans="1:3">
      <c r="C14" t="s">
        <v>70</v>
      </c>
    </row>
    <row r="15" spans="1:3">
      <c r="C15" t="s">
        <v>72</v>
      </c>
    </row>
    <row r="16" spans="1:3">
      <c r="C16" t="s">
        <v>73</v>
      </c>
    </row>
    <row r="17" spans="2:11">
      <c r="D17" s="10" t="s">
        <v>76</v>
      </c>
    </row>
    <row r="18" spans="2:11">
      <c r="D18" t="s">
        <v>38</v>
      </c>
    </row>
    <row r="19" spans="2:11">
      <c r="D19" t="s">
        <v>40</v>
      </c>
    </row>
    <row r="20" spans="2:11">
      <c r="C20" t="s">
        <v>77</v>
      </c>
    </row>
    <row r="21" spans="2:11">
      <c r="B21" t="s">
        <v>78</v>
      </c>
    </row>
    <row r="22" spans="2:11">
      <c r="C22" t="s">
        <v>79</v>
      </c>
    </row>
    <row r="23" spans="2:11">
      <c r="C23" t="s">
        <v>80</v>
      </c>
    </row>
    <row r="25" spans="2:11">
      <c r="B25" s="8" t="s">
        <v>81</v>
      </c>
      <c r="C25" s="8"/>
      <c r="D25" s="8"/>
      <c r="E25" s="8"/>
      <c r="F25" s="8"/>
      <c r="G25" s="8"/>
      <c r="H25" s="8"/>
      <c r="I25" s="8"/>
      <c r="J25" s="8"/>
      <c r="K25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F23" sqref="F23"/>
    </sheetView>
  </sheetViews>
  <sheetFormatPr defaultRowHeight="15"/>
  <cols>
    <col min="2" max="3" width="10.7109375" customWidth="1"/>
    <col min="4" max="5" width="11.5703125" customWidth="1"/>
    <col min="6" max="6" width="11.42578125" customWidth="1"/>
  </cols>
  <sheetData>
    <row r="1" spans="1:6" ht="30">
      <c r="A1" s="2" t="s">
        <v>0</v>
      </c>
      <c r="B1" s="2" t="s">
        <v>1</v>
      </c>
      <c r="C1" s="12" t="s">
        <v>57</v>
      </c>
      <c r="D1" s="2" t="s">
        <v>2</v>
      </c>
      <c r="E1" s="12" t="s">
        <v>56</v>
      </c>
      <c r="F1" s="2" t="s">
        <v>3</v>
      </c>
    </row>
    <row r="2" spans="1:6">
      <c r="A2" s="3" t="s">
        <v>4</v>
      </c>
      <c r="B2" s="1">
        <v>6836015</v>
      </c>
      <c r="C2" s="11">
        <f>B2/F2</f>
        <v>0.79012579689037221</v>
      </c>
      <c r="D2" s="1">
        <v>1815790.8604134871</v>
      </c>
      <c r="E2" s="11">
        <f>D2/F2</f>
        <v>0.20987420310962765</v>
      </c>
      <c r="F2" s="1">
        <v>8651805.860413488</v>
      </c>
    </row>
    <row r="3" spans="1:6">
      <c r="A3" s="3" t="s">
        <v>5</v>
      </c>
      <c r="B3" s="1">
        <v>5368188</v>
      </c>
      <c r="C3" s="11">
        <f t="shared" ref="C3:C20" si="0">B3/F3</f>
        <v>0.7987624826098817</v>
      </c>
      <c r="D3" s="1">
        <v>1352443.1223581105</v>
      </c>
      <c r="E3" s="11">
        <f t="shared" ref="E3:E20" si="1">D3/F3</f>
        <v>0.20123751739011828</v>
      </c>
      <c r="F3" s="1">
        <v>6720631.1223581107</v>
      </c>
    </row>
    <row r="4" spans="1:6">
      <c r="A4" s="3" t="s">
        <v>6</v>
      </c>
      <c r="B4" s="1">
        <v>5309790</v>
      </c>
      <c r="C4" s="11">
        <f t="shared" si="0"/>
        <v>0.73819835013648927</v>
      </c>
      <c r="D4" s="1">
        <v>1883114.1822136908</v>
      </c>
      <c r="E4" s="11">
        <f t="shared" si="1"/>
        <v>0.26180164986351073</v>
      </c>
      <c r="F4" s="1">
        <v>7192904.1822136911</v>
      </c>
    </row>
    <row r="5" spans="1:6">
      <c r="A5" s="3" t="s">
        <v>7</v>
      </c>
      <c r="B5" s="1">
        <v>7181641</v>
      </c>
      <c r="C5" s="11">
        <f t="shared" si="0"/>
        <v>0.79026502536461096</v>
      </c>
      <c r="D5" s="1">
        <v>1905995.1340760945</v>
      </c>
      <c r="E5" s="11">
        <f t="shared" si="1"/>
        <v>0.20973497463538904</v>
      </c>
      <c r="F5" s="1">
        <v>9087636.1340760943</v>
      </c>
    </row>
    <row r="6" spans="1:6">
      <c r="A6" s="3" t="s">
        <v>8</v>
      </c>
      <c r="B6" s="1">
        <v>7017134</v>
      </c>
      <c r="C6" s="11">
        <f t="shared" si="0"/>
        <v>0.78422554291519797</v>
      </c>
      <c r="D6" s="1">
        <v>1930717.881890049</v>
      </c>
      <c r="E6" s="11">
        <f t="shared" si="1"/>
        <v>0.21577445708480197</v>
      </c>
      <c r="F6" s="1">
        <v>8947851.8818900492</v>
      </c>
    </row>
    <row r="7" spans="1:6">
      <c r="A7" s="3" t="s">
        <v>9</v>
      </c>
      <c r="B7" s="1">
        <v>7744104</v>
      </c>
      <c r="C7" s="11">
        <f t="shared" si="0"/>
        <v>0.80111142929472412</v>
      </c>
      <c r="D7" s="1">
        <v>1922596.1827919127</v>
      </c>
      <c r="E7" s="11">
        <f t="shared" si="1"/>
        <v>0.19888857070527588</v>
      </c>
      <c r="F7" s="1">
        <v>9666700.1827919129</v>
      </c>
    </row>
    <row r="8" spans="1:6">
      <c r="A8" s="3" t="s">
        <v>10</v>
      </c>
      <c r="B8" s="1">
        <v>7640177</v>
      </c>
      <c r="C8" s="11">
        <f t="shared" si="0"/>
        <v>0.76829221068842068</v>
      </c>
      <c r="D8" s="1">
        <v>2304186.4774770066</v>
      </c>
      <c r="E8" s="11">
        <f t="shared" si="1"/>
        <v>0.23170778931157934</v>
      </c>
      <c r="F8" s="1">
        <v>9944363.4774770066</v>
      </c>
    </row>
    <row r="9" spans="1:6">
      <c r="A9" s="3" t="s">
        <v>11</v>
      </c>
      <c r="B9" s="1">
        <v>5447533</v>
      </c>
      <c r="C9" s="11">
        <f t="shared" si="0"/>
        <v>0.80701682187381818</v>
      </c>
      <c r="D9" s="1">
        <v>1302676.9737541215</v>
      </c>
      <c r="E9" s="11">
        <f t="shared" si="1"/>
        <v>0.19298317812618193</v>
      </c>
      <c r="F9" s="1">
        <v>6750209.973754121</v>
      </c>
    </row>
    <row r="10" spans="1:6">
      <c r="A10" s="3" t="s">
        <v>12</v>
      </c>
      <c r="B10" s="1">
        <v>7669207</v>
      </c>
      <c r="C10" s="11">
        <f t="shared" si="0"/>
        <v>0.75698992285023015</v>
      </c>
      <c r="D10" s="1">
        <v>2461980.7060711496</v>
      </c>
      <c r="E10" s="11">
        <f t="shared" si="1"/>
        <v>0.24301007714976983</v>
      </c>
      <c r="F10" s="1">
        <v>10131187.70607115</v>
      </c>
    </row>
    <row r="11" spans="1:6">
      <c r="A11" s="3" t="s">
        <v>13</v>
      </c>
      <c r="B11" s="1">
        <v>5568707</v>
      </c>
      <c r="C11" s="11">
        <f t="shared" si="0"/>
        <v>0.74074215465643234</v>
      </c>
      <c r="D11" s="1">
        <v>1949033.100241564</v>
      </c>
      <c r="E11" s="11">
        <f t="shared" si="1"/>
        <v>0.25925784534356761</v>
      </c>
      <c r="F11" s="1">
        <v>7517740.1002415642</v>
      </c>
    </row>
    <row r="12" spans="1:6">
      <c r="A12" s="3" t="s">
        <v>14</v>
      </c>
      <c r="B12" s="1">
        <v>3079262.74</v>
      </c>
      <c r="C12" s="11">
        <f t="shared" si="0"/>
        <v>0.71108975766747373</v>
      </c>
      <c r="D12" s="1">
        <v>1251080.5208854324</v>
      </c>
      <c r="E12" s="11">
        <f t="shared" si="1"/>
        <v>0.28891024233252627</v>
      </c>
      <c r="F12" s="1">
        <v>4330343.2608854324</v>
      </c>
    </row>
    <row r="13" spans="1:6">
      <c r="A13" s="3" t="s">
        <v>15</v>
      </c>
      <c r="B13" s="1">
        <v>4577392.25</v>
      </c>
      <c r="C13" s="11">
        <f t="shared" si="0"/>
        <v>0.7587647026060832</v>
      </c>
      <c r="D13" s="1">
        <v>1455297.7713970263</v>
      </c>
      <c r="E13" s="11">
        <f t="shared" si="1"/>
        <v>0.24123529739391686</v>
      </c>
      <c r="F13" s="1">
        <v>6032690.0213970263</v>
      </c>
    </row>
    <row r="14" spans="1:6">
      <c r="A14" s="3" t="s">
        <v>16</v>
      </c>
      <c r="B14" s="1">
        <v>4161588.79</v>
      </c>
      <c r="C14" s="11">
        <f t="shared" si="0"/>
        <v>0.74672817734318897</v>
      </c>
      <c r="D14" s="1">
        <v>1411508.5113589314</v>
      </c>
      <c r="E14" s="11">
        <f t="shared" si="1"/>
        <v>0.25327182265681103</v>
      </c>
      <c r="F14" s="1">
        <v>5573097.3013589317</v>
      </c>
    </row>
    <row r="15" spans="1:6">
      <c r="A15" s="3" t="s">
        <v>17</v>
      </c>
      <c r="B15" s="1">
        <v>5472994.1400000006</v>
      </c>
      <c r="C15" s="11">
        <f t="shared" si="0"/>
        <v>0.79245284002950045</v>
      </c>
      <c r="D15" s="13">
        <f>AVERAGE(D13:D14)</f>
        <v>1433403.141377979</v>
      </c>
      <c r="E15" s="11">
        <f t="shared" si="1"/>
        <v>0.20754715997049958</v>
      </c>
      <c r="F15" s="1">
        <f>B15+D15</f>
        <v>6906397.2813779796</v>
      </c>
    </row>
    <row r="16" spans="1:6">
      <c r="A16" s="3" t="s">
        <v>18</v>
      </c>
      <c r="B16" s="1">
        <v>2963160.2300000004</v>
      </c>
      <c r="C16" s="11">
        <f t="shared" si="0"/>
        <v>0.72375047809148663</v>
      </c>
      <c r="D16" s="1">
        <v>1131013.5490816878</v>
      </c>
      <c r="E16" s="11">
        <f t="shared" si="1"/>
        <v>0.27624952190851337</v>
      </c>
      <c r="F16" s="1">
        <v>4094173.7790816883</v>
      </c>
    </row>
    <row r="17" spans="1:6">
      <c r="A17" s="3" t="s">
        <v>19</v>
      </c>
      <c r="B17" s="1">
        <v>4799492.8</v>
      </c>
      <c r="C17" s="11">
        <f t="shared" si="0"/>
        <v>0.78628604580726447</v>
      </c>
      <c r="D17" s="1">
        <v>1304510.7310208958</v>
      </c>
      <c r="E17" s="11">
        <f t="shared" si="1"/>
        <v>0.21371395419273556</v>
      </c>
      <c r="F17" s="1">
        <v>6104003.5310208956</v>
      </c>
    </row>
    <row r="18" spans="1:6">
      <c r="A18" s="3" t="s">
        <v>20</v>
      </c>
      <c r="B18" s="1">
        <v>3778036.5100000002</v>
      </c>
      <c r="C18" s="11">
        <f t="shared" si="0"/>
        <v>0.75665071057905886</v>
      </c>
      <c r="D18" s="1">
        <v>1215068.5742583605</v>
      </c>
      <c r="E18" s="11">
        <f t="shared" si="1"/>
        <v>0.24334928942094114</v>
      </c>
      <c r="F18" s="1">
        <v>4993105.0842583608</v>
      </c>
    </row>
    <row r="19" spans="1:6">
      <c r="A19" s="3" t="s">
        <v>21</v>
      </c>
      <c r="B19" s="1">
        <v>3269396.66</v>
      </c>
      <c r="C19" s="11">
        <f t="shared" si="0"/>
        <v>0.72125849067549508</v>
      </c>
      <c r="D19" s="1">
        <v>1263508.9518813167</v>
      </c>
      <c r="E19" s="11">
        <f t="shared" si="1"/>
        <v>0.27874150932450492</v>
      </c>
      <c r="F19" s="1">
        <v>4532905.6118813166</v>
      </c>
    </row>
    <row r="20" spans="1:6">
      <c r="A20" s="3" t="s">
        <v>22</v>
      </c>
      <c r="B20" s="1">
        <v>4343305</v>
      </c>
      <c r="C20" s="11">
        <f t="shared" si="0"/>
        <v>0.79402014893685213</v>
      </c>
      <c r="D20" s="1">
        <v>1126713.6208315224</v>
      </c>
      <c r="E20" s="11">
        <f t="shared" si="1"/>
        <v>0.20597985106314787</v>
      </c>
      <c r="F20" s="1">
        <v>5470018.6208315222</v>
      </c>
    </row>
    <row r="21" spans="1:6">
      <c r="A21" s="3"/>
      <c r="B21" s="1" t="s">
        <v>24</v>
      </c>
      <c r="C21" s="1"/>
      <c r="D21" s="1"/>
      <c r="E21" s="1"/>
      <c r="F21" s="1">
        <f>AVERAGE(F11:F20)</f>
        <v>5555447.4592334712</v>
      </c>
    </row>
    <row r="22" spans="1:6">
      <c r="A22" s="3"/>
      <c r="B22" s="1" t="s">
        <v>25</v>
      </c>
      <c r="C22" s="1"/>
      <c r="D22" s="1"/>
      <c r="E22" s="1"/>
      <c r="F22" s="1">
        <f>MEDIAN(F11:F20)</f>
        <v>5521557.9610952269</v>
      </c>
    </row>
    <row r="23" spans="1:6">
      <c r="F23" s="1"/>
    </row>
    <row r="24" spans="1:6">
      <c r="A24" s="4" t="s">
        <v>23</v>
      </c>
      <c r="F24" s="1"/>
    </row>
  </sheetData>
  <pageMargins left="0.7" right="0.7" top="0.75" bottom="0.75" header="0.3" footer="0.3"/>
  <pageSetup scale="85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J48"/>
  <sheetViews>
    <sheetView workbookViewId="0">
      <selection activeCell="A2" sqref="A2"/>
    </sheetView>
  </sheetViews>
  <sheetFormatPr defaultRowHeight="15"/>
  <cols>
    <col min="1" max="1" width="51.42578125" customWidth="1"/>
    <col min="2" max="2" width="12.28515625" customWidth="1"/>
  </cols>
  <sheetData>
    <row r="2" spans="1:9">
      <c r="A2" s="3" t="s">
        <v>29</v>
      </c>
      <c r="E2" s="5" t="s">
        <v>58</v>
      </c>
      <c r="F2" s="5" t="s">
        <v>57</v>
      </c>
      <c r="G2" s="5" t="s">
        <v>59</v>
      </c>
      <c r="H2" s="5" t="s">
        <v>56</v>
      </c>
      <c r="I2" s="5" t="s">
        <v>60</v>
      </c>
    </row>
    <row r="3" spans="1:9">
      <c r="A3" t="s">
        <v>26</v>
      </c>
      <c r="D3" s="3" t="s">
        <v>21</v>
      </c>
      <c r="E3" s="1">
        <v>3269396.66</v>
      </c>
      <c r="F3" s="11">
        <f t="shared" ref="F3:F4" si="0">E3/I3</f>
        <v>0.72125849067549508</v>
      </c>
      <c r="G3" s="1">
        <v>1263508.9518813167</v>
      </c>
      <c r="H3" s="11">
        <f t="shared" ref="H3:H4" si="1">G3/I3</f>
        <v>0.27874150932450492</v>
      </c>
      <c r="I3" s="1">
        <v>4532905.6118813166</v>
      </c>
    </row>
    <row r="4" spans="1:9">
      <c r="A4" t="s">
        <v>27</v>
      </c>
      <c r="D4" s="3" t="s">
        <v>22</v>
      </c>
      <c r="E4" s="1">
        <v>4343305</v>
      </c>
      <c r="F4" s="11">
        <f t="shared" si="0"/>
        <v>0.79402014893685213</v>
      </c>
      <c r="G4" s="1">
        <v>1126713.6208315224</v>
      </c>
      <c r="H4" s="11">
        <f t="shared" si="1"/>
        <v>0.20597985106314787</v>
      </c>
      <c r="I4" s="1">
        <v>5470018.6208315222</v>
      </c>
    </row>
    <row r="5" spans="1:9">
      <c r="A5" t="s">
        <v>28</v>
      </c>
    </row>
    <row r="7" spans="1:9">
      <c r="A7" s="3" t="s">
        <v>30</v>
      </c>
    </row>
    <row r="8" spans="1:9">
      <c r="A8" t="s">
        <v>31</v>
      </c>
    </row>
    <row r="9" spans="1:9">
      <c r="A9" t="s">
        <v>32</v>
      </c>
    </row>
    <row r="10" spans="1:9">
      <c r="A10" t="s">
        <v>33</v>
      </c>
    </row>
    <row r="11" spans="1:9">
      <c r="A11" t="s">
        <v>34</v>
      </c>
    </row>
    <row r="12" spans="1:9">
      <c r="A12" t="s">
        <v>35</v>
      </c>
    </row>
    <row r="13" spans="1:9">
      <c r="A13" t="s">
        <v>37</v>
      </c>
    </row>
    <row r="14" spans="1:9">
      <c r="A14" s="5" t="s">
        <v>36</v>
      </c>
      <c r="B14" s="14" t="s">
        <v>74</v>
      </c>
      <c r="C14" s="14" t="s">
        <v>75</v>
      </c>
    </row>
    <row r="15" spans="1:9" s="8" customFormat="1">
      <c r="A15" s="8" t="s">
        <v>39</v>
      </c>
      <c r="B15" s="9">
        <f>Landings!F21</f>
        <v>5555447.4592334712</v>
      </c>
      <c r="C15" s="9">
        <f>Landings!$F$22</f>
        <v>5521557.9610952269</v>
      </c>
    </row>
    <row r="16" spans="1:9">
      <c r="A16" t="s">
        <v>38</v>
      </c>
      <c r="B16" s="1">
        <f>Landings!F11</f>
        <v>7517740.1002415642</v>
      </c>
    </row>
    <row r="17" spans="1:10">
      <c r="A17" t="s">
        <v>40</v>
      </c>
      <c r="B17" s="1">
        <f>Landings!F16</f>
        <v>4094173.7790816883</v>
      </c>
    </row>
    <row r="18" spans="1:10">
      <c r="B18" s="1"/>
    </row>
    <row r="19" spans="1:10" s="5" customFormat="1">
      <c r="B19" s="5" t="s">
        <v>74</v>
      </c>
      <c r="C19" s="5" t="s">
        <v>46</v>
      </c>
      <c r="D19" s="5" t="s">
        <v>47</v>
      </c>
    </row>
    <row r="20" spans="1:10">
      <c r="A20" s="3" t="s">
        <v>41</v>
      </c>
    </row>
    <row r="21" spans="1:10">
      <c r="A21" t="s">
        <v>42</v>
      </c>
      <c r="B21" s="1">
        <f>B15</f>
        <v>5555447.4592334712</v>
      </c>
      <c r="C21" s="1">
        <f>B16</f>
        <v>7517740.1002415642</v>
      </c>
      <c r="D21" s="1">
        <f>B17</f>
        <v>4094173.7790816883</v>
      </c>
    </row>
    <row r="22" spans="1:10" s="6" customFormat="1">
      <c r="A22" s="6" t="s">
        <v>43</v>
      </c>
      <c r="B22" s="7">
        <f>0.9*B21</f>
        <v>4999902.7133101244</v>
      </c>
      <c r="C22" s="7">
        <f t="shared" ref="C22:D22" si="2">0.9*C21</f>
        <v>6765966.0902174078</v>
      </c>
      <c r="D22" s="7">
        <f t="shared" si="2"/>
        <v>3684756.4011735194</v>
      </c>
    </row>
    <row r="23" spans="1:10">
      <c r="A23" t="s">
        <v>44</v>
      </c>
      <c r="B23" s="1">
        <f>0.8*B22</f>
        <v>3999922.1706480999</v>
      </c>
      <c r="C23" s="1">
        <f t="shared" ref="C23:D23" si="3">0.8*C22</f>
        <v>5412772.8721739268</v>
      </c>
      <c r="D23" s="1">
        <f t="shared" si="3"/>
        <v>2947805.1209388156</v>
      </c>
    </row>
    <row r="24" spans="1:10">
      <c r="A24" t="s">
        <v>45</v>
      </c>
      <c r="B24" s="1"/>
      <c r="C24" s="1"/>
      <c r="D24" s="1"/>
      <c r="F24" s="5" t="s">
        <v>58</v>
      </c>
      <c r="G24" s="5" t="s">
        <v>57</v>
      </c>
      <c r="H24" s="5" t="s">
        <v>59</v>
      </c>
      <c r="I24" s="5" t="s">
        <v>56</v>
      </c>
      <c r="J24" s="5" t="s">
        <v>60</v>
      </c>
    </row>
    <row r="25" spans="1:10">
      <c r="A25" t="s">
        <v>49</v>
      </c>
      <c r="B25" s="1">
        <f>0.8*4999903</f>
        <v>3999922.4000000004</v>
      </c>
      <c r="C25" s="1">
        <f>0.8*6765966</f>
        <v>5412772.8000000007</v>
      </c>
      <c r="D25" s="1">
        <f>0.8*3684756</f>
        <v>2947804.8000000003</v>
      </c>
      <c r="E25" s="3" t="s">
        <v>21</v>
      </c>
      <c r="F25" s="1">
        <v>3269396.66</v>
      </c>
      <c r="G25" s="11">
        <f t="shared" ref="G25:G26" si="4">F25/J25</f>
        <v>0.72125849067549508</v>
      </c>
      <c r="H25" s="1">
        <v>1263508.9518813167</v>
      </c>
      <c r="I25" s="11">
        <f t="shared" ref="I25:I26" si="5">H25/J25</f>
        <v>0.27874150932450492</v>
      </c>
      <c r="J25" s="1">
        <v>4532905.6118813166</v>
      </c>
    </row>
    <row r="26" spans="1:10">
      <c r="A26" t="s">
        <v>48</v>
      </c>
      <c r="B26" s="1">
        <f>0.2*4999903</f>
        <v>999980.60000000009</v>
      </c>
      <c r="C26" s="1">
        <f>0.2*6765966</f>
        <v>1353193.2000000002</v>
      </c>
      <c r="D26" s="1">
        <f>0.2*3684756</f>
        <v>736951.20000000007</v>
      </c>
      <c r="E26" s="3" t="s">
        <v>22</v>
      </c>
      <c r="F26" s="1">
        <v>4343305</v>
      </c>
      <c r="G26" s="11">
        <f t="shared" si="4"/>
        <v>0.79402014893685213</v>
      </c>
      <c r="H26" s="1">
        <v>1126713.6208315224</v>
      </c>
      <c r="I26" s="11">
        <f t="shared" si="5"/>
        <v>0.20597985106314787</v>
      </c>
      <c r="J26" s="1">
        <v>5470018.6208315222</v>
      </c>
    </row>
    <row r="27" spans="1:10">
      <c r="A27" t="s">
        <v>50</v>
      </c>
      <c r="B27" s="1">
        <f>0.74*4999903</f>
        <v>3699928.2199999997</v>
      </c>
      <c r="C27" s="1">
        <f>0.74*6765966</f>
        <v>5006814.84</v>
      </c>
      <c r="D27" s="1">
        <f>0.74*3684756</f>
        <v>2726719.44</v>
      </c>
    </row>
    <row r="28" spans="1:10">
      <c r="A28" t="s">
        <v>51</v>
      </c>
      <c r="B28" s="1">
        <f>0.26*4999903</f>
        <v>1299974.78</v>
      </c>
      <c r="C28" s="1">
        <f>0.26*6765966</f>
        <v>1759151.1600000001</v>
      </c>
      <c r="D28" s="1">
        <f>0.26*3684756</f>
        <v>958036.56</v>
      </c>
    </row>
    <row r="29" spans="1:10">
      <c r="A29" t="s">
        <v>52</v>
      </c>
      <c r="B29" s="1">
        <f>0.78*4999903</f>
        <v>3899924.3400000003</v>
      </c>
      <c r="C29" s="1">
        <f>0.78*6765966</f>
        <v>5277453.4800000004</v>
      </c>
      <c r="D29" s="1">
        <f>0.78*3684756</f>
        <v>2874109.68</v>
      </c>
    </row>
    <row r="30" spans="1:10">
      <c r="A30" t="s">
        <v>53</v>
      </c>
      <c r="B30" s="1">
        <f>0.22*4999903</f>
        <v>1099978.6599999999</v>
      </c>
      <c r="C30" s="1">
        <f>0.22*6765966</f>
        <v>1488512.52</v>
      </c>
      <c r="D30" s="1">
        <f>0.22*3684756</f>
        <v>810646.32</v>
      </c>
    </row>
    <row r="31" spans="1:10">
      <c r="A31" t="s">
        <v>54</v>
      </c>
      <c r="B31" s="1"/>
      <c r="C31" s="1"/>
      <c r="D31" s="1"/>
    </row>
    <row r="32" spans="1:10">
      <c r="A32" t="s">
        <v>49</v>
      </c>
      <c r="B32" s="1">
        <f>B25*0.9</f>
        <v>3599930.1600000006</v>
      </c>
      <c r="C32" s="1">
        <f t="shared" ref="C32:D32" si="6">C25*0.9</f>
        <v>4871495.5200000005</v>
      </c>
      <c r="D32" s="1">
        <f t="shared" si="6"/>
        <v>2653024.3200000003</v>
      </c>
    </row>
    <row r="33" spans="1:9">
      <c r="A33" t="s">
        <v>48</v>
      </c>
      <c r="B33" s="1">
        <f t="shared" ref="B33:D37" si="7">B26*0.9</f>
        <v>899982.54000000015</v>
      </c>
      <c r="C33" s="1">
        <f t="shared" si="7"/>
        <v>1217873.8800000001</v>
      </c>
      <c r="D33" s="1">
        <f t="shared" si="7"/>
        <v>663256.08000000007</v>
      </c>
      <c r="G33" s="3"/>
      <c r="H33" s="1"/>
      <c r="I33" s="1"/>
    </row>
    <row r="34" spans="1:9">
      <c r="A34" t="s">
        <v>50</v>
      </c>
      <c r="B34" s="1">
        <f t="shared" si="7"/>
        <v>3329935.398</v>
      </c>
      <c r="C34" s="1">
        <f t="shared" si="7"/>
        <v>4506133.3559999997</v>
      </c>
      <c r="D34" s="1">
        <f t="shared" si="7"/>
        <v>2454047.4959999998</v>
      </c>
    </row>
    <row r="35" spans="1:9">
      <c r="A35" t="s">
        <v>51</v>
      </c>
      <c r="B35" s="1">
        <f t="shared" si="7"/>
        <v>1169977.3020000001</v>
      </c>
      <c r="C35" s="1">
        <f t="shared" si="7"/>
        <v>1583236.0440000002</v>
      </c>
      <c r="D35" s="1">
        <f t="shared" si="7"/>
        <v>862232.9040000001</v>
      </c>
    </row>
    <row r="36" spans="1:9">
      <c r="A36" t="s">
        <v>52</v>
      </c>
      <c r="B36" s="1">
        <f t="shared" si="7"/>
        <v>3509931.9060000004</v>
      </c>
      <c r="C36" s="1">
        <f t="shared" si="7"/>
        <v>4749708.1320000002</v>
      </c>
      <c r="D36" s="1">
        <f t="shared" si="7"/>
        <v>2586698.7120000003</v>
      </c>
    </row>
    <row r="37" spans="1:9">
      <c r="A37" t="s">
        <v>53</v>
      </c>
      <c r="B37" s="1">
        <f t="shared" si="7"/>
        <v>989980.79399999999</v>
      </c>
      <c r="C37" s="1">
        <f t="shared" si="7"/>
        <v>1339661.2680000002</v>
      </c>
      <c r="D37" s="1">
        <f t="shared" si="7"/>
        <v>729581.68799999997</v>
      </c>
    </row>
    <row r="38" spans="1:9">
      <c r="A38" t="s">
        <v>55</v>
      </c>
      <c r="B38" s="1"/>
      <c r="C38" s="1"/>
      <c r="D38" s="1"/>
      <c r="F38" s="10"/>
      <c r="G38" s="10"/>
      <c r="H38" s="10"/>
      <c r="I38" s="10"/>
    </row>
    <row r="39" spans="1:9">
      <c r="A39" t="s">
        <v>49</v>
      </c>
      <c r="B39" s="1">
        <f t="shared" ref="B39" si="8">0.8*(0.9*4999903)</f>
        <v>3599930.16</v>
      </c>
      <c r="C39" s="1">
        <f>0.8*(0.9*6765966)</f>
        <v>4871495.5200000005</v>
      </c>
      <c r="D39" s="1">
        <f>0.8*(0.9*3684756)</f>
        <v>2653024.3200000003</v>
      </c>
    </row>
    <row r="40" spans="1:9">
      <c r="A40" t="s">
        <v>48</v>
      </c>
      <c r="B40" s="1">
        <f>0.2*(0.9*4999903)</f>
        <v>899982.54</v>
      </c>
      <c r="C40" s="1">
        <f>0.2*(0.9*6765966)</f>
        <v>1217873.8800000001</v>
      </c>
      <c r="D40" s="1">
        <f>0.2*(0.9*3684756)</f>
        <v>663256.08000000007</v>
      </c>
    </row>
    <row r="41" spans="1:9">
      <c r="A41" t="s">
        <v>50</v>
      </c>
      <c r="B41" s="1">
        <f>0.74*(0.9*4999903)</f>
        <v>3329935.398</v>
      </c>
      <c r="C41" s="1">
        <f>0.74*(0.9*6765966)</f>
        <v>4506133.3560000006</v>
      </c>
      <c r="D41" s="1">
        <f>0.74*(0.9*3684756)</f>
        <v>2454047.4959999998</v>
      </c>
    </row>
    <row r="42" spans="1:9">
      <c r="A42" t="s">
        <v>51</v>
      </c>
      <c r="B42" s="1">
        <f>0.26*(0.9*4999903)</f>
        <v>1169977.3020000001</v>
      </c>
      <c r="C42" s="1">
        <f>0.26*(0.9*6765966)</f>
        <v>1583236.0440000002</v>
      </c>
      <c r="D42" s="1">
        <f>0.26*(0.9*3684756)</f>
        <v>862232.90399999998</v>
      </c>
    </row>
    <row r="43" spans="1:9">
      <c r="A43" t="s">
        <v>52</v>
      </c>
      <c r="B43" s="1">
        <f>0.78*(0.9*4999903)</f>
        <v>3509931.9060000004</v>
      </c>
      <c r="C43" s="1">
        <f>0.78*(0.9*6765966)</f>
        <v>4749708.1320000002</v>
      </c>
      <c r="D43" s="1">
        <f>0.78*(0.9*3684756)</f>
        <v>2586698.7119999998</v>
      </c>
    </row>
    <row r="44" spans="1:9">
      <c r="A44" t="s">
        <v>53</v>
      </c>
      <c r="B44" s="1">
        <f>0.22*(0.9*4999903)</f>
        <v>989980.79399999999</v>
      </c>
      <c r="C44" s="1">
        <f>0.22*(0.9*6765966)</f>
        <v>1339661.2680000002</v>
      </c>
      <c r="D44" s="1">
        <f>0.22*(0.9*3684756)</f>
        <v>729581.68799999997</v>
      </c>
    </row>
    <row r="45" spans="1:9">
      <c r="B45" s="1"/>
    </row>
    <row r="46" spans="1:9">
      <c r="A46" s="1"/>
    </row>
    <row r="48" spans="1:9">
      <c r="A48" s="15"/>
      <c r="B48" s="10"/>
      <c r="C48" s="10"/>
      <c r="D48" s="10"/>
      <c r="E48" s="10"/>
    </row>
  </sheetData>
  <pageMargins left="0.7" right="0.7" top="0.75" bottom="0.75" header="0.3" footer="0.3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Landings</vt:lpstr>
      <vt:lpstr>Decisions</vt:lpstr>
    </vt:vector>
  </TitlesOfParts>
  <Company>Florida Fish and Wildlife Conservation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bill.sharp</dc:creator>
  <cp:lastModifiedBy>gregg.waugh</cp:lastModifiedBy>
  <cp:lastPrinted>2010-11-20T18:24:41Z</cp:lastPrinted>
  <dcterms:created xsi:type="dcterms:W3CDTF">2010-11-01T16:08:12Z</dcterms:created>
  <dcterms:modified xsi:type="dcterms:W3CDTF">2010-11-29T12:45:59Z</dcterms:modified>
</cp:coreProperties>
</file>