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E40" lockStructure="1"/>
  <bookViews>
    <workbookView xWindow="120" yWindow="210" windowWidth="15240" windowHeight="7635" firstSheet="1" activeTab="1"/>
  </bookViews>
  <sheets>
    <sheet name="Data" sheetId="2" state="hidden" r:id="rId1"/>
    <sheet name="Readme" sheetId="19" r:id="rId2"/>
    <sheet name="EWG MPA Recommendations" sheetId="26" r:id="rId3"/>
    <sheet name="EWG MPA Options" sheetId="15" r:id="rId4"/>
    <sheet name="MPA Descriptions" sheetId="24" r:id="rId5"/>
    <sheet name="Council Decision Tool" sheetId="22" r:id="rId6"/>
    <sheet name="Council Decision Tool 2" sheetId="23" r:id="rId7"/>
    <sheet name="EWG Recommends" sheetId="18" state="hidden" r:id="rId8"/>
    <sheet name="Evaluation" sheetId="5" state="hidden" r:id="rId9"/>
    <sheet name="Ranks (by area)" sheetId="6" r:id="rId10"/>
    <sheet name="Total Areas" sheetId="3" r:id="rId11"/>
    <sheet name="Point Observations" sheetId="8" r:id="rId12"/>
    <sheet name="Existing MPAs" sheetId="16" r:id="rId13"/>
    <sheet name="Connectivity" sheetId="9" r:id="rId14"/>
    <sheet name="Fishery Impacts" sheetId="25" r:id="rId15"/>
    <sheet name="EWG Recs - NC" sheetId="7" r:id="rId16"/>
    <sheet name="EWG Recs - SC" sheetId="10" r:id="rId17"/>
    <sheet name="EWG Recs - GA" sheetId="11" r:id="rId18"/>
    <sheet name="EWG Recs - NEFL" sheetId="12" r:id="rId19"/>
    <sheet name="EWG Recs - SEFL" sheetId="14" r:id="rId20"/>
    <sheet name="values" sheetId="17" state="hidden" r:id="rId21"/>
    <sheet name="Additional Figures" sheetId="20" r:id="rId22"/>
    <sheet name="Additional Tables" sheetId="21" r:id="rId23"/>
  </sheets>
  <definedNames>
    <definedName name="_xlnm._FilterDatabase" localSheetId="20" hidden="1">values!$A$1:$AA$55</definedName>
  </definedNames>
  <calcPr calcId="145621"/>
</workbook>
</file>

<file path=xl/calcChain.xml><?xml version="1.0" encoding="utf-8"?>
<calcChain xmlns="http://schemas.openxmlformats.org/spreadsheetml/2006/main">
  <c r="F55" i="23" l="1"/>
  <c r="AA18" i="22" l="1"/>
  <c r="K18" i="22"/>
  <c r="L18" i="22"/>
  <c r="J18" i="22"/>
  <c r="I18" i="22"/>
  <c r="H18" i="22"/>
  <c r="E18" i="22"/>
  <c r="O41" i="23"/>
  <c r="N41" i="23"/>
  <c r="M41" i="23"/>
  <c r="L41" i="23"/>
  <c r="K41" i="23"/>
  <c r="J41" i="23"/>
  <c r="I41" i="23"/>
  <c r="F41" i="23"/>
  <c r="I36" i="21"/>
  <c r="H36" i="21"/>
  <c r="G36" i="21"/>
  <c r="F36" i="21"/>
  <c r="E36" i="21"/>
  <c r="D36" i="21"/>
  <c r="C36" i="21"/>
  <c r="B36" i="21"/>
  <c r="C10" i="3" l="1"/>
  <c r="D10" i="3"/>
  <c r="X64" i="23" l="1"/>
  <c r="W64" i="23"/>
  <c r="V64" i="23"/>
  <c r="U64" i="23"/>
  <c r="T64" i="23"/>
  <c r="S64" i="23"/>
  <c r="R64" i="23"/>
  <c r="Q64" i="23"/>
  <c r="P64" i="23"/>
  <c r="O64" i="23"/>
  <c r="N64" i="23"/>
  <c r="M64" i="23"/>
  <c r="L64" i="23"/>
  <c r="K64" i="23"/>
  <c r="J64" i="23"/>
  <c r="D55" i="23"/>
  <c r="F54" i="23"/>
  <c r="F53" i="23"/>
  <c r="F52" i="23"/>
  <c r="F51" i="23"/>
  <c r="F50" i="23"/>
  <c r="F46" i="23"/>
  <c r="F45" i="23"/>
  <c r="F44" i="23"/>
  <c r="F43" i="23"/>
  <c r="F42" i="23"/>
  <c r="F40" i="23"/>
  <c r="F39" i="23"/>
  <c r="D36" i="23"/>
  <c r="F35" i="23"/>
  <c r="F34" i="23"/>
  <c r="F33" i="23"/>
  <c r="F32" i="23"/>
  <c r="F31" i="23"/>
  <c r="F30" i="23"/>
  <c r="D27" i="23"/>
  <c r="F26" i="23"/>
  <c r="F25" i="23"/>
  <c r="F24" i="23"/>
  <c r="F23" i="23"/>
  <c r="F22" i="23"/>
  <c r="F21" i="23"/>
  <c r="F20" i="23"/>
  <c r="F19" i="23"/>
  <c r="F18" i="23"/>
  <c r="F17" i="23"/>
  <c r="D14" i="23"/>
  <c r="F13" i="23"/>
  <c r="F12" i="23"/>
  <c r="F11" i="23"/>
  <c r="F10" i="23"/>
  <c r="F9" i="23"/>
  <c r="F8" i="23"/>
  <c r="F7" i="23"/>
  <c r="F6" i="23"/>
  <c r="F5" i="23"/>
  <c r="W65" i="23" l="1"/>
  <c r="V65" i="23"/>
  <c r="U65" i="23"/>
  <c r="P65" i="23"/>
  <c r="M65" i="23"/>
  <c r="T65" i="23"/>
  <c r="L65" i="23"/>
  <c r="J65" i="23"/>
  <c r="E55" i="23"/>
  <c r="AC55" i="23"/>
  <c r="AB55" i="23"/>
  <c r="AA55" i="23"/>
  <c r="Z55" i="23"/>
  <c r="Y55" i="23"/>
  <c r="X55" i="23"/>
  <c r="W55" i="23"/>
  <c r="V55" i="23"/>
  <c r="U55" i="23"/>
  <c r="T55" i="23"/>
  <c r="S55" i="23"/>
  <c r="R55" i="23"/>
  <c r="Q55" i="23"/>
  <c r="P55" i="23"/>
  <c r="O54" i="23"/>
  <c r="N54" i="23"/>
  <c r="M54" i="23"/>
  <c r="L54" i="23"/>
  <c r="K54" i="23"/>
  <c r="J54" i="23"/>
  <c r="I54" i="23"/>
  <c r="O53" i="23"/>
  <c r="N53" i="23"/>
  <c r="M53" i="23"/>
  <c r="L53" i="23"/>
  <c r="K53" i="23"/>
  <c r="J53" i="23"/>
  <c r="I53" i="23"/>
  <c r="O52" i="23"/>
  <c r="N52" i="23"/>
  <c r="M52" i="23"/>
  <c r="L52" i="23"/>
  <c r="K52" i="23"/>
  <c r="J52" i="23"/>
  <c r="I52" i="23"/>
  <c r="O51" i="23"/>
  <c r="N51" i="23"/>
  <c r="M51" i="23"/>
  <c r="L51" i="23"/>
  <c r="K51" i="23"/>
  <c r="J51" i="23"/>
  <c r="I51" i="23"/>
  <c r="O46" i="23"/>
  <c r="N46" i="23"/>
  <c r="M46" i="23"/>
  <c r="L46" i="23"/>
  <c r="K46" i="23"/>
  <c r="J46" i="23"/>
  <c r="I46" i="23"/>
  <c r="O45" i="23"/>
  <c r="N45" i="23"/>
  <c r="M45" i="23"/>
  <c r="L45" i="23"/>
  <c r="K45" i="23"/>
  <c r="J45" i="23"/>
  <c r="I45" i="23"/>
  <c r="O44" i="23"/>
  <c r="N44" i="23"/>
  <c r="M44" i="23"/>
  <c r="L44" i="23"/>
  <c r="K44" i="23"/>
  <c r="J44" i="23"/>
  <c r="I44" i="23"/>
  <c r="O43" i="23"/>
  <c r="N43" i="23"/>
  <c r="M43" i="23"/>
  <c r="L43" i="23"/>
  <c r="K43" i="23"/>
  <c r="J43" i="23"/>
  <c r="I43" i="23"/>
  <c r="O42" i="23"/>
  <c r="N42" i="23"/>
  <c r="M42" i="23"/>
  <c r="L42" i="23"/>
  <c r="K42" i="23"/>
  <c r="J42" i="23"/>
  <c r="I42" i="23"/>
  <c r="B64" i="23"/>
  <c r="O40" i="23"/>
  <c r="N40" i="23"/>
  <c r="M40" i="23"/>
  <c r="L40" i="23"/>
  <c r="K40" i="23"/>
  <c r="J40" i="23"/>
  <c r="I40" i="23"/>
  <c r="O39" i="23"/>
  <c r="N39" i="23"/>
  <c r="M39" i="23"/>
  <c r="L39" i="23"/>
  <c r="K39" i="23"/>
  <c r="J39" i="23"/>
  <c r="I39" i="23"/>
  <c r="E36" i="23"/>
  <c r="AC36" i="23"/>
  <c r="AB36" i="23"/>
  <c r="AA36" i="23"/>
  <c r="Z36" i="23"/>
  <c r="Y36" i="23"/>
  <c r="X36" i="23"/>
  <c r="W36" i="23"/>
  <c r="V36" i="23"/>
  <c r="U36" i="23"/>
  <c r="T36" i="23"/>
  <c r="S36" i="23"/>
  <c r="R36" i="23"/>
  <c r="Q36" i="23"/>
  <c r="P36" i="23"/>
  <c r="O35" i="23"/>
  <c r="N35" i="23"/>
  <c r="M35" i="23"/>
  <c r="L35" i="23"/>
  <c r="K35" i="23"/>
  <c r="J35" i="23"/>
  <c r="I35" i="23"/>
  <c r="O34" i="23"/>
  <c r="N34" i="23"/>
  <c r="M34" i="23"/>
  <c r="L34" i="23"/>
  <c r="K34" i="23"/>
  <c r="J34" i="23"/>
  <c r="I34" i="23"/>
  <c r="O33" i="23"/>
  <c r="N33" i="23"/>
  <c r="M33" i="23"/>
  <c r="L33" i="23"/>
  <c r="K33" i="23"/>
  <c r="J33" i="23"/>
  <c r="I33" i="23"/>
  <c r="O32" i="23"/>
  <c r="N32" i="23"/>
  <c r="M32" i="23"/>
  <c r="L32" i="23"/>
  <c r="K32" i="23"/>
  <c r="J32" i="23"/>
  <c r="I32" i="23"/>
  <c r="O31" i="23"/>
  <c r="N31" i="23"/>
  <c r="M31" i="23"/>
  <c r="L31" i="23"/>
  <c r="K31" i="23"/>
  <c r="J31" i="23"/>
  <c r="I31" i="23"/>
  <c r="O30" i="23"/>
  <c r="N30" i="23"/>
  <c r="M30" i="23"/>
  <c r="L30" i="23"/>
  <c r="K30" i="23"/>
  <c r="J30" i="23"/>
  <c r="I30" i="23"/>
  <c r="F36" i="23"/>
  <c r="E27" i="23"/>
  <c r="AC27" i="23"/>
  <c r="AB27" i="23"/>
  <c r="AA27" i="23"/>
  <c r="Z27" i="23"/>
  <c r="Y27" i="23"/>
  <c r="X27" i="23"/>
  <c r="W27" i="23"/>
  <c r="V27" i="23"/>
  <c r="U27" i="23"/>
  <c r="T27" i="23"/>
  <c r="S27" i="23"/>
  <c r="R27" i="23"/>
  <c r="Q27" i="23"/>
  <c r="P27" i="23"/>
  <c r="O26" i="23"/>
  <c r="N26" i="23"/>
  <c r="M26" i="23"/>
  <c r="L26" i="23"/>
  <c r="K26" i="23"/>
  <c r="J26" i="23"/>
  <c r="I26" i="23"/>
  <c r="O25" i="23"/>
  <c r="N25" i="23"/>
  <c r="M25" i="23"/>
  <c r="L25" i="23"/>
  <c r="K25" i="23"/>
  <c r="J25" i="23"/>
  <c r="I25" i="23"/>
  <c r="O24" i="23"/>
  <c r="N24" i="23"/>
  <c r="M24" i="23"/>
  <c r="L24" i="23"/>
  <c r="K24" i="23"/>
  <c r="J24" i="23"/>
  <c r="I24" i="23"/>
  <c r="O23" i="23"/>
  <c r="N23" i="23"/>
  <c r="M23" i="23"/>
  <c r="L23" i="23"/>
  <c r="K23" i="23"/>
  <c r="J23" i="23"/>
  <c r="I23" i="23"/>
  <c r="O22" i="23"/>
  <c r="N22" i="23"/>
  <c r="M22" i="23"/>
  <c r="L22" i="23"/>
  <c r="K22" i="23"/>
  <c r="J22" i="23"/>
  <c r="I22" i="23"/>
  <c r="O21" i="23"/>
  <c r="N21" i="23"/>
  <c r="M21" i="23"/>
  <c r="L21" i="23"/>
  <c r="K21" i="23"/>
  <c r="J21" i="23"/>
  <c r="I21" i="23"/>
  <c r="F27" i="23"/>
  <c r="O20" i="23"/>
  <c r="N20" i="23"/>
  <c r="M20" i="23"/>
  <c r="L20" i="23"/>
  <c r="K20" i="23"/>
  <c r="J20" i="23"/>
  <c r="I20" i="23"/>
  <c r="O19" i="23"/>
  <c r="N19" i="23"/>
  <c r="M19" i="23"/>
  <c r="L19" i="23"/>
  <c r="K19" i="23"/>
  <c r="J19" i="23"/>
  <c r="I19" i="23"/>
  <c r="O18" i="23"/>
  <c r="N18" i="23"/>
  <c r="M18" i="23"/>
  <c r="L18" i="23"/>
  <c r="K18" i="23"/>
  <c r="J18" i="23"/>
  <c r="I18" i="23"/>
  <c r="O17" i="23"/>
  <c r="N17" i="23"/>
  <c r="M17" i="23"/>
  <c r="L17" i="23"/>
  <c r="K17" i="23"/>
  <c r="J17" i="23"/>
  <c r="I17" i="23"/>
  <c r="E14" i="23"/>
  <c r="AC14" i="23"/>
  <c r="AB14" i="23"/>
  <c r="AA14" i="23"/>
  <c r="Z14" i="23"/>
  <c r="Y14" i="23"/>
  <c r="X14" i="23"/>
  <c r="W14" i="23"/>
  <c r="V14" i="23"/>
  <c r="U14" i="23"/>
  <c r="T14" i="23"/>
  <c r="S14" i="23"/>
  <c r="R14" i="23"/>
  <c r="Q14" i="23"/>
  <c r="P14" i="23"/>
  <c r="O13" i="23"/>
  <c r="N13" i="23"/>
  <c r="M13" i="23"/>
  <c r="L13" i="23"/>
  <c r="K13" i="23"/>
  <c r="J13" i="23"/>
  <c r="I13" i="23"/>
  <c r="O11" i="23"/>
  <c r="N11" i="23"/>
  <c r="M11" i="23"/>
  <c r="L11" i="23"/>
  <c r="K11" i="23"/>
  <c r="J11" i="23"/>
  <c r="I11" i="23"/>
  <c r="O10" i="23"/>
  <c r="N10" i="23"/>
  <c r="M10" i="23"/>
  <c r="L10" i="23"/>
  <c r="K10" i="23"/>
  <c r="J10" i="23"/>
  <c r="I10" i="23"/>
  <c r="O9" i="23"/>
  <c r="N9" i="23"/>
  <c r="M9" i="23"/>
  <c r="L9" i="23"/>
  <c r="K9" i="23"/>
  <c r="J9" i="23"/>
  <c r="I9" i="23"/>
  <c r="O8" i="23"/>
  <c r="N8" i="23"/>
  <c r="M8" i="23"/>
  <c r="L8" i="23"/>
  <c r="K8" i="23"/>
  <c r="J8" i="23"/>
  <c r="I8" i="23"/>
  <c r="O7" i="23"/>
  <c r="N7" i="23"/>
  <c r="M7" i="23"/>
  <c r="L7" i="23"/>
  <c r="K7" i="23"/>
  <c r="J7" i="23"/>
  <c r="I7" i="23"/>
  <c r="O6" i="23"/>
  <c r="N6" i="23"/>
  <c r="M6" i="23"/>
  <c r="L6" i="23"/>
  <c r="K6" i="23"/>
  <c r="J6" i="23"/>
  <c r="I6" i="23"/>
  <c r="O5" i="23"/>
  <c r="N5" i="23"/>
  <c r="M5" i="23"/>
  <c r="L5" i="23"/>
  <c r="K5" i="23"/>
  <c r="J5" i="23"/>
  <c r="I5" i="23"/>
  <c r="Z29" i="22"/>
  <c r="Y29" i="22"/>
  <c r="X29" i="22"/>
  <c r="W29" i="22"/>
  <c r="V29" i="22"/>
  <c r="U29" i="22"/>
  <c r="T29" i="22"/>
  <c r="S29" i="22"/>
  <c r="R29" i="22"/>
  <c r="Q29" i="22"/>
  <c r="P29" i="22"/>
  <c r="O29" i="22"/>
  <c r="N29" i="22"/>
  <c r="M29" i="22"/>
  <c r="K26" i="22"/>
  <c r="AD26" i="22" s="1"/>
  <c r="J26" i="22"/>
  <c r="AA26" i="22" s="1"/>
  <c r="I26" i="22"/>
  <c r="H26" i="22"/>
  <c r="AC26" i="22" s="1"/>
  <c r="K25" i="22"/>
  <c r="AD25" i="22" s="1"/>
  <c r="J25" i="22"/>
  <c r="AA25" i="22" s="1"/>
  <c r="I25" i="22"/>
  <c r="H25" i="22"/>
  <c r="AC25" i="22" s="1"/>
  <c r="K24" i="22"/>
  <c r="AD24" i="22" s="1"/>
  <c r="J24" i="22"/>
  <c r="AA24" i="22" s="1"/>
  <c r="I24" i="22"/>
  <c r="H24" i="22"/>
  <c r="AC24" i="22" s="1"/>
  <c r="K23" i="22"/>
  <c r="AD23" i="22" s="1"/>
  <c r="J23" i="22"/>
  <c r="AA23" i="22" s="1"/>
  <c r="I23" i="22"/>
  <c r="H23" i="22"/>
  <c r="AC23" i="22" s="1"/>
  <c r="L22" i="22"/>
  <c r="AB22" i="22" s="1"/>
  <c r="K22" i="22"/>
  <c r="AD22" i="22" s="1"/>
  <c r="J22" i="22"/>
  <c r="AA22" i="22" s="1"/>
  <c r="I22" i="22"/>
  <c r="H22" i="22"/>
  <c r="AC22" i="22" s="1"/>
  <c r="L21" i="22"/>
  <c r="AB21" i="22" s="1"/>
  <c r="K21" i="22"/>
  <c r="AD21" i="22" s="1"/>
  <c r="J21" i="22"/>
  <c r="AA21" i="22" s="1"/>
  <c r="I21" i="22"/>
  <c r="H21" i="22"/>
  <c r="AC21" i="22" s="1"/>
  <c r="L20" i="22"/>
  <c r="AB20" i="22" s="1"/>
  <c r="K20" i="22"/>
  <c r="AD20" i="22" s="1"/>
  <c r="J20" i="22"/>
  <c r="AA20" i="22" s="1"/>
  <c r="I20" i="22"/>
  <c r="H20" i="22"/>
  <c r="AC20" i="22" s="1"/>
  <c r="K19" i="22"/>
  <c r="AD19" i="22" s="1"/>
  <c r="J19" i="22"/>
  <c r="AA19" i="22" s="1"/>
  <c r="I19" i="22"/>
  <c r="H19" i="22"/>
  <c r="AC19" i="22" s="1"/>
  <c r="AB18" i="22"/>
  <c r="AD18" i="22"/>
  <c r="AC18" i="22"/>
  <c r="L17" i="22"/>
  <c r="AB17" i="22" s="1"/>
  <c r="K17" i="22"/>
  <c r="AD17" i="22" s="1"/>
  <c r="J17" i="22"/>
  <c r="AA17" i="22" s="1"/>
  <c r="I17" i="22"/>
  <c r="H17" i="22"/>
  <c r="AC17" i="22" s="1"/>
  <c r="L16" i="22"/>
  <c r="AB16" i="22" s="1"/>
  <c r="K16" i="22"/>
  <c r="AD16" i="22" s="1"/>
  <c r="J16" i="22"/>
  <c r="AA16" i="22" s="1"/>
  <c r="I16" i="22"/>
  <c r="H16" i="22"/>
  <c r="AC16" i="22" s="1"/>
  <c r="L15" i="22"/>
  <c r="AB15" i="22" s="1"/>
  <c r="K15" i="22"/>
  <c r="AD15" i="22" s="1"/>
  <c r="J15" i="22"/>
  <c r="AA15" i="22" s="1"/>
  <c r="I15" i="22"/>
  <c r="H15" i="22"/>
  <c r="AC15" i="22" s="1"/>
  <c r="L14" i="22"/>
  <c r="AB14" i="22" s="1"/>
  <c r="K14" i="22"/>
  <c r="AD14" i="22" s="1"/>
  <c r="J14" i="22"/>
  <c r="AA14" i="22" s="1"/>
  <c r="I14" i="22"/>
  <c r="H14" i="22"/>
  <c r="AC14" i="22" s="1"/>
  <c r="L13" i="22"/>
  <c r="AB13" i="22" s="1"/>
  <c r="K13" i="22"/>
  <c r="AD13" i="22" s="1"/>
  <c r="J13" i="22"/>
  <c r="AA13" i="22" s="1"/>
  <c r="I13" i="22"/>
  <c r="H13" i="22"/>
  <c r="AC13" i="22" s="1"/>
  <c r="L12" i="22"/>
  <c r="AB12" i="22" s="1"/>
  <c r="K12" i="22"/>
  <c r="AD12" i="22" s="1"/>
  <c r="J12" i="22"/>
  <c r="AA12" i="22" s="1"/>
  <c r="I12" i="22"/>
  <c r="H12" i="22"/>
  <c r="AC12" i="22" s="1"/>
  <c r="L11" i="22"/>
  <c r="AB11" i="22" s="1"/>
  <c r="K11" i="22"/>
  <c r="AD11" i="22" s="1"/>
  <c r="J11" i="22"/>
  <c r="AA11" i="22" s="1"/>
  <c r="I11" i="22"/>
  <c r="H11" i="22"/>
  <c r="AC11" i="22" s="1"/>
  <c r="L10" i="22"/>
  <c r="AB10" i="22" s="1"/>
  <c r="K10" i="22"/>
  <c r="AD10" i="22" s="1"/>
  <c r="J10" i="22"/>
  <c r="AA10" i="22" s="1"/>
  <c r="I10" i="22"/>
  <c r="H10" i="22"/>
  <c r="AC10" i="22" s="1"/>
  <c r="L9" i="22"/>
  <c r="AB9" i="22" s="1"/>
  <c r="K9" i="22"/>
  <c r="AD9" i="22" s="1"/>
  <c r="J9" i="22"/>
  <c r="AA9" i="22" s="1"/>
  <c r="I9" i="22"/>
  <c r="H9" i="22"/>
  <c r="AC9" i="22" s="1"/>
  <c r="L8" i="22"/>
  <c r="AB8" i="22" s="1"/>
  <c r="K8" i="22"/>
  <c r="AD8" i="22" s="1"/>
  <c r="J8" i="22"/>
  <c r="AA8" i="22" s="1"/>
  <c r="I8" i="22"/>
  <c r="H8" i="22"/>
  <c r="AC8" i="22" s="1"/>
  <c r="L7" i="22"/>
  <c r="AB7" i="22" s="1"/>
  <c r="K7" i="22"/>
  <c r="AD7" i="22" s="1"/>
  <c r="J7" i="22"/>
  <c r="AA7" i="22" s="1"/>
  <c r="I7" i="22"/>
  <c r="H7" i="22"/>
  <c r="AC7" i="22" s="1"/>
  <c r="E6" i="22"/>
  <c r="E29" i="22" s="1"/>
  <c r="L5" i="22"/>
  <c r="AB5" i="22" s="1"/>
  <c r="K5" i="22"/>
  <c r="AD5" i="22" s="1"/>
  <c r="J5" i="22"/>
  <c r="AA5" i="22" s="1"/>
  <c r="I5" i="22"/>
  <c r="H5" i="22"/>
  <c r="AC5" i="22" s="1"/>
  <c r="L4" i="22"/>
  <c r="AB4" i="22" s="1"/>
  <c r="K4" i="22"/>
  <c r="AD4" i="22" s="1"/>
  <c r="J4" i="22"/>
  <c r="AA4" i="22" s="1"/>
  <c r="I4" i="22"/>
  <c r="H4" i="22"/>
  <c r="AC4" i="22" s="1"/>
  <c r="L3" i="22"/>
  <c r="AB3" i="22" s="1"/>
  <c r="K3" i="22"/>
  <c r="AD3" i="22" s="1"/>
  <c r="J3" i="22"/>
  <c r="AA3" i="22" s="1"/>
  <c r="I3" i="22"/>
  <c r="H3" i="22"/>
  <c r="AC3" i="22" s="1"/>
  <c r="L55" i="5"/>
  <c r="K55" i="5"/>
  <c r="L54" i="5"/>
  <c r="K54" i="5"/>
  <c r="L53" i="5"/>
  <c r="K53" i="5"/>
  <c r="L52" i="5"/>
  <c r="K52" i="5"/>
  <c r="L47" i="5"/>
  <c r="K47" i="5"/>
  <c r="L46" i="5"/>
  <c r="K46" i="5"/>
  <c r="L45" i="5"/>
  <c r="K45" i="5"/>
  <c r="L44" i="5"/>
  <c r="K44" i="5"/>
  <c r="L43" i="5"/>
  <c r="K43" i="5"/>
  <c r="L42" i="5"/>
  <c r="K42" i="5"/>
  <c r="L41" i="5"/>
  <c r="K41" i="5"/>
  <c r="L40" i="5"/>
  <c r="K40" i="5"/>
  <c r="L39" i="5"/>
  <c r="K39" i="5"/>
  <c r="L35" i="5"/>
  <c r="K35" i="5"/>
  <c r="L34" i="5"/>
  <c r="K34" i="5"/>
  <c r="L33" i="5"/>
  <c r="K33" i="5"/>
  <c r="L32" i="5"/>
  <c r="K32" i="5"/>
  <c r="L31" i="5"/>
  <c r="K31" i="5"/>
  <c r="L30" i="5"/>
  <c r="K30" i="5"/>
  <c r="L26" i="5"/>
  <c r="K26" i="5"/>
  <c r="L25" i="5"/>
  <c r="K25" i="5"/>
  <c r="L24" i="5"/>
  <c r="K24" i="5"/>
  <c r="L23" i="5"/>
  <c r="K23" i="5"/>
  <c r="L22" i="5"/>
  <c r="K22" i="5"/>
  <c r="L21" i="5"/>
  <c r="K21" i="5"/>
  <c r="L20" i="5"/>
  <c r="K20" i="5"/>
  <c r="L19" i="5"/>
  <c r="K19" i="5"/>
  <c r="L18" i="5"/>
  <c r="K18" i="5"/>
  <c r="L17" i="5"/>
  <c r="K17" i="5"/>
  <c r="L13" i="5"/>
  <c r="K13" i="5"/>
  <c r="L11" i="5"/>
  <c r="K11" i="5"/>
  <c r="L10" i="5"/>
  <c r="K10" i="5"/>
  <c r="L9" i="5"/>
  <c r="K9" i="5"/>
  <c r="L8" i="5"/>
  <c r="K8" i="5"/>
  <c r="L7" i="5"/>
  <c r="K7" i="5"/>
  <c r="L6" i="5"/>
  <c r="K6" i="5"/>
  <c r="L5" i="5"/>
  <c r="K5" i="5"/>
  <c r="H42" i="5"/>
  <c r="H41" i="5"/>
  <c r="G42" i="5"/>
  <c r="G41" i="5"/>
  <c r="H55" i="5"/>
  <c r="H54" i="5"/>
  <c r="H53" i="5"/>
  <c r="H52" i="5"/>
  <c r="H47" i="5"/>
  <c r="H46" i="5"/>
  <c r="H45" i="5"/>
  <c r="H44" i="5"/>
  <c r="H43" i="5"/>
  <c r="H40" i="5"/>
  <c r="H39" i="5"/>
  <c r="H35" i="5"/>
  <c r="H34" i="5"/>
  <c r="H33" i="5"/>
  <c r="H32" i="5"/>
  <c r="H31" i="5"/>
  <c r="H30" i="5"/>
  <c r="H26" i="5"/>
  <c r="H25" i="5"/>
  <c r="H24" i="5"/>
  <c r="H23" i="5"/>
  <c r="H22" i="5"/>
  <c r="H21" i="5"/>
  <c r="H20" i="5"/>
  <c r="H19" i="5"/>
  <c r="H18" i="5"/>
  <c r="H17" i="5"/>
  <c r="H13" i="5"/>
  <c r="H11" i="5"/>
  <c r="H10" i="5"/>
  <c r="H9" i="5"/>
  <c r="H8" i="5"/>
  <c r="H7" i="5"/>
  <c r="H6" i="5"/>
  <c r="H5" i="5"/>
  <c r="G55" i="5"/>
  <c r="G54" i="5"/>
  <c r="G53" i="5"/>
  <c r="G52" i="5"/>
  <c r="G47" i="5"/>
  <c r="G46" i="5"/>
  <c r="G45" i="5"/>
  <c r="G44" i="5"/>
  <c r="G43" i="5"/>
  <c r="G40" i="5"/>
  <c r="G39" i="5"/>
  <c r="G35" i="5"/>
  <c r="G34" i="5"/>
  <c r="G33" i="5"/>
  <c r="G32" i="5"/>
  <c r="G31" i="5"/>
  <c r="G30" i="5"/>
  <c r="G26" i="5"/>
  <c r="G25" i="5"/>
  <c r="G24" i="5"/>
  <c r="G23" i="5"/>
  <c r="G22" i="5"/>
  <c r="G21" i="5"/>
  <c r="G20" i="5"/>
  <c r="G19" i="5"/>
  <c r="G18" i="5"/>
  <c r="G17" i="5"/>
  <c r="G13" i="5"/>
  <c r="G11" i="5"/>
  <c r="G10" i="5"/>
  <c r="G9" i="5"/>
  <c r="G8" i="5"/>
  <c r="G7" i="5"/>
  <c r="G6" i="5"/>
  <c r="G5" i="5"/>
  <c r="K14" i="23" l="1"/>
  <c r="N55" i="23"/>
  <c r="M27" i="23"/>
  <c r="K36" i="23"/>
  <c r="E64" i="23"/>
  <c r="I64" i="23"/>
  <c r="G64" i="23"/>
  <c r="F64" i="23"/>
  <c r="N36" i="23"/>
  <c r="K27" i="23"/>
  <c r="I36" i="23"/>
  <c r="D64" i="23"/>
  <c r="H64" i="23"/>
  <c r="I29" i="22"/>
  <c r="K55" i="23"/>
  <c r="V66" i="23"/>
  <c r="N65" i="23"/>
  <c r="R65" i="23"/>
  <c r="M66" i="23"/>
  <c r="C64" i="23"/>
  <c r="C65" i="23"/>
  <c r="R66" i="23"/>
  <c r="P66" i="23"/>
  <c r="N66" i="23"/>
  <c r="O65" i="23"/>
  <c r="H65" i="23"/>
  <c r="O66" i="23"/>
  <c r="U66" i="23"/>
  <c r="W66" i="23"/>
  <c r="E65" i="23"/>
  <c r="D65" i="23"/>
  <c r="Q66" i="23"/>
  <c r="J66" i="23"/>
  <c r="L66" i="23"/>
  <c r="T66" i="23"/>
  <c r="F65" i="23"/>
  <c r="S65" i="23"/>
  <c r="G65" i="23"/>
  <c r="K65" i="23"/>
  <c r="I65" i="23"/>
  <c r="K66" i="23"/>
  <c r="S66" i="23"/>
  <c r="Q65" i="23"/>
  <c r="X65" i="23"/>
  <c r="X66" i="23" s="1"/>
  <c r="J14" i="23"/>
  <c r="O55" i="23"/>
  <c r="L14" i="23"/>
  <c r="L27" i="23"/>
  <c r="O27" i="23"/>
  <c r="J36" i="23"/>
  <c r="F14" i="23"/>
  <c r="I27" i="23"/>
  <c r="L36" i="23"/>
  <c r="I14" i="23"/>
  <c r="J27" i="23"/>
  <c r="M36" i="23"/>
  <c r="N14" i="23"/>
  <c r="I55" i="23"/>
  <c r="O36" i="23"/>
  <c r="O14" i="23"/>
  <c r="B65" i="23"/>
  <c r="B79" i="23" s="1"/>
  <c r="J55" i="23"/>
  <c r="N27" i="23"/>
  <c r="L55" i="23"/>
  <c r="M14" i="23"/>
  <c r="M55" i="23"/>
  <c r="AB29" i="22"/>
  <c r="AC29" i="22"/>
  <c r="AA29" i="22"/>
  <c r="AD29" i="22"/>
  <c r="J29" i="22"/>
  <c r="K29" i="22"/>
  <c r="L29" i="22"/>
  <c r="H29" i="22"/>
  <c r="M42" i="5"/>
  <c r="M41" i="5"/>
  <c r="J42" i="5"/>
  <c r="J41" i="5"/>
  <c r="I42" i="5"/>
  <c r="I41" i="5"/>
  <c r="M27" i="18"/>
  <c r="L27" i="18"/>
  <c r="K27" i="18"/>
  <c r="J27" i="18"/>
  <c r="I27" i="18"/>
  <c r="H27" i="18"/>
  <c r="G27" i="18"/>
  <c r="M26" i="18"/>
  <c r="L26" i="18"/>
  <c r="K26" i="18"/>
  <c r="J26" i="18"/>
  <c r="I26" i="18"/>
  <c r="H26" i="18"/>
  <c r="G26" i="18"/>
  <c r="M25" i="18"/>
  <c r="L25" i="18"/>
  <c r="K25" i="18"/>
  <c r="J25" i="18"/>
  <c r="I25" i="18"/>
  <c r="H25" i="18"/>
  <c r="G25" i="18"/>
  <c r="M24" i="18"/>
  <c r="L24" i="18"/>
  <c r="K24" i="18"/>
  <c r="J24" i="18"/>
  <c r="I24" i="18"/>
  <c r="H24" i="18"/>
  <c r="G24" i="18"/>
  <c r="M23" i="18"/>
  <c r="L23" i="18"/>
  <c r="K23" i="18"/>
  <c r="J23" i="18"/>
  <c r="I23" i="18"/>
  <c r="H23" i="18"/>
  <c r="G23" i="18"/>
  <c r="M22" i="18"/>
  <c r="L22" i="18"/>
  <c r="K22" i="18"/>
  <c r="J22" i="18"/>
  <c r="I22" i="18"/>
  <c r="H22" i="18"/>
  <c r="G22" i="18"/>
  <c r="M21" i="18"/>
  <c r="L21" i="18"/>
  <c r="K21" i="18"/>
  <c r="J21" i="18"/>
  <c r="I21" i="18"/>
  <c r="H21" i="18"/>
  <c r="G21" i="18"/>
  <c r="M20" i="18"/>
  <c r="L20" i="18"/>
  <c r="K20" i="18"/>
  <c r="J20" i="18"/>
  <c r="I20" i="18"/>
  <c r="H20" i="18"/>
  <c r="G20" i="18"/>
  <c r="M19" i="18"/>
  <c r="L19" i="18"/>
  <c r="K19" i="18"/>
  <c r="J19" i="18"/>
  <c r="I19" i="18"/>
  <c r="H19" i="18"/>
  <c r="G19" i="18"/>
  <c r="M18" i="18"/>
  <c r="L18" i="18"/>
  <c r="K18" i="18"/>
  <c r="J18" i="18"/>
  <c r="I18" i="18"/>
  <c r="H18" i="18"/>
  <c r="G18" i="18"/>
  <c r="M17" i="18"/>
  <c r="L17" i="18"/>
  <c r="K17" i="18"/>
  <c r="J17" i="18"/>
  <c r="I17" i="18"/>
  <c r="H17" i="18"/>
  <c r="G17" i="18"/>
  <c r="M16" i="18"/>
  <c r="L16" i="18"/>
  <c r="K16" i="18"/>
  <c r="J16" i="18"/>
  <c r="I16" i="18"/>
  <c r="H16" i="18"/>
  <c r="G16" i="18"/>
  <c r="M15" i="18"/>
  <c r="L15" i="18"/>
  <c r="K15" i="18"/>
  <c r="J15" i="18"/>
  <c r="I15" i="18"/>
  <c r="H15" i="18"/>
  <c r="G15" i="18"/>
  <c r="M14" i="18"/>
  <c r="L14" i="18"/>
  <c r="K14" i="18"/>
  <c r="J14" i="18"/>
  <c r="I14" i="18"/>
  <c r="H14" i="18"/>
  <c r="G14" i="18"/>
  <c r="M13" i="18"/>
  <c r="L13" i="18"/>
  <c r="K13" i="18"/>
  <c r="J13" i="18"/>
  <c r="I13" i="18"/>
  <c r="H13" i="18"/>
  <c r="G13" i="18"/>
  <c r="M12" i="18"/>
  <c r="L12" i="18"/>
  <c r="K12" i="18"/>
  <c r="J12" i="18"/>
  <c r="I12" i="18"/>
  <c r="H12" i="18"/>
  <c r="G12" i="18"/>
  <c r="M11" i="18"/>
  <c r="L11" i="18"/>
  <c r="K11" i="18"/>
  <c r="J11" i="18"/>
  <c r="I11" i="18"/>
  <c r="H11" i="18"/>
  <c r="G11" i="18"/>
  <c r="M10" i="18"/>
  <c r="L10" i="18"/>
  <c r="K10" i="18"/>
  <c r="J10" i="18"/>
  <c r="I10" i="18"/>
  <c r="H10" i="18"/>
  <c r="G10" i="18"/>
  <c r="M9" i="18"/>
  <c r="L9" i="18"/>
  <c r="K9" i="18"/>
  <c r="J9" i="18"/>
  <c r="I9" i="18"/>
  <c r="H9" i="18"/>
  <c r="G9" i="18"/>
  <c r="M8" i="18"/>
  <c r="L8" i="18"/>
  <c r="K8" i="18"/>
  <c r="J8" i="18"/>
  <c r="I8" i="18"/>
  <c r="H8" i="18"/>
  <c r="G8" i="18"/>
  <c r="M7" i="18"/>
  <c r="L7" i="18"/>
  <c r="K7" i="18"/>
  <c r="J7" i="18"/>
  <c r="I7" i="18"/>
  <c r="H7" i="18"/>
  <c r="G7" i="18"/>
  <c r="M5" i="18"/>
  <c r="L5" i="18"/>
  <c r="K5" i="18"/>
  <c r="J5" i="18"/>
  <c r="I5" i="18"/>
  <c r="H5" i="18"/>
  <c r="G5" i="18"/>
  <c r="M4" i="18"/>
  <c r="L4" i="18"/>
  <c r="K4" i="18"/>
  <c r="J4" i="18"/>
  <c r="I4" i="18"/>
  <c r="H4" i="18"/>
  <c r="G4" i="18"/>
  <c r="M3" i="18"/>
  <c r="L3" i="18"/>
  <c r="K3" i="18"/>
  <c r="J3" i="18"/>
  <c r="I3" i="18"/>
  <c r="H3" i="18"/>
  <c r="G3" i="18"/>
  <c r="J44" i="2"/>
  <c r="K44" i="2"/>
  <c r="J45" i="2"/>
  <c r="K45" i="2"/>
  <c r="Q9" i="2"/>
  <c r="Q8" i="2"/>
  <c r="P9" i="2"/>
  <c r="P8" i="2"/>
  <c r="O9" i="2"/>
  <c r="O8" i="2"/>
  <c r="I9" i="2"/>
  <c r="I8" i="2"/>
  <c r="H9" i="2"/>
  <c r="H8"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7" i="2"/>
  <c r="Q6" i="2"/>
  <c r="Q5" i="2"/>
  <c r="P41" i="2"/>
  <c r="O41" i="2"/>
  <c r="P40" i="2"/>
  <c r="O40" i="2"/>
  <c r="P39" i="2"/>
  <c r="O39" i="2"/>
  <c r="P38" i="2"/>
  <c r="O38" i="2"/>
  <c r="P37" i="2"/>
  <c r="O37" i="2"/>
  <c r="P36" i="2"/>
  <c r="O36" i="2"/>
  <c r="P35" i="2"/>
  <c r="O35" i="2"/>
  <c r="P34" i="2"/>
  <c r="O34" i="2"/>
  <c r="P33" i="2"/>
  <c r="O33" i="2"/>
  <c r="P32" i="2"/>
  <c r="O32" i="2"/>
  <c r="P31" i="2"/>
  <c r="O31" i="2"/>
  <c r="P30" i="2"/>
  <c r="O30" i="2"/>
  <c r="P29" i="2"/>
  <c r="O29" i="2"/>
  <c r="P28" i="2"/>
  <c r="O28" i="2"/>
  <c r="P27" i="2"/>
  <c r="O27" i="2"/>
  <c r="P26" i="2"/>
  <c r="O26" i="2"/>
  <c r="P25" i="2"/>
  <c r="O25" i="2"/>
  <c r="P24" i="2"/>
  <c r="O24" i="2"/>
  <c r="P23" i="2"/>
  <c r="O23" i="2"/>
  <c r="P22" i="2"/>
  <c r="O22" i="2"/>
  <c r="P21" i="2"/>
  <c r="O21" i="2"/>
  <c r="P20" i="2"/>
  <c r="O20" i="2"/>
  <c r="P19" i="2"/>
  <c r="O19" i="2"/>
  <c r="P18" i="2"/>
  <c r="O18" i="2"/>
  <c r="P17" i="2"/>
  <c r="O17" i="2"/>
  <c r="P16" i="2"/>
  <c r="O16" i="2"/>
  <c r="P15" i="2"/>
  <c r="O15" i="2"/>
  <c r="P14" i="2"/>
  <c r="O14" i="2"/>
  <c r="P13" i="2"/>
  <c r="O13" i="2"/>
  <c r="P12" i="2"/>
  <c r="O12" i="2"/>
  <c r="P11" i="2"/>
  <c r="O11" i="2"/>
  <c r="P10" i="2"/>
  <c r="O10" i="2"/>
  <c r="P7" i="2"/>
  <c r="O7" i="2"/>
  <c r="P6" i="2"/>
  <c r="O6" i="2"/>
  <c r="P5" i="2"/>
  <c r="O5" i="2"/>
  <c r="Q4" i="2"/>
  <c r="P4" i="2"/>
  <c r="O4" i="2"/>
  <c r="K9" i="2"/>
  <c r="K8" i="2"/>
  <c r="J9" i="2"/>
  <c r="J8" i="2"/>
  <c r="K41" i="2"/>
  <c r="J41" i="2"/>
  <c r="I41" i="2"/>
  <c r="H41" i="2"/>
  <c r="K40" i="2"/>
  <c r="J40" i="2"/>
  <c r="I40" i="2"/>
  <c r="H40" i="2"/>
  <c r="K39" i="2"/>
  <c r="J39" i="2"/>
  <c r="I39" i="2"/>
  <c r="H39" i="2"/>
  <c r="K38" i="2"/>
  <c r="J38" i="2"/>
  <c r="I38" i="2"/>
  <c r="H38" i="2"/>
  <c r="K37" i="2"/>
  <c r="J37" i="2"/>
  <c r="I37" i="2"/>
  <c r="H37" i="2"/>
  <c r="K36" i="2"/>
  <c r="J36" i="2"/>
  <c r="I36" i="2"/>
  <c r="H36" i="2"/>
  <c r="K35" i="2"/>
  <c r="J35" i="2"/>
  <c r="I35" i="2"/>
  <c r="H35" i="2"/>
  <c r="K34" i="2"/>
  <c r="J34" i="2"/>
  <c r="I34" i="2"/>
  <c r="H34" i="2"/>
  <c r="K33" i="2"/>
  <c r="J33" i="2"/>
  <c r="I33" i="2"/>
  <c r="H33" i="2"/>
  <c r="K32" i="2"/>
  <c r="J32" i="2"/>
  <c r="I32" i="2"/>
  <c r="H32" i="2"/>
  <c r="K31" i="2"/>
  <c r="J31" i="2"/>
  <c r="I31" i="2"/>
  <c r="H31" i="2"/>
  <c r="K30" i="2"/>
  <c r="J30" i="2"/>
  <c r="I30" i="2"/>
  <c r="H30" i="2"/>
  <c r="K29" i="2"/>
  <c r="J29" i="2"/>
  <c r="I29" i="2"/>
  <c r="H29" i="2"/>
  <c r="K28" i="2"/>
  <c r="J28" i="2"/>
  <c r="I28" i="2"/>
  <c r="H28" i="2"/>
  <c r="K27" i="2"/>
  <c r="J27" i="2"/>
  <c r="I27" i="2"/>
  <c r="H27" i="2"/>
  <c r="K26" i="2"/>
  <c r="J26" i="2"/>
  <c r="I26" i="2"/>
  <c r="H26" i="2"/>
  <c r="K25" i="2"/>
  <c r="J25" i="2"/>
  <c r="I25" i="2"/>
  <c r="H25" i="2"/>
  <c r="K24" i="2"/>
  <c r="J24" i="2"/>
  <c r="I24" i="2"/>
  <c r="H24" i="2"/>
  <c r="K23" i="2"/>
  <c r="J23" i="2"/>
  <c r="I23" i="2"/>
  <c r="H23" i="2"/>
  <c r="K22" i="2"/>
  <c r="J22" i="2"/>
  <c r="I22" i="2"/>
  <c r="H22" i="2"/>
  <c r="K21" i="2"/>
  <c r="J21" i="2"/>
  <c r="I21" i="2"/>
  <c r="H21" i="2"/>
  <c r="K20" i="2"/>
  <c r="J20" i="2"/>
  <c r="I20" i="2"/>
  <c r="H20" i="2"/>
  <c r="K19" i="2"/>
  <c r="J19" i="2"/>
  <c r="I19" i="2"/>
  <c r="H19" i="2"/>
  <c r="K18" i="2"/>
  <c r="J18" i="2"/>
  <c r="I18" i="2"/>
  <c r="H18" i="2"/>
  <c r="K17" i="2"/>
  <c r="J17" i="2"/>
  <c r="I17" i="2"/>
  <c r="H17" i="2"/>
  <c r="K16" i="2"/>
  <c r="J16" i="2"/>
  <c r="I16" i="2"/>
  <c r="H16" i="2"/>
  <c r="K15" i="2"/>
  <c r="J15" i="2"/>
  <c r="I15" i="2"/>
  <c r="H15" i="2"/>
  <c r="K14" i="2"/>
  <c r="J14" i="2"/>
  <c r="I14" i="2"/>
  <c r="H14" i="2"/>
  <c r="K13" i="2"/>
  <c r="J13" i="2"/>
  <c r="I13" i="2"/>
  <c r="H13" i="2"/>
  <c r="K12" i="2"/>
  <c r="J12" i="2"/>
  <c r="I12" i="2"/>
  <c r="H12" i="2"/>
  <c r="K11" i="2"/>
  <c r="J11" i="2"/>
  <c r="I11" i="2"/>
  <c r="H11" i="2"/>
  <c r="K10" i="2"/>
  <c r="J10" i="2"/>
  <c r="I10" i="2"/>
  <c r="H10" i="2"/>
  <c r="K7" i="2"/>
  <c r="J7" i="2"/>
  <c r="I7" i="2"/>
  <c r="H7" i="2"/>
  <c r="K6" i="2"/>
  <c r="J6" i="2"/>
  <c r="I6" i="2"/>
  <c r="H6" i="2"/>
  <c r="K5" i="2"/>
  <c r="J5" i="2"/>
  <c r="I5" i="2"/>
  <c r="H5" i="2"/>
  <c r="K4" i="2"/>
  <c r="J4" i="2"/>
  <c r="I4" i="2"/>
  <c r="H4" i="2"/>
  <c r="B81" i="23" l="1"/>
  <c r="B82" i="23"/>
  <c r="E66" i="23"/>
  <c r="B74" i="23" s="1"/>
  <c r="C66" i="23"/>
  <c r="G66" i="23"/>
  <c r="H66" i="23"/>
  <c r="D66" i="23"/>
  <c r="I66" i="23"/>
  <c r="B75" i="23" s="1"/>
  <c r="F66" i="23"/>
  <c r="B66" i="23"/>
  <c r="B72" i="23" s="1"/>
  <c r="D49" i="2"/>
  <c r="M55" i="5"/>
  <c r="M54" i="5"/>
  <c r="M53" i="5"/>
  <c r="M52" i="5"/>
  <c r="M47" i="5"/>
  <c r="M46" i="5"/>
  <c r="M45" i="5"/>
  <c r="M44" i="5"/>
  <c r="M43" i="5"/>
  <c r="M40" i="5"/>
  <c r="M39" i="5"/>
  <c r="M35" i="5"/>
  <c r="M34" i="5"/>
  <c r="M33" i="5"/>
  <c r="M32" i="5"/>
  <c r="M31" i="5"/>
  <c r="M30" i="5"/>
  <c r="M26" i="5"/>
  <c r="M25" i="5"/>
  <c r="M24" i="5"/>
  <c r="M23" i="5"/>
  <c r="M22" i="5"/>
  <c r="M21" i="5"/>
  <c r="M20" i="5"/>
  <c r="M19" i="5"/>
  <c r="M18" i="5"/>
  <c r="M17" i="5"/>
  <c r="M13" i="5"/>
  <c r="M11" i="5"/>
  <c r="M10" i="5"/>
  <c r="M9" i="5"/>
  <c r="M8" i="5"/>
  <c r="M7" i="5"/>
  <c r="M6" i="5"/>
  <c r="M5" i="5"/>
  <c r="J55" i="5"/>
  <c r="I55" i="5"/>
  <c r="J54" i="5"/>
  <c r="I54" i="5"/>
  <c r="J53" i="5"/>
  <c r="I53" i="5"/>
  <c r="J52" i="5"/>
  <c r="I52" i="5"/>
  <c r="J47" i="5"/>
  <c r="I47" i="5"/>
  <c r="J46" i="5"/>
  <c r="I46" i="5"/>
  <c r="J45" i="5"/>
  <c r="I45" i="5"/>
  <c r="J44" i="5"/>
  <c r="I44" i="5"/>
  <c r="J43" i="5"/>
  <c r="I43" i="5"/>
  <c r="J40" i="5"/>
  <c r="I40" i="5"/>
  <c r="J39" i="5"/>
  <c r="I39" i="5"/>
  <c r="J35" i="5"/>
  <c r="I35" i="5"/>
  <c r="J34" i="5"/>
  <c r="I34" i="5"/>
  <c r="J33" i="5"/>
  <c r="I33" i="5"/>
  <c r="J32" i="5"/>
  <c r="I32" i="5"/>
  <c r="J31" i="5"/>
  <c r="I31" i="5"/>
  <c r="J30" i="5"/>
  <c r="I30" i="5"/>
  <c r="J26" i="5"/>
  <c r="I26" i="5"/>
  <c r="J25" i="5"/>
  <c r="I25" i="5"/>
  <c r="J24" i="5"/>
  <c r="I24" i="5"/>
  <c r="J23" i="5"/>
  <c r="I23" i="5"/>
  <c r="J22" i="5"/>
  <c r="I22" i="5"/>
  <c r="J21" i="5"/>
  <c r="I21" i="5"/>
  <c r="J20" i="5"/>
  <c r="I20" i="5"/>
  <c r="J19" i="5"/>
  <c r="I19" i="5"/>
  <c r="J18" i="5"/>
  <c r="I18" i="5"/>
  <c r="J17" i="5"/>
  <c r="I17" i="5"/>
  <c r="J13" i="5"/>
  <c r="I13" i="5"/>
  <c r="J11" i="5"/>
  <c r="I11" i="5"/>
  <c r="J10" i="5"/>
  <c r="I10" i="5"/>
  <c r="J9" i="5"/>
  <c r="I9" i="5"/>
  <c r="J8" i="5"/>
  <c r="I8" i="5"/>
  <c r="J7" i="5"/>
  <c r="I7" i="5"/>
  <c r="J6" i="5"/>
  <c r="I6" i="5"/>
  <c r="J5" i="5"/>
  <c r="I5" i="5"/>
  <c r="AC18" i="18" l="1"/>
  <c r="I14" i="5"/>
  <c r="I36" i="5"/>
  <c r="J48" i="2"/>
  <c r="J49" i="2" s="1"/>
  <c r="I48" i="5"/>
  <c r="I56" i="5"/>
  <c r="I27" i="5"/>
  <c r="AA56" i="5"/>
  <c r="Z56" i="5"/>
  <c r="Y56" i="5"/>
  <c r="X56" i="5"/>
  <c r="W56" i="5"/>
  <c r="V56" i="5"/>
  <c r="U56" i="5"/>
  <c r="T56" i="5"/>
  <c r="S56" i="5"/>
  <c r="R56" i="5"/>
  <c r="Q56" i="5"/>
  <c r="P56" i="5"/>
  <c r="O56" i="5"/>
  <c r="N56" i="5"/>
  <c r="M56" i="5"/>
  <c r="L56" i="5"/>
  <c r="K56" i="5"/>
  <c r="J56" i="5"/>
  <c r="H56" i="5"/>
  <c r="G56" i="5"/>
  <c r="AA48" i="5"/>
  <c r="Z48" i="5"/>
  <c r="Y48" i="5"/>
  <c r="X48" i="5"/>
  <c r="W48" i="5"/>
  <c r="V48" i="5"/>
  <c r="U48" i="5"/>
  <c r="T48" i="5"/>
  <c r="S48" i="5"/>
  <c r="R48" i="5"/>
  <c r="Q48" i="5"/>
  <c r="P48" i="5"/>
  <c r="O48" i="5"/>
  <c r="N48" i="5"/>
  <c r="M48" i="5"/>
  <c r="L48" i="5"/>
  <c r="K48" i="5"/>
  <c r="J48" i="5"/>
  <c r="H48" i="5"/>
  <c r="G48" i="5"/>
  <c r="AA36" i="5"/>
  <c r="Z36" i="5"/>
  <c r="Y36" i="5"/>
  <c r="X36" i="5"/>
  <c r="W36" i="5"/>
  <c r="V36" i="5"/>
  <c r="U36" i="5"/>
  <c r="T36" i="5"/>
  <c r="S36" i="5"/>
  <c r="R36" i="5"/>
  <c r="Q36" i="5"/>
  <c r="P36" i="5"/>
  <c r="O36" i="5"/>
  <c r="N36" i="5"/>
  <c r="M36" i="5"/>
  <c r="L36" i="5"/>
  <c r="K36" i="5"/>
  <c r="J36" i="5"/>
  <c r="H36" i="5"/>
  <c r="G36" i="5"/>
  <c r="AA27" i="5"/>
  <c r="Z27" i="5"/>
  <c r="Y27" i="5"/>
  <c r="X27" i="5"/>
  <c r="W27" i="5"/>
  <c r="V27" i="5"/>
  <c r="U27" i="5"/>
  <c r="T27" i="5"/>
  <c r="S27" i="5"/>
  <c r="R27" i="5"/>
  <c r="Q27" i="5"/>
  <c r="P27" i="5"/>
  <c r="O27" i="5"/>
  <c r="N27" i="5"/>
  <c r="M27" i="5"/>
  <c r="L27" i="5"/>
  <c r="K27" i="5"/>
  <c r="J27" i="5"/>
  <c r="H27" i="5"/>
  <c r="G27" i="5"/>
  <c r="AA14" i="5"/>
  <c r="Z14" i="5"/>
  <c r="Y14" i="5"/>
  <c r="X14" i="5"/>
  <c r="W14" i="5"/>
  <c r="V14" i="5"/>
  <c r="U14" i="5"/>
  <c r="T14" i="5"/>
  <c r="S14" i="5"/>
  <c r="R14" i="5"/>
  <c r="Q14" i="5"/>
  <c r="P14" i="5"/>
  <c r="O14" i="5"/>
  <c r="N14" i="5"/>
  <c r="M14" i="5"/>
  <c r="L14" i="5"/>
  <c r="K14" i="5"/>
  <c r="J14" i="5"/>
  <c r="H14" i="5"/>
  <c r="G14" i="5"/>
  <c r="AB56" i="5"/>
  <c r="AB48" i="5"/>
  <c r="AB36" i="5"/>
  <c r="AB27" i="5"/>
  <c r="AB14" i="5"/>
  <c r="C26" i="2"/>
  <c r="AL56" i="6"/>
  <c r="AL48" i="6"/>
  <c r="AL36" i="6"/>
  <c r="AL27" i="6"/>
  <c r="AL14" i="6"/>
  <c r="D7" i="5"/>
  <c r="C7" i="6" s="1"/>
  <c r="G7" i="6" s="1"/>
  <c r="AE27" i="18"/>
  <c r="AD27" i="18"/>
  <c r="AE26" i="18"/>
  <c r="AD26" i="18"/>
  <c r="AE25" i="18"/>
  <c r="AD25" i="18"/>
  <c r="AE24" i="18"/>
  <c r="AD24" i="18"/>
  <c r="AE23" i="18"/>
  <c r="AD23" i="18"/>
  <c r="AE22" i="18"/>
  <c r="AD22" i="18"/>
  <c r="AE21" i="18"/>
  <c r="AD21" i="18"/>
  <c r="AE20" i="18"/>
  <c r="AD20" i="18"/>
  <c r="AE19" i="18"/>
  <c r="AD19" i="18"/>
  <c r="AE18" i="18"/>
  <c r="AD18" i="18"/>
  <c r="AE17" i="18"/>
  <c r="AD17" i="18"/>
  <c r="AE16" i="18"/>
  <c r="AD16" i="18"/>
  <c r="AE15" i="18"/>
  <c r="AD15" i="18"/>
  <c r="AE14" i="18"/>
  <c r="AD14" i="18"/>
  <c r="AE13" i="18"/>
  <c r="AD13" i="18"/>
  <c r="AE12" i="18"/>
  <c r="AD12" i="18"/>
  <c r="AE11" i="18"/>
  <c r="AD11" i="18"/>
  <c r="AE10" i="18"/>
  <c r="AD10" i="18"/>
  <c r="AE9" i="18"/>
  <c r="AD9" i="18"/>
  <c r="AE8" i="18"/>
  <c r="AD8" i="18"/>
  <c r="AE7" i="18"/>
  <c r="AD7" i="18"/>
  <c r="AE5" i="18"/>
  <c r="AD5" i="18"/>
  <c r="AE4" i="18"/>
  <c r="AD4" i="18"/>
  <c r="AE3" i="18"/>
  <c r="AD3" i="18"/>
  <c r="AB3" i="18"/>
  <c r="AB4" i="18"/>
  <c r="AC4" i="18"/>
  <c r="AB5" i="18"/>
  <c r="AC5" i="18"/>
  <c r="AB7" i="18"/>
  <c r="AC7" i="18"/>
  <c r="AB8" i="18"/>
  <c r="AC8" i="18"/>
  <c r="AB9" i="18"/>
  <c r="AC9" i="18"/>
  <c r="AB10" i="18"/>
  <c r="AC10" i="18"/>
  <c r="AB11" i="18"/>
  <c r="AC11" i="18"/>
  <c r="AB12" i="18"/>
  <c r="AC12" i="18"/>
  <c r="AB13" i="18"/>
  <c r="AC13" i="18"/>
  <c r="AB14" i="18"/>
  <c r="AC14" i="18"/>
  <c r="AB15" i="18"/>
  <c r="AC15" i="18"/>
  <c r="AB16" i="18"/>
  <c r="AC16" i="18"/>
  <c r="AB17" i="18"/>
  <c r="AC17" i="18"/>
  <c r="AB18" i="18"/>
  <c r="AB19" i="18"/>
  <c r="AC19" i="18"/>
  <c r="AB20" i="18"/>
  <c r="AB21" i="18"/>
  <c r="AC21" i="18"/>
  <c r="AB22" i="18"/>
  <c r="AC22" i="18"/>
  <c r="AB23" i="18"/>
  <c r="AC23" i="18"/>
  <c r="AB24" i="18"/>
  <c r="AB25" i="18"/>
  <c r="AB26" i="18"/>
  <c r="AB27" i="18"/>
  <c r="AC3" i="18"/>
  <c r="J66" i="5" l="1"/>
  <c r="R7" i="6"/>
  <c r="J7" i="6"/>
  <c r="S7" i="6"/>
  <c r="K7" i="6"/>
  <c r="T7" i="6"/>
  <c r="L7" i="6"/>
  <c r="U7" i="6"/>
  <c r="M7" i="6"/>
  <c r="V7" i="6"/>
  <c r="N7" i="6"/>
  <c r="E7" i="6"/>
  <c r="W7" i="6"/>
  <c r="O7" i="6"/>
  <c r="F7" i="6"/>
  <c r="X7" i="6"/>
  <c r="P7" i="6"/>
  <c r="H7" i="6"/>
  <c r="Y7" i="6"/>
  <c r="Q7" i="6"/>
  <c r="I7" i="6"/>
  <c r="AF48" i="2"/>
  <c r="Y65" i="5" s="1"/>
  <c r="D6" i="3"/>
  <c r="D51" i="5" s="1"/>
  <c r="C51" i="6" l="1"/>
  <c r="G51" i="6" s="1"/>
  <c r="C4" i="2"/>
  <c r="Y66" i="5"/>
  <c r="Y67" i="5" s="1"/>
  <c r="F48" i="2"/>
  <c r="F49" i="2" s="1"/>
  <c r="G48" i="2"/>
  <c r="G49" i="2" s="1"/>
  <c r="K48" i="2"/>
  <c r="M48" i="2"/>
  <c r="M49" i="2" s="1"/>
  <c r="N48" i="2"/>
  <c r="N49" i="2" s="1"/>
  <c r="R48" i="2"/>
  <c r="S48" i="2"/>
  <c r="T48" i="2"/>
  <c r="U48" i="2"/>
  <c r="V48" i="2"/>
  <c r="W48" i="2"/>
  <c r="X48" i="2"/>
  <c r="Y48" i="2"/>
  <c r="Z48" i="2"/>
  <c r="AA48" i="2"/>
  <c r="AB48" i="2"/>
  <c r="AC48" i="2"/>
  <c r="AD48" i="2"/>
  <c r="AE48" i="2"/>
  <c r="Q48" i="2"/>
  <c r="P48" i="2"/>
  <c r="O48" i="2"/>
  <c r="L8" i="2"/>
  <c r="L48" i="2" s="1"/>
  <c r="L49" i="2" s="1"/>
  <c r="I48" i="2"/>
  <c r="H48" i="2"/>
  <c r="E8" i="2"/>
  <c r="E48" i="2" s="1"/>
  <c r="E49" i="2" s="1"/>
  <c r="AE9" i="2"/>
  <c r="AD9" i="2"/>
  <c r="AC9" i="2"/>
  <c r="AB9" i="2"/>
  <c r="AA9" i="2"/>
  <c r="Z9" i="2"/>
  <c r="Y9" i="2"/>
  <c r="X9" i="2"/>
  <c r="W9" i="2"/>
  <c r="V9" i="2"/>
  <c r="U9" i="2"/>
  <c r="T9" i="2"/>
  <c r="S9" i="2"/>
  <c r="R9" i="2"/>
  <c r="N9" i="2"/>
  <c r="M9" i="2"/>
  <c r="L9" i="2"/>
  <c r="G9" i="2"/>
  <c r="F9" i="2"/>
  <c r="E9" i="2"/>
  <c r="BA7" i="5"/>
  <c r="AZ7" i="5"/>
  <c r="AY7" i="5"/>
  <c r="AX7" i="5"/>
  <c r="AW7" i="5"/>
  <c r="AV7" i="5"/>
  <c r="AU7" i="5"/>
  <c r="AT7" i="5"/>
  <c r="AS7" i="5"/>
  <c r="AR7" i="5"/>
  <c r="AQ7" i="5"/>
  <c r="AP7" i="5"/>
  <c r="AO7" i="5"/>
  <c r="AN7" i="5"/>
  <c r="AM7" i="5"/>
  <c r="AL7" i="5"/>
  <c r="AK7" i="5"/>
  <c r="AJ7" i="5"/>
  <c r="AI7" i="5"/>
  <c r="AH7" i="5"/>
  <c r="D32" i="3"/>
  <c r="D4" i="3"/>
  <c r="D36" i="3"/>
  <c r="D16" i="3"/>
  <c r="D40" i="3"/>
  <c r="D8" i="3"/>
  <c r="D29" i="3"/>
  <c r="D14" i="3"/>
  <c r="D9" i="3"/>
  <c r="D33" i="3"/>
  <c r="D34" i="3"/>
  <c r="D37" i="3"/>
  <c r="D38" i="3"/>
  <c r="D5" i="3"/>
  <c r="D18" i="3"/>
  <c r="D19" i="3"/>
  <c r="D7" i="3"/>
  <c r="D24" i="3"/>
  <c r="D39" i="3"/>
  <c r="D25" i="3"/>
  <c r="D26" i="3"/>
  <c r="D27" i="3"/>
  <c r="D41" i="3"/>
  <c r="D3" i="3"/>
  <c r="D2" i="3"/>
  <c r="D11" i="3"/>
  <c r="D28" i="3"/>
  <c r="D30" i="3"/>
  <c r="D31" i="3"/>
  <c r="D12" i="3"/>
  <c r="D13" i="3"/>
  <c r="D20" i="3"/>
  <c r="D21" i="3"/>
  <c r="D15" i="3"/>
  <c r="D35" i="3"/>
  <c r="D17" i="3"/>
  <c r="D22" i="3"/>
  <c r="BA32" i="5"/>
  <c r="AZ32" i="5"/>
  <c r="AY32" i="5"/>
  <c r="AX32" i="5"/>
  <c r="AW32" i="5"/>
  <c r="AV32" i="5"/>
  <c r="AU32" i="5"/>
  <c r="AT32" i="5"/>
  <c r="AS32" i="5"/>
  <c r="AR32" i="5"/>
  <c r="AQ32" i="5"/>
  <c r="AP32" i="5"/>
  <c r="AO32" i="5"/>
  <c r="AN32" i="5"/>
  <c r="AM32" i="5"/>
  <c r="AL32" i="5"/>
  <c r="AK32" i="5"/>
  <c r="AJ32" i="5"/>
  <c r="AI32" i="5"/>
  <c r="AH32" i="5"/>
  <c r="Q49" i="2" l="1"/>
  <c r="J65" i="5" s="1"/>
  <c r="P49" i="2"/>
  <c r="I65" i="5" s="1"/>
  <c r="AA49" i="2"/>
  <c r="T65" i="5" s="1"/>
  <c r="AD49" i="2"/>
  <c r="W65" i="5" s="1"/>
  <c r="V49" i="2"/>
  <c r="O65" i="5" s="1"/>
  <c r="AE49" i="2"/>
  <c r="X65" i="5" s="1"/>
  <c r="AC49" i="2"/>
  <c r="V65" i="5" s="1"/>
  <c r="U49" i="2"/>
  <c r="N65" i="5" s="1"/>
  <c r="O49" i="2"/>
  <c r="H65" i="5" s="1"/>
  <c r="W49" i="2"/>
  <c r="P65" i="5" s="1"/>
  <c r="AB49" i="2"/>
  <c r="U65" i="5" s="1"/>
  <c r="T49" i="2"/>
  <c r="M65" i="5" s="1"/>
  <c r="R49" i="2"/>
  <c r="K65" i="5" s="1"/>
  <c r="Y49" i="2"/>
  <c r="R65" i="5" s="1"/>
  <c r="S49" i="2"/>
  <c r="L65" i="5" s="1"/>
  <c r="Z49" i="2"/>
  <c r="S65" i="5" s="1"/>
  <c r="X49" i="2"/>
  <c r="Q65" i="5" s="1"/>
  <c r="I49" i="2"/>
  <c r="E65" i="5" s="1"/>
  <c r="H49" i="2"/>
  <c r="D65" i="5" s="1"/>
  <c r="K49" i="2"/>
  <c r="G65" i="5" s="1"/>
  <c r="C14" i="2"/>
  <c r="D47" i="5"/>
  <c r="C47" i="6" s="1"/>
  <c r="G47" i="6" s="1"/>
  <c r="C13" i="2"/>
  <c r="D46" i="5"/>
  <c r="C46" i="6" s="1"/>
  <c r="G46" i="6" s="1"/>
  <c r="C29" i="2"/>
  <c r="D10" i="5"/>
  <c r="C10" i="6" s="1"/>
  <c r="G10" i="6" s="1"/>
  <c r="C6" i="2"/>
  <c r="D39" i="5"/>
  <c r="C7" i="2"/>
  <c r="D40" i="5"/>
  <c r="C40" i="6" s="1"/>
  <c r="G40" i="6" s="1"/>
  <c r="C22" i="2"/>
  <c r="D34" i="5"/>
  <c r="C34" i="6" s="1"/>
  <c r="G34" i="6" s="1"/>
  <c r="D44" i="5"/>
  <c r="C11" i="2"/>
  <c r="D54" i="5"/>
  <c r="C54" i="6" s="1"/>
  <c r="G54" i="6" s="1"/>
  <c r="C17" i="2"/>
  <c r="C41" i="2"/>
  <c r="D26" i="5"/>
  <c r="C26" i="6" s="1"/>
  <c r="G26" i="6" s="1"/>
  <c r="D31" i="5"/>
  <c r="C31" i="6" s="1"/>
  <c r="G31" i="6" s="1"/>
  <c r="C19" i="2"/>
  <c r="C40" i="2"/>
  <c r="D25" i="5"/>
  <c r="C25" i="6" s="1"/>
  <c r="G25" i="6" s="1"/>
  <c r="C20" i="2"/>
  <c r="D32" i="5"/>
  <c r="C32" i="6" s="1"/>
  <c r="G32" i="6" s="1"/>
  <c r="D12" i="5"/>
  <c r="C6" i="18"/>
  <c r="D6" i="18" s="1"/>
  <c r="D8" i="5"/>
  <c r="C8" i="6" s="1"/>
  <c r="G8" i="6" s="1"/>
  <c r="C27" i="2"/>
  <c r="D21" i="5"/>
  <c r="C36" i="2"/>
  <c r="C18" i="2"/>
  <c r="D30" i="5"/>
  <c r="C31" i="2"/>
  <c r="D13" i="5"/>
  <c r="C13" i="6" s="1"/>
  <c r="G13" i="6" s="1"/>
  <c r="C37" i="2"/>
  <c r="D22" i="5"/>
  <c r="C22" i="6" s="1"/>
  <c r="G22" i="6" s="1"/>
  <c r="D23" i="5"/>
  <c r="C23" i="6" s="1"/>
  <c r="G23" i="6" s="1"/>
  <c r="C38" i="2"/>
  <c r="C39" i="2"/>
  <c r="D24" i="5"/>
  <c r="C24" i="6" s="1"/>
  <c r="G24" i="6" s="1"/>
  <c r="C35" i="2"/>
  <c r="D20" i="5"/>
  <c r="C20" i="6" s="1"/>
  <c r="G20" i="6" s="1"/>
  <c r="C5" i="2"/>
  <c r="D55" i="5"/>
  <c r="C55" i="6" s="1"/>
  <c r="G55" i="6" s="1"/>
  <c r="C16" i="2"/>
  <c r="D53" i="5"/>
  <c r="C53" i="6" s="1"/>
  <c r="G53" i="6" s="1"/>
  <c r="D6" i="5"/>
  <c r="C6" i="6" s="1"/>
  <c r="G6" i="6" s="1"/>
  <c r="C25" i="2"/>
  <c r="C33" i="2"/>
  <c r="D18" i="5"/>
  <c r="C18" i="6" s="1"/>
  <c r="G18" i="6" s="1"/>
  <c r="C21" i="2"/>
  <c r="D33" i="5"/>
  <c r="C33" i="6" s="1"/>
  <c r="G33" i="6" s="1"/>
  <c r="C24" i="2"/>
  <c r="D5" i="5"/>
  <c r="D9" i="5"/>
  <c r="C9" i="6" s="1"/>
  <c r="G9" i="6" s="1"/>
  <c r="C28" i="2"/>
  <c r="D11" i="5"/>
  <c r="C11" i="6" s="1"/>
  <c r="G11" i="6" s="1"/>
  <c r="C30" i="2"/>
  <c r="C34" i="2"/>
  <c r="D19" i="5"/>
  <c r="C19" i="6" s="1"/>
  <c r="G19" i="6" s="1"/>
  <c r="C23" i="2"/>
  <c r="D35" i="5"/>
  <c r="C35" i="6" s="1"/>
  <c r="G35" i="6" s="1"/>
  <c r="D45" i="5"/>
  <c r="C45" i="6" s="1"/>
  <c r="G45" i="6" s="1"/>
  <c r="C12" i="2"/>
  <c r="C15" i="2"/>
  <c r="D52" i="5"/>
  <c r="C10" i="2"/>
  <c r="D43" i="5"/>
  <c r="C32" i="2"/>
  <c r="D17" i="5"/>
  <c r="C17" i="6" s="1"/>
  <c r="G17" i="6" s="1"/>
  <c r="U51" i="6"/>
  <c r="X51" i="6"/>
  <c r="M51" i="6"/>
  <c r="P51" i="6"/>
  <c r="V51" i="6"/>
  <c r="H51" i="6"/>
  <c r="K51" i="6"/>
  <c r="W51" i="6"/>
  <c r="I51" i="6"/>
  <c r="S51" i="6"/>
  <c r="Q51" i="6"/>
  <c r="N51" i="6"/>
  <c r="T51" i="6"/>
  <c r="R51" i="6"/>
  <c r="L51" i="6"/>
  <c r="J51" i="6"/>
  <c r="O51" i="6"/>
  <c r="Y51" i="6"/>
  <c r="E51" i="6"/>
  <c r="F51" i="6"/>
  <c r="BA55" i="5"/>
  <c r="AZ55" i="5"/>
  <c r="AY55" i="5"/>
  <c r="AX55" i="5"/>
  <c r="AW55" i="5"/>
  <c r="AV55" i="5"/>
  <c r="AU55" i="5"/>
  <c r="AT55" i="5"/>
  <c r="AS55" i="5"/>
  <c r="AR55" i="5"/>
  <c r="AQ55" i="5"/>
  <c r="AP55" i="5"/>
  <c r="AO55" i="5"/>
  <c r="AN55" i="5"/>
  <c r="AM55" i="5"/>
  <c r="AL55" i="5"/>
  <c r="AK55" i="5"/>
  <c r="AJ55" i="5"/>
  <c r="AI55" i="5"/>
  <c r="AH55" i="5"/>
  <c r="AM54" i="5"/>
  <c r="AL54" i="5"/>
  <c r="AK54" i="5"/>
  <c r="AJ54" i="5"/>
  <c r="AI54" i="5"/>
  <c r="AH54" i="5"/>
  <c r="BA53" i="5"/>
  <c r="AZ53" i="5"/>
  <c r="AY53" i="5"/>
  <c r="AX53" i="5"/>
  <c r="AW53" i="5"/>
  <c r="AV53" i="5"/>
  <c r="AU53" i="5"/>
  <c r="AT53" i="5"/>
  <c r="AS53" i="5"/>
  <c r="AR53" i="5"/>
  <c r="AQ53" i="5"/>
  <c r="AP53" i="5"/>
  <c r="AO53" i="5"/>
  <c r="AN53" i="5"/>
  <c r="AM53" i="5"/>
  <c r="AL53" i="5"/>
  <c r="AK53" i="5"/>
  <c r="AJ53" i="5"/>
  <c r="AI53" i="5"/>
  <c r="AH53" i="5"/>
  <c r="BA52" i="5"/>
  <c r="AZ52" i="5"/>
  <c r="AY52" i="5"/>
  <c r="AX52" i="5"/>
  <c r="AW52" i="5"/>
  <c r="AV52" i="5"/>
  <c r="AU52" i="5"/>
  <c r="AT52" i="5"/>
  <c r="AS52" i="5"/>
  <c r="AR52" i="5"/>
  <c r="AQ52" i="5"/>
  <c r="AP52" i="5"/>
  <c r="AO52" i="5"/>
  <c r="AN52" i="5"/>
  <c r="AM52" i="5"/>
  <c r="AL52" i="5"/>
  <c r="AK52" i="5"/>
  <c r="AJ52" i="5"/>
  <c r="AI52" i="5"/>
  <c r="AH52" i="5"/>
  <c r="BA47" i="5"/>
  <c r="AZ47" i="5"/>
  <c r="AY47" i="5"/>
  <c r="AX47" i="5"/>
  <c r="AW47" i="5"/>
  <c r="AV47" i="5"/>
  <c r="AU47" i="5"/>
  <c r="AT47" i="5"/>
  <c r="AS47" i="5"/>
  <c r="AR47" i="5"/>
  <c r="AQ47" i="5"/>
  <c r="AP47" i="5"/>
  <c r="AO47" i="5"/>
  <c r="AN47" i="5"/>
  <c r="AM47" i="5"/>
  <c r="AL47" i="5"/>
  <c r="AK47" i="5"/>
  <c r="AJ47" i="5"/>
  <c r="AI47" i="5"/>
  <c r="AH47" i="5"/>
  <c r="BA46" i="5"/>
  <c r="AZ46" i="5"/>
  <c r="AY46" i="5"/>
  <c r="AX46" i="5"/>
  <c r="AW46" i="5"/>
  <c r="AV46" i="5"/>
  <c r="AU46" i="5"/>
  <c r="AT46" i="5"/>
  <c r="AS46" i="5"/>
  <c r="AR46" i="5"/>
  <c r="AQ46" i="5"/>
  <c r="AP46" i="5"/>
  <c r="AO46" i="5"/>
  <c r="AN46" i="5"/>
  <c r="AM46" i="5"/>
  <c r="AL46" i="5"/>
  <c r="AK46" i="5"/>
  <c r="AJ46" i="5"/>
  <c r="AI46" i="5"/>
  <c r="AH46" i="5"/>
  <c r="BA45" i="5"/>
  <c r="AZ45" i="5"/>
  <c r="AY45" i="5"/>
  <c r="AX45" i="5"/>
  <c r="AW45" i="5"/>
  <c r="AV45" i="5"/>
  <c r="AU45" i="5"/>
  <c r="AT45" i="5"/>
  <c r="AS45" i="5"/>
  <c r="AR45" i="5"/>
  <c r="AQ45" i="5"/>
  <c r="AP45" i="5"/>
  <c r="AO45" i="5"/>
  <c r="AN45" i="5"/>
  <c r="AM45" i="5"/>
  <c r="AL45" i="5"/>
  <c r="AK45" i="5"/>
  <c r="AJ45" i="5"/>
  <c r="AI45" i="5"/>
  <c r="AH45" i="5"/>
  <c r="BA44" i="5"/>
  <c r="AZ44" i="5"/>
  <c r="AY44" i="5"/>
  <c r="AX44" i="5"/>
  <c r="AW44" i="5"/>
  <c r="AV44" i="5"/>
  <c r="AU44" i="5"/>
  <c r="AT44" i="5"/>
  <c r="AS44" i="5"/>
  <c r="AR44" i="5"/>
  <c r="AQ44" i="5"/>
  <c r="AP44" i="5"/>
  <c r="AO44" i="5"/>
  <c r="AN44" i="5"/>
  <c r="AM44" i="5"/>
  <c r="AL44" i="5"/>
  <c r="AK44" i="5"/>
  <c r="AJ44" i="5"/>
  <c r="AI44" i="5"/>
  <c r="AH44" i="5"/>
  <c r="AM43" i="5"/>
  <c r="AL43" i="5"/>
  <c r="AK43" i="5"/>
  <c r="AJ43" i="5"/>
  <c r="AI43" i="5"/>
  <c r="AH43" i="5"/>
  <c r="BA42" i="5"/>
  <c r="AZ42" i="5"/>
  <c r="AY42" i="5"/>
  <c r="AX42" i="5"/>
  <c r="AW42" i="5"/>
  <c r="AV42" i="5"/>
  <c r="AU42" i="5"/>
  <c r="AT42" i="5"/>
  <c r="AS42" i="5"/>
  <c r="AR42" i="5"/>
  <c r="AQ42" i="5"/>
  <c r="AP42" i="5"/>
  <c r="AO42" i="5"/>
  <c r="AN42" i="5"/>
  <c r="AM42" i="5"/>
  <c r="AL42" i="5"/>
  <c r="AK42" i="5"/>
  <c r="AJ42" i="5"/>
  <c r="AI42" i="5"/>
  <c r="AH42" i="5"/>
  <c r="AM41" i="5"/>
  <c r="AL41" i="5"/>
  <c r="AK41" i="5"/>
  <c r="AJ41" i="5"/>
  <c r="AI41" i="5"/>
  <c r="AH41" i="5"/>
  <c r="AM40" i="5"/>
  <c r="AL40" i="5"/>
  <c r="AK40" i="5"/>
  <c r="AJ40" i="5"/>
  <c r="AI40" i="5"/>
  <c r="AH40" i="5"/>
  <c r="BA39" i="5"/>
  <c r="AZ39" i="5"/>
  <c r="AY39" i="5"/>
  <c r="AX39" i="5"/>
  <c r="AW39" i="5"/>
  <c r="AV39" i="5"/>
  <c r="AU39" i="5"/>
  <c r="AT39" i="5"/>
  <c r="AS39" i="5"/>
  <c r="AR39" i="5"/>
  <c r="AQ39" i="5"/>
  <c r="AP39" i="5"/>
  <c r="AO39" i="5"/>
  <c r="AN39" i="5"/>
  <c r="AM39" i="5"/>
  <c r="AL39" i="5"/>
  <c r="AK39" i="5"/>
  <c r="AJ39" i="5"/>
  <c r="AI39" i="5"/>
  <c r="AH39" i="5"/>
  <c r="BA35" i="5"/>
  <c r="BA34" i="5"/>
  <c r="BA33" i="5"/>
  <c r="BA31" i="5"/>
  <c r="AZ35" i="5"/>
  <c r="AY35" i="5"/>
  <c r="AX35" i="5"/>
  <c r="AW35" i="5"/>
  <c r="AV35" i="5"/>
  <c r="AU35" i="5"/>
  <c r="AT35" i="5"/>
  <c r="AS35" i="5"/>
  <c r="AR35" i="5"/>
  <c r="AQ35" i="5"/>
  <c r="AP35" i="5"/>
  <c r="AO35" i="5"/>
  <c r="AN35" i="5"/>
  <c r="AM35" i="5"/>
  <c r="AL35" i="5"/>
  <c r="AK35" i="5"/>
  <c r="AJ35" i="5"/>
  <c r="AI35" i="5"/>
  <c r="AH35" i="5"/>
  <c r="AZ34" i="5"/>
  <c r="AY34" i="5"/>
  <c r="AX34" i="5"/>
  <c r="AW34" i="5"/>
  <c r="AV34" i="5"/>
  <c r="AU34" i="5"/>
  <c r="AT34" i="5"/>
  <c r="AS34" i="5"/>
  <c r="AR34" i="5"/>
  <c r="AQ34" i="5"/>
  <c r="AP34" i="5"/>
  <c r="AO34" i="5"/>
  <c r="AN34" i="5"/>
  <c r="AM34" i="5"/>
  <c r="AL34" i="5"/>
  <c r="AK34" i="5"/>
  <c r="AJ34" i="5"/>
  <c r="AI34" i="5"/>
  <c r="AH34" i="5"/>
  <c r="AZ33" i="5"/>
  <c r="AY33" i="5"/>
  <c r="AX33" i="5"/>
  <c r="AW33" i="5"/>
  <c r="AV33" i="5"/>
  <c r="AU33" i="5"/>
  <c r="AT33" i="5"/>
  <c r="AS33" i="5"/>
  <c r="AR33" i="5"/>
  <c r="AQ33" i="5"/>
  <c r="AP33" i="5"/>
  <c r="AO33" i="5"/>
  <c r="AN33" i="5"/>
  <c r="AM33" i="5"/>
  <c r="AL33" i="5"/>
  <c r="AK33" i="5"/>
  <c r="AJ33" i="5"/>
  <c r="AI33" i="5"/>
  <c r="AH33" i="5"/>
  <c r="AZ31" i="5"/>
  <c r="AY31" i="5"/>
  <c r="AX31" i="5"/>
  <c r="AW31" i="5"/>
  <c r="AV31" i="5"/>
  <c r="AU31" i="5"/>
  <c r="AT31" i="5"/>
  <c r="AS31" i="5"/>
  <c r="AR31" i="5"/>
  <c r="AQ31" i="5"/>
  <c r="AP31" i="5"/>
  <c r="AO31" i="5"/>
  <c r="AN31" i="5"/>
  <c r="AM31" i="5"/>
  <c r="AL31" i="5"/>
  <c r="AK31" i="5"/>
  <c r="AJ31" i="5"/>
  <c r="AI31" i="5"/>
  <c r="AH31" i="5"/>
  <c r="AM30" i="5"/>
  <c r="AL30" i="5"/>
  <c r="AK30" i="5"/>
  <c r="AJ30" i="5"/>
  <c r="AI30" i="5"/>
  <c r="AH30" i="5"/>
  <c r="BA26" i="5"/>
  <c r="AZ26" i="5"/>
  <c r="AY26" i="5"/>
  <c r="AX26" i="5"/>
  <c r="AW26" i="5"/>
  <c r="AV26" i="5"/>
  <c r="AU26" i="5"/>
  <c r="AT26" i="5"/>
  <c r="AS26" i="5"/>
  <c r="AR26" i="5"/>
  <c r="AQ26" i="5"/>
  <c r="AP26" i="5"/>
  <c r="AO26" i="5"/>
  <c r="AN26" i="5"/>
  <c r="AM26" i="5"/>
  <c r="AL26" i="5"/>
  <c r="AK26" i="5"/>
  <c r="AJ26" i="5"/>
  <c r="AI26" i="5"/>
  <c r="AH26" i="5"/>
  <c r="AM25" i="5"/>
  <c r="AL25" i="5"/>
  <c r="AK25" i="5"/>
  <c r="AJ25" i="5"/>
  <c r="AI25" i="5"/>
  <c r="AH25" i="5"/>
  <c r="BA24" i="5"/>
  <c r="AZ24" i="5"/>
  <c r="AY24" i="5"/>
  <c r="AX24" i="5"/>
  <c r="AW24" i="5"/>
  <c r="AV24" i="5"/>
  <c r="AU24" i="5"/>
  <c r="AT24" i="5"/>
  <c r="AS24" i="5"/>
  <c r="AR24" i="5"/>
  <c r="AQ24" i="5"/>
  <c r="AP24" i="5"/>
  <c r="AO24" i="5"/>
  <c r="AN24" i="5"/>
  <c r="AM24" i="5"/>
  <c r="AL24" i="5"/>
  <c r="AK24" i="5"/>
  <c r="AJ24" i="5"/>
  <c r="AI24" i="5"/>
  <c r="AH24" i="5"/>
  <c r="BA23" i="5"/>
  <c r="AZ23" i="5"/>
  <c r="AY23" i="5"/>
  <c r="AX23" i="5"/>
  <c r="AW23" i="5"/>
  <c r="AV23" i="5"/>
  <c r="AU23" i="5"/>
  <c r="AT23" i="5"/>
  <c r="AS23" i="5"/>
  <c r="AR23" i="5"/>
  <c r="AQ23" i="5"/>
  <c r="AP23" i="5"/>
  <c r="AO23" i="5"/>
  <c r="AN23" i="5"/>
  <c r="AM23" i="5"/>
  <c r="AL23" i="5"/>
  <c r="AK23" i="5"/>
  <c r="AJ23" i="5"/>
  <c r="AI23" i="5"/>
  <c r="AH23" i="5"/>
  <c r="BA22" i="5"/>
  <c r="AZ22" i="5"/>
  <c r="AY22" i="5"/>
  <c r="AX22" i="5"/>
  <c r="AW22" i="5"/>
  <c r="AV22" i="5"/>
  <c r="AU22" i="5"/>
  <c r="AT22" i="5"/>
  <c r="AS22" i="5"/>
  <c r="AR22" i="5"/>
  <c r="AQ22" i="5"/>
  <c r="AP22" i="5"/>
  <c r="AO22" i="5"/>
  <c r="AN22" i="5"/>
  <c r="AM22" i="5"/>
  <c r="AL22" i="5"/>
  <c r="AK22" i="5"/>
  <c r="AJ22" i="5"/>
  <c r="AI22" i="5"/>
  <c r="AH22" i="5"/>
  <c r="BA21" i="5"/>
  <c r="AZ21" i="5"/>
  <c r="AY21" i="5"/>
  <c r="AX21" i="5"/>
  <c r="AW21" i="5"/>
  <c r="AV21" i="5"/>
  <c r="AU21" i="5"/>
  <c r="AT21" i="5"/>
  <c r="AS21" i="5"/>
  <c r="AR21" i="5"/>
  <c r="AQ21" i="5"/>
  <c r="AP21" i="5"/>
  <c r="AO21" i="5"/>
  <c r="AN21" i="5"/>
  <c r="AM21" i="5"/>
  <c r="AL21" i="5"/>
  <c r="AK21" i="5"/>
  <c r="AJ21" i="5"/>
  <c r="AI21" i="5"/>
  <c r="AH21" i="5"/>
  <c r="AM20" i="5"/>
  <c r="AL20" i="5"/>
  <c r="AK20" i="5"/>
  <c r="AJ20" i="5"/>
  <c r="AI20" i="5"/>
  <c r="AH20" i="5"/>
  <c r="BA19" i="5"/>
  <c r="AZ19" i="5"/>
  <c r="AY19" i="5"/>
  <c r="AX19" i="5"/>
  <c r="AW19" i="5"/>
  <c r="AV19" i="5"/>
  <c r="AU19" i="5"/>
  <c r="AT19" i="5"/>
  <c r="AS19" i="5"/>
  <c r="AR19" i="5"/>
  <c r="AQ19" i="5"/>
  <c r="AP19" i="5"/>
  <c r="AO19" i="5"/>
  <c r="AN19" i="5"/>
  <c r="AM19" i="5"/>
  <c r="AL19" i="5"/>
  <c r="AK19" i="5"/>
  <c r="AJ19" i="5"/>
  <c r="AI19" i="5"/>
  <c r="AH19" i="5"/>
  <c r="BA18" i="5"/>
  <c r="AZ18" i="5"/>
  <c r="AY18" i="5"/>
  <c r="AX18" i="5"/>
  <c r="AW18" i="5"/>
  <c r="AV18" i="5"/>
  <c r="AU18" i="5"/>
  <c r="AT18" i="5"/>
  <c r="AS18" i="5"/>
  <c r="AR18" i="5"/>
  <c r="AQ18" i="5"/>
  <c r="AP18" i="5"/>
  <c r="AO18" i="5"/>
  <c r="AN18" i="5"/>
  <c r="AM18" i="5"/>
  <c r="AL18" i="5"/>
  <c r="AK18" i="5"/>
  <c r="AJ18" i="5"/>
  <c r="AI18" i="5"/>
  <c r="AH18" i="5"/>
  <c r="AM17" i="5"/>
  <c r="AL17" i="5"/>
  <c r="AK17" i="5"/>
  <c r="AJ17" i="5"/>
  <c r="AI17" i="5"/>
  <c r="AH17" i="5"/>
  <c r="BA13" i="5"/>
  <c r="AZ13" i="5"/>
  <c r="AY13" i="5"/>
  <c r="AX13" i="5"/>
  <c r="AW13" i="5"/>
  <c r="AV13" i="5"/>
  <c r="AU13" i="5"/>
  <c r="AT13" i="5"/>
  <c r="AS13" i="5"/>
  <c r="AR13" i="5"/>
  <c r="AQ13" i="5"/>
  <c r="AP13" i="5"/>
  <c r="AO13" i="5"/>
  <c r="AN13" i="5"/>
  <c r="AM13" i="5"/>
  <c r="AL13" i="5"/>
  <c r="AK13" i="5"/>
  <c r="AJ13" i="5"/>
  <c r="AI13" i="5"/>
  <c r="AH13" i="5"/>
  <c r="BA11" i="5"/>
  <c r="AZ11" i="5"/>
  <c r="AY11" i="5"/>
  <c r="AX11" i="5"/>
  <c r="AW11" i="5"/>
  <c r="AV11" i="5"/>
  <c r="AU11" i="5"/>
  <c r="AT11" i="5"/>
  <c r="AS11" i="5"/>
  <c r="AR11" i="5"/>
  <c r="AQ11" i="5"/>
  <c r="AP11" i="5"/>
  <c r="AO11" i="5"/>
  <c r="AN11" i="5"/>
  <c r="AM11" i="5"/>
  <c r="AL11" i="5"/>
  <c r="AK11" i="5"/>
  <c r="AJ11" i="5"/>
  <c r="AI11" i="5"/>
  <c r="AH11" i="5"/>
  <c r="BA10" i="5"/>
  <c r="AZ10" i="5"/>
  <c r="AY10" i="5"/>
  <c r="AX10" i="5"/>
  <c r="AW10" i="5"/>
  <c r="AV10" i="5"/>
  <c r="AU10" i="5"/>
  <c r="AT10" i="5"/>
  <c r="AS10" i="5"/>
  <c r="AR10" i="5"/>
  <c r="AQ10" i="5"/>
  <c r="AP10" i="5"/>
  <c r="AO10" i="5"/>
  <c r="AN10" i="5"/>
  <c r="AM10" i="5"/>
  <c r="AL10" i="5"/>
  <c r="AK10" i="5"/>
  <c r="AJ10" i="5"/>
  <c r="AI10" i="5"/>
  <c r="AH10" i="5"/>
  <c r="BA9" i="5"/>
  <c r="AZ9" i="5"/>
  <c r="AY9" i="5"/>
  <c r="AX9" i="5"/>
  <c r="AW9" i="5"/>
  <c r="AV9" i="5"/>
  <c r="AU9" i="5"/>
  <c r="AT9" i="5"/>
  <c r="AS9" i="5"/>
  <c r="AR9" i="5"/>
  <c r="AQ9" i="5"/>
  <c r="AP9" i="5"/>
  <c r="AO9" i="5"/>
  <c r="AN9" i="5"/>
  <c r="AM9" i="5"/>
  <c r="AL9" i="5"/>
  <c r="AK9" i="5"/>
  <c r="AJ9" i="5"/>
  <c r="AI9" i="5"/>
  <c r="AH9" i="5"/>
  <c r="BA8" i="5"/>
  <c r="AZ8" i="5"/>
  <c r="AY8" i="5"/>
  <c r="AX8" i="5"/>
  <c r="AW8" i="5"/>
  <c r="AV8" i="5"/>
  <c r="AU8" i="5"/>
  <c r="AT8" i="5"/>
  <c r="AS8" i="5"/>
  <c r="AR8" i="5"/>
  <c r="AQ8" i="5"/>
  <c r="AP8" i="5"/>
  <c r="AO8" i="5"/>
  <c r="AN8" i="5"/>
  <c r="AM8" i="5"/>
  <c r="AL8" i="5"/>
  <c r="AK8" i="5"/>
  <c r="AJ8" i="5"/>
  <c r="AI8" i="5"/>
  <c r="AH8" i="5"/>
  <c r="BA6" i="5"/>
  <c r="AZ6" i="5"/>
  <c r="AY6" i="5"/>
  <c r="AX6" i="5"/>
  <c r="AW6" i="5"/>
  <c r="AV6" i="5"/>
  <c r="AU6" i="5"/>
  <c r="AT6" i="5"/>
  <c r="AS6" i="5"/>
  <c r="AR6" i="5"/>
  <c r="AQ6" i="5"/>
  <c r="AP6" i="5"/>
  <c r="AO6" i="5"/>
  <c r="AN6" i="5"/>
  <c r="AM6" i="5"/>
  <c r="AL6" i="5"/>
  <c r="AK6" i="5"/>
  <c r="AJ6" i="5"/>
  <c r="AI6" i="5"/>
  <c r="AH6" i="5"/>
  <c r="BA5" i="5"/>
  <c r="AZ5" i="5"/>
  <c r="AY5" i="5"/>
  <c r="AX5" i="5"/>
  <c r="AW5" i="5"/>
  <c r="AV5" i="5"/>
  <c r="AU5" i="5"/>
  <c r="AT5" i="5"/>
  <c r="AS5" i="5"/>
  <c r="AR5" i="5"/>
  <c r="AQ5" i="5"/>
  <c r="AP5" i="5"/>
  <c r="AO5" i="5"/>
  <c r="AN5" i="5"/>
  <c r="AM5" i="5"/>
  <c r="AL5" i="5"/>
  <c r="AK5" i="5"/>
  <c r="AJ5" i="5"/>
  <c r="AI5" i="5"/>
  <c r="AH5" i="5"/>
  <c r="AF7" i="5" l="1"/>
  <c r="AF53" i="5"/>
  <c r="AF10" i="5"/>
  <c r="AF55" i="5"/>
  <c r="AF21" i="5"/>
  <c r="C30" i="6"/>
  <c r="G30" i="6" s="1"/>
  <c r="AG30" i="6" s="1"/>
  <c r="D36" i="5"/>
  <c r="V32" i="6"/>
  <c r="H32" i="6"/>
  <c r="T32" i="6"/>
  <c r="N32" i="6"/>
  <c r="Y32" i="6"/>
  <c r="L32" i="6"/>
  <c r="E32" i="6"/>
  <c r="Q32" i="6"/>
  <c r="U32" i="6"/>
  <c r="F32" i="6"/>
  <c r="J32" i="6"/>
  <c r="R32" i="6"/>
  <c r="W32" i="6"/>
  <c r="S32" i="6"/>
  <c r="M32" i="6"/>
  <c r="K32" i="6"/>
  <c r="X32" i="6"/>
  <c r="P32" i="6"/>
  <c r="I32" i="6"/>
  <c r="O32" i="6"/>
  <c r="C39" i="6"/>
  <c r="G39" i="6" s="1"/>
  <c r="AF22" i="5"/>
  <c r="AF25" i="5"/>
  <c r="P45" i="6"/>
  <c r="K45" i="6"/>
  <c r="M45" i="6"/>
  <c r="E45" i="6"/>
  <c r="H45" i="6"/>
  <c r="T45" i="6"/>
  <c r="W45" i="6"/>
  <c r="S45" i="6"/>
  <c r="Y45" i="6"/>
  <c r="L45" i="6"/>
  <c r="Q45" i="6"/>
  <c r="U45" i="6"/>
  <c r="I45" i="6"/>
  <c r="O45" i="6"/>
  <c r="R45" i="6"/>
  <c r="V45" i="6"/>
  <c r="F45" i="6"/>
  <c r="J45" i="6"/>
  <c r="N45" i="6"/>
  <c r="X45" i="6"/>
  <c r="R9" i="6"/>
  <c r="V9" i="6"/>
  <c r="H9" i="6"/>
  <c r="J9" i="6"/>
  <c r="N9" i="6"/>
  <c r="Y9" i="6"/>
  <c r="S9" i="6"/>
  <c r="E9" i="6"/>
  <c r="Q9" i="6"/>
  <c r="L9" i="6"/>
  <c r="F9" i="6"/>
  <c r="T9" i="6"/>
  <c r="W9" i="6"/>
  <c r="O9" i="6"/>
  <c r="U9" i="6"/>
  <c r="M9" i="6"/>
  <c r="X9" i="6"/>
  <c r="K9" i="6"/>
  <c r="I9" i="6"/>
  <c r="P9" i="6"/>
  <c r="V6" i="6"/>
  <c r="H6" i="6"/>
  <c r="T6" i="6"/>
  <c r="W6" i="6"/>
  <c r="I6" i="6"/>
  <c r="N6" i="6"/>
  <c r="Y6" i="6"/>
  <c r="L6" i="6"/>
  <c r="M6" i="6"/>
  <c r="E6" i="6"/>
  <c r="Q6" i="6"/>
  <c r="U6" i="6"/>
  <c r="F6" i="6"/>
  <c r="J6" i="6"/>
  <c r="O6" i="6"/>
  <c r="R6" i="6"/>
  <c r="X6" i="6"/>
  <c r="S6" i="6"/>
  <c r="P6" i="6"/>
  <c r="K6" i="6"/>
  <c r="I54" i="6"/>
  <c r="F54" i="6"/>
  <c r="J54" i="6"/>
  <c r="H54" i="6"/>
  <c r="E54" i="6"/>
  <c r="AF9" i="5"/>
  <c r="AF33" i="5"/>
  <c r="AF17" i="5"/>
  <c r="H17" i="6"/>
  <c r="E17" i="6"/>
  <c r="K17" i="6"/>
  <c r="I17" i="6"/>
  <c r="F17" i="6"/>
  <c r="J17" i="6"/>
  <c r="R35" i="6"/>
  <c r="V35" i="6"/>
  <c r="H35" i="6"/>
  <c r="J35" i="6"/>
  <c r="N35" i="6"/>
  <c r="Y35" i="6"/>
  <c r="S35" i="6"/>
  <c r="E35" i="6"/>
  <c r="Q35" i="6"/>
  <c r="L35" i="6"/>
  <c r="F35" i="6"/>
  <c r="T35" i="6"/>
  <c r="W35" i="6"/>
  <c r="U35" i="6"/>
  <c r="O35" i="6"/>
  <c r="M35" i="6"/>
  <c r="X35" i="6"/>
  <c r="K35" i="6"/>
  <c r="I35" i="6"/>
  <c r="P35" i="6"/>
  <c r="D14" i="5"/>
  <c r="C5" i="6"/>
  <c r="G5" i="6" s="1"/>
  <c r="U53" i="6"/>
  <c r="X53" i="6"/>
  <c r="M53" i="6"/>
  <c r="P53" i="6"/>
  <c r="V53" i="6"/>
  <c r="H53" i="6"/>
  <c r="W53" i="6"/>
  <c r="I53" i="6"/>
  <c r="S53" i="6"/>
  <c r="Q53" i="6"/>
  <c r="N53" i="6"/>
  <c r="T53" i="6"/>
  <c r="R53" i="6"/>
  <c r="E53" i="6"/>
  <c r="L53" i="6"/>
  <c r="J53" i="6"/>
  <c r="O53" i="6"/>
  <c r="Y53" i="6"/>
  <c r="F53" i="6"/>
  <c r="F25" i="6"/>
  <c r="J25" i="6"/>
  <c r="E25" i="6"/>
  <c r="H25" i="6"/>
  <c r="I25" i="6"/>
  <c r="K25" i="6"/>
  <c r="O10" i="6"/>
  <c r="R10" i="6"/>
  <c r="F10" i="6"/>
  <c r="J10" i="6"/>
  <c r="X10" i="6"/>
  <c r="S10" i="6"/>
  <c r="N10" i="6"/>
  <c r="Y10" i="6"/>
  <c r="L10" i="6"/>
  <c r="H10" i="6"/>
  <c r="Q10" i="6"/>
  <c r="K10" i="6"/>
  <c r="V10" i="6"/>
  <c r="T10" i="6"/>
  <c r="I10" i="6"/>
  <c r="E10" i="6"/>
  <c r="U10" i="6"/>
  <c r="P10" i="6"/>
  <c r="W10" i="6"/>
  <c r="M10" i="6"/>
  <c r="AF30" i="5"/>
  <c r="AF26" i="5"/>
  <c r="V23" i="6"/>
  <c r="H23" i="6"/>
  <c r="T23" i="6"/>
  <c r="N23" i="6"/>
  <c r="Y23" i="6"/>
  <c r="L23" i="6"/>
  <c r="E23" i="6"/>
  <c r="Q23" i="6"/>
  <c r="U23" i="6"/>
  <c r="F23" i="6"/>
  <c r="J23" i="6"/>
  <c r="R23" i="6"/>
  <c r="M23" i="6"/>
  <c r="S23" i="6"/>
  <c r="W23" i="6"/>
  <c r="O23" i="6"/>
  <c r="K23" i="6"/>
  <c r="X23" i="6"/>
  <c r="P23" i="6"/>
  <c r="I23" i="6"/>
  <c r="AF23" i="5"/>
  <c r="AF5" i="5"/>
  <c r="O19" i="6"/>
  <c r="R19" i="6"/>
  <c r="F19" i="6"/>
  <c r="J19" i="6"/>
  <c r="X19" i="6"/>
  <c r="S19" i="6"/>
  <c r="N19" i="6"/>
  <c r="Y19" i="6"/>
  <c r="L19" i="6"/>
  <c r="V19" i="6"/>
  <c r="T19" i="6"/>
  <c r="E19" i="6"/>
  <c r="U19" i="6"/>
  <c r="P19" i="6"/>
  <c r="H19" i="6"/>
  <c r="W19" i="6"/>
  <c r="M19" i="6"/>
  <c r="Q19" i="6"/>
  <c r="I19" i="6"/>
  <c r="K19" i="6"/>
  <c r="R33" i="6"/>
  <c r="V33" i="6"/>
  <c r="H33" i="6"/>
  <c r="J33" i="6"/>
  <c r="N33" i="6"/>
  <c r="Y33" i="6"/>
  <c r="S33" i="6"/>
  <c r="E33" i="6"/>
  <c r="Q33" i="6"/>
  <c r="L33" i="6"/>
  <c r="F33" i="6"/>
  <c r="O33" i="6"/>
  <c r="I33" i="6"/>
  <c r="T33" i="6"/>
  <c r="X33" i="6"/>
  <c r="K33" i="6"/>
  <c r="P33" i="6"/>
  <c r="U33" i="6"/>
  <c r="W33" i="6"/>
  <c r="M33" i="6"/>
  <c r="M55" i="6"/>
  <c r="I55" i="6"/>
  <c r="U55" i="6"/>
  <c r="S55" i="6"/>
  <c r="Q55" i="6"/>
  <c r="H55" i="6"/>
  <c r="F55" i="6"/>
  <c r="V55" i="6"/>
  <c r="T55" i="6"/>
  <c r="R55" i="6"/>
  <c r="O55" i="6"/>
  <c r="J55" i="6"/>
  <c r="W55" i="6"/>
  <c r="E55" i="6"/>
  <c r="N55" i="6"/>
  <c r="Y55" i="6"/>
  <c r="P55" i="6"/>
  <c r="L55" i="6"/>
  <c r="X55" i="6"/>
  <c r="S46" i="6"/>
  <c r="E46" i="6"/>
  <c r="Q46" i="6"/>
  <c r="K46" i="6"/>
  <c r="W46" i="6"/>
  <c r="I46" i="6"/>
  <c r="T46" i="6"/>
  <c r="O46" i="6"/>
  <c r="R46" i="6"/>
  <c r="M46" i="6"/>
  <c r="P46" i="6"/>
  <c r="X46" i="6"/>
  <c r="L46" i="6"/>
  <c r="H46" i="6"/>
  <c r="J46" i="6"/>
  <c r="U46" i="6"/>
  <c r="Y46" i="6"/>
  <c r="V46" i="6"/>
  <c r="F46" i="6"/>
  <c r="N46" i="6"/>
  <c r="AF13" i="5"/>
  <c r="AF31" i="5"/>
  <c r="AF11" i="5"/>
  <c r="AF54" i="5"/>
  <c r="V8" i="6"/>
  <c r="H8" i="6"/>
  <c r="T8" i="6"/>
  <c r="N8" i="6"/>
  <c r="Y8" i="6"/>
  <c r="L8" i="6"/>
  <c r="E8" i="6"/>
  <c r="Q8" i="6"/>
  <c r="U8" i="6"/>
  <c r="F8" i="6"/>
  <c r="J8" i="6"/>
  <c r="O8" i="6"/>
  <c r="X8" i="6"/>
  <c r="I8" i="6"/>
  <c r="P8" i="6"/>
  <c r="S8" i="6"/>
  <c r="W8" i="6"/>
  <c r="R8" i="6"/>
  <c r="K8" i="6"/>
  <c r="M8" i="6"/>
  <c r="R31" i="6"/>
  <c r="V31" i="6"/>
  <c r="H31" i="6"/>
  <c r="J31" i="6"/>
  <c r="N31" i="6"/>
  <c r="Y31" i="6"/>
  <c r="S31" i="6"/>
  <c r="E31" i="6"/>
  <c r="Q31" i="6"/>
  <c r="L31" i="6"/>
  <c r="F31" i="6"/>
  <c r="O31" i="6"/>
  <c r="I31" i="6"/>
  <c r="X31" i="6"/>
  <c r="K31" i="6"/>
  <c r="P31" i="6"/>
  <c r="U31" i="6"/>
  <c r="W31" i="6"/>
  <c r="T31" i="6"/>
  <c r="M31" i="6"/>
  <c r="AF6" i="5"/>
  <c r="AF20" i="5"/>
  <c r="AF52" i="5"/>
  <c r="AF18" i="5"/>
  <c r="C52" i="6"/>
  <c r="G52" i="6" s="1"/>
  <c r="AG52" i="6" s="1"/>
  <c r="D56" i="5"/>
  <c r="T18" i="6"/>
  <c r="O18" i="6"/>
  <c r="M18" i="6"/>
  <c r="L18" i="6"/>
  <c r="F18" i="6"/>
  <c r="P18" i="6"/>
  <c r="U18" i="6"/>
  <c r="X18" i="6"/>
  <c r="J18" i="6"/>
  <c r="N18" i="6"/>
  <c r="Y18" i="6"/>
  <c r="K18" i="6"/>
  <c r="V18" i="6"/>
  <c r="W18" i="6"/>
  <c r="H18" i="6"/>
  <c r="E18" i="6"/>
  <c r="Q18" i="6"/>
  <c r="R18" i="6"/>
  <c r="I18" i="6"/>
  <c r="S18" i="6"/>
  <c r="F20" i="6"/>
  <c r="J20" i="6"/>
  <c r="E20" i="6"/>
  <c r="I20" i="6"/>
  <c r="H20" i="6"/>
  <c r="K20" i="6"/>
  <c r="R13" i="6"/>
  <c r="V13" i="6"/>
  <c r="H13" i="6"/>
  <c r="J13" i="6"/>
  <c r="N13" i="6"/>
  <c r="Y13" i="6"/>
  <c r="S13" i="6"/>
  <c r="E13" i="6"/>
  <c r="Q13" i="6"/>
  <c r="L13" i="6"/>
  <c r="F13" i="6"/>
  <c r="T13" i="6"/>
  <c r="W13" i="6"/>
  <c r="U13" i="6"/>
  <c r="O13" i="6"/>
  <c r="M13" i="6"/>
  <c r="X13" i="6"/>
  <c r="K13" i="6"/>
  <c r="I13" i="6"/>
  <c r="P13" i="6"/>
  <c r="R26" i="6"/>
  <c r="V26" i="6"/>
  <c r="H26" i="6"/>
  <c r="J26" i="6"/>
  <c r="N26" i="6"/>
  <c r="Y26" i="6"/>
  <c r="S26" i="6"/>
  <c r="E26" i="6"/>
  <c r="Q26" i="6"/>
  <c r="L26" i="6"/>
  <c r="F26" i="6"/>
  <c r="T26" i="6"/>
  <c r="U26" i="6"/>
  <c r="W26" i="6"/>
  <c r="O26" i="6"/>
  <c r="M26" i="6"/>
  <c r="X26" i="6"/>
  <c r="P26" i="6"/>
  <c r="K26" i="6"/>
  <c r="I26" i="6"/>
  <c r="F40" i="6"/>
  <c r="J40" i="6"/>
  <c r="E40" i="6"/>
  <c r="H40" i="6"/>
  <c r="I40" i="6"/>
  <c r="K40" i="6"/>
  <c r="W47" i="6"/>
  <c r="I47" i="6"/>
  <c r="M47" i="6"/>
  <c r="O47" i="6"/>
  <c r="R47" i="6"/>
  <c r="V47" i="6"/>
  <c r="F47" i="6"/>
  <c r="J47" i="6"/>
  <c r="N47" i="6"/>
  <c r="H47" i="6"/>
  <c r="T47" i="6"/>
  <c r="P47" i="6"/>
  <c r="S47" i="6"/>
  <c r="K47" i="6"/>
  <c r="Y47" i="6"/>
  <c r="Q47" i="6"/>
  <c r="L47" i="6"/>
  <c r="X47" i="6"/>
  <c r="U47" i="6"/>
  <c r="E47" i="6"/>
  <c r="T24" i="6"/>
  <c r="O24" i="6"/>
  <c r="L24" i="6"/>
  <c r="F24" i="6"/>
  <c r="U24" i="6"/>
  <c r="X24" i="6"/>
  <c r="J24" i="6"/>
  <c r="N24" i="6"/>
  <c r="Y24" i="6"/>
  <c r="R24" i="6"/>
  <c r="H24" i="6"/>
  <c r="S24" i="6"/>
  <c r="Q24" i="6"/>
  <c r="M24" i="6"/>
  <c r="V24" i="6"/>
  <c r="K24" i="6"/>
  <c r="I24" i="6"/>
  <c r="E24" i="6"/>
  <c r="P24" i="6"/>
  <c r="W24" i="6"/>
  <c r="AF34" i="5"/>
  <c r="C21" i="6"/>
  <c r="G21" i="6" s="1"/>
  <c r="AG21" i="6" s="1"/>
  <c r="D27" i="5"/>
  <c r="C44" i="6"/>
  <c r="G44" i="6" s="1"/>
  <c r="D42" i="5"/>
  <c r="AF19" i="5"/>
  <c r="D41" i="5"/>
  <c r="C43" i="6"/>
  <c r="G43" i="6" s="1"/>
  <c r="T22" i="6"/>
  <c r="O22" i="6"/>
  <c r="L22" i="6"/>
  <c r="F22" i="6"/>
  <c r="U22" i="6"/>
  <c r="X22" i="6"/>
  <c r="J22" i="6"/>
  <c r="N22" i="6"/>
  <c r="Y22" i="6"/>
  <c r="V22" i="6"/>
  <c r="E22" i="6"/>
  <c r="P22" i="6"/>
  <c r="R22" i="6"/>
  <c r="H22" i="6"/>
  <c r="W22" i="6"/>
  <c r="S22" i="6"/>
  <c r="Q22" i="6"/>
  <c r="K22" i="6"/>
  <c r="M22" i="6"/>
  <c r="I22" i="6"/>
  <c r="O34" i="6"/>
  <c r="R34" i="6"/>
  <c r="F34" i="6"/>
  <c r="J34" i="6"/>
  <c r="X34" i="6"/>
  <c r="S34" i="6"/>
  <c r="N34" i="6"/>
  <c r="Y34" i="6"/>
  <c r="L34" i="6"/>
  <c r="V34" i="6"/>
  <c r="T34" i="6"/>
  <c r="E34" i="6"/>
  <c r="U34" i="6"/>
  <c r="P34" i="6"/>
  <c r="H34" i="6"/>
  <c r="W34" i="6"/>
  <c r="M34" i="6"/>
  <c r="Q34" i="6"/>
  <c r="I34" i="6"/>
  <c r="K34" i="6"/>
  <c r="AF8" i="5"/>
  <c r="AF32" i="5"/>
  <c r="AF24" i="5"/>
  <c r="AF35" i="5"/>
  <c r="R11" i="6"/>
  <c r="V11" i="6"/>
  <c r="H11" i="6"/>
  <c r="J11" i="6"/>
  <c r="N11" i="6"/>
  <c r="Y11" i="6"/>
  <c r="S11" i="6"/>
  <c r="E11" i="6"/>
  <c r="Q11" i="6"/>
  <c r="L11" i="6"/>
  <c r="F11" i="6"/>
  <c r="O11" i="6"/>
  <c r="K11" i="6"/>
  <c r="X11" i="6"/>
  <c r="I11" i="6"/>
  <c r="T11" i="6"/>
  <c r="P11" i="6"/>
  <c r="U11" i="6"/>
  <c r="M11" i="6"/>
  <c r="W11" i="6"/>
  <c r="AF12" i="5"/>
  <c r="C12" i="6"/>
  <c r="G12" i="6" s="1"/>
  <c r="AG12" i="6" s="1"/>
  <c r="J67" i="5"/>
  <c r="R66" i="5"/>
  <c r="R67" i="5" s="1"/>
  <c r="I66" i="5"/>
  <c r="I67" i="5" s="1"/>
  <c r="Q66" i="5"/>
  <c r="Q67" i="5" s="1"/>
  <c r="H66" i="5"/>
  <c r="H67" i="5" s="1"/>
  <c r="P66" i="5"/>
  <c r="P67" i="5" s="1"/>
  <c r="X66" i="5"/>
  <c r="X67" i="5" s="1"/>
  <c r="G66" i="5"/>
  <c r="G67" i="5" s="1"/>
  <c r="O66" i="5"/>
  <c r="O67" i="5" s="1"/>
  <c r="W66" i="5"/>
  <c r="W67" i="5" s="1"/>
  <c r="E66" i="5"/>
  <c r="E67" i="5" s="1"/>
  <c r="N66" i="5"/>
  <c r="N67" i="5" s="1"/>
  <c r="V66" i="5"/>
  <c r="V67" i="5" s="1"/>
  <c r="D66" i="5"/>
  <c r="D67" i="5" s="1"/>
  <c r="M66" i="5"/>
  <c r="M67" i="5" s="1"/>
  <c r="U66" i="5"/>
  <c r="U67" i="5" s="1"/>
  <c r="L66" i="5"/>
  <c r="L67" i="5" s="1"/>
  <c r="T66" i="5"/>
  <c r="T67" i="5" s="1"/>
  <c r="K66" i="5"/>
  <c r="K67" i="5" s="1"/>
  <c r="S66" i="5"/>
  <c r="S67" i="5" s="1"/>
  <c r="AG13" i="6" l="1"/>
  <c r="AG9" i="6"/>
  <c r="AG26" i="6"/>
  <c r="AG31" i="6"/>
  <c r="AG8" i="6"/>
  <c r="AG35" i="6"/>
  <c r="AG17" i="6"/>
  <c r="AG10" i="6"/>
  <c r="AG34" i="6"/>
  <c r="AG25" i="6"/>
  <c r="AG22" i="6"/>
  <c r="AG53" i="6"/>
  <c r="AG23" i="6"/>
  <c r="AG24" i="6"/>
  <c r="AG55" i="6"/>
  <c r="AG32" i="6"/>
  <c r="AG54" i="6"/>
  <c r="AG20" i="6"/>
  <c r="AG33" i="6"/>
  <c r="AG5" i="6"/>
  <c r="AG7" i="6"/>
  <c r="AG11" i="6"/>
  <c r="AG6" i="6"/>
  <c r="AG18" i="6"/>
  <c r="AG19" i="6"/>
  <c r="AF45" i="5"/>
  <c r="AF47" i="5"/>
  <c r="C42" i="6"/>
  <c r="G42" i="6" s="1"/>
  <c r="C9" i="2"/>
  <c r="D48" i="5"/>
  <c r="B66" i="5" s="1"/>
  <c r="B67" i="5" s="1"/>
  <c r="B73" i="5" s="1"/>
  <c r="AF44" i="5"/>
  <c r="P52" i="6"/>
  <c r="H52" i="6"/>
  <c r="AH53" i="6" s="1"/>
  <c r="T52" i="6"/>
  <c r="Y52" i="6"/>
  <c r="L52" i="6"/>
  <c r="O52" i="6"/>
  <c r="R52" i="6"/>
  <c r="V52" i="6"/>
  <c r="W52" i="6"/>
  <c r="M52" i="6"/>
  <c r="F52" i="6"/>
  <c r="N52" i="6"/>
  <c r="Q52" i="6"/>
  <c r="X52" i="6"/>
  <c r="E52" i="6"/>
  <c r="AE55" i="6" s="1"/>
  <c r="J52" i="6"/>
  <c r="S52" i="6"/>
  <c r="U52" i="6"/>
  <c r="I52" i="6"/>
  <c r="AI55" i="6" s="1"/>
  <c r="V39" i="6"/>
  <c r="H39" i="6"/>
  <c r="T39" i="6"/>
  <c r="O39" i="6"/>
  <c r="N39" i="6"/>
  <c r="Y39" i="6"/>
  <c r="L39" i="6"/>
  <c r="R39" i="6"/>
  <c r="E39" i="6"/>
  <c r="Q39" i="6"/>
  <c r="U39" i="6"/>
  <c r="K39" i="6"/>
  <c r="W39" i="6"/>
  <c r="I39" i="6"/>
  <c r="M39" i="6"/>
  <c r="F39" i="6"/>
  <c r="J39" i="6"/>
  <c r="X39" i="6"/>
  <c r="S39" i="6"/>
  <c r="P39" i="6"/>
  <c r="AF46" i="5"/>
  <c r="AF40" i="5"/>
  <c r="H43" i="6"/>
  <c r="F43" i="6"/>
  <c r="J43" i="6"/>
  <c r="I43" i="6"/>
  <c r="E43" i="6"/>
  <c r="O21" i="6"/>
  <c r="R21" i="6"/>
  <c r="F21" i="6"/>
  <c r="J21" i="6"/>
  <c r="AJ24" i="6" s="1"/>
  <c r="X21" i="6"/>
  <c r="S21" i="6"/>
  <c r="N21" i="6"/>
  <c r="Y21" i="6"/>
  <c r="L21" i="6"/>
  <c r="H21" i="6"/>
  <c r="AH21" i="6" s="1"/>
  <c r="K21" i="6"/>
  <c r="AK19" i="6" s="1"/>
  <c r="Q21" i="6"/>
  <c r="I21" i="6"/>
  <c r="AI18" i="6" s="1"/>
  <c r="E21" i="6"/>
  <c r="AE18" i="6" s="1"/>
  <c r="U21" i="6"/>
  <c r="T21" i="6"/>
  <c r="M21" i="6"/>
  <c r="W21" i="6"/>
  <c r="V21" i="6"/>
  <c r="P21" i="6"/>
  <c r="AF39" i="5"/>
  <c r="C41" i="6"/>
  <c r="G41" i="6" s="1"/>
  <c r="C8" i="2"/>
  <c r="C48" i="2" s="1"/>
  <c r="AF43" i="5"/>
  <c r="Y44" i="6"/>
  <c r="E44" i="6"/>
  <c r="H44" i="6"/>
  <c r="N44" i="6"/>
  <c r="P44" i="6"/>
  <c r="F44" i="6"/>
  <c r="V44" i="6"/>
  <c r="L44" i="6"/>
  <c r="J44" i="6"/>
  <c r="K44" i="6"/>
  <c r="S44" i="6"/>
  <c r="X44" i="6"/>
  <c r="R44" i="6"/>
  <c r="U44" i="6"/>
  <c r="Q44" i="6"/>
  <c r="M44" i="6"/>
  <c r="T44" i="6"/>
  <c r="O44" i="6"/>
  <c r="W44" i="6"/>
  <c r="I44" i="6"/>
  <c r="AF41" i="5"/>
  <c r="V12" i="6"/>
  <c r="H12" i="6"/>
  <c r="T12" i="6"/>
  <c r="N12" i="6"/>
  <c r="Y12" i="6"/>
  <c r="L12" i="6"/>
  <c r="O12" i="6"/>
  <c r="E12" i="6"/>
  <c r="Q12" i="6"/>
  <c r="U12" i="6"/>
  <c r="R12" i="6"/>
  <c r="P12" i="6"/>
  <c r="W12" i="6"/>
  <c r="I12" i="6"/>
  <c r="M12" i="6"/>
  <c r="K12" i="6"/>
  <c r="F12" i="6"/>
  <c r="J12" i="6"/>
  <c r="X12" i="6"/>
  <c r="S12" i="6"/>
  <c r="AF42" i="5"/>
  <c r="T5" i="6"/>
  <c r="O5" i="6"/>
  <c r="H5" i="6"/>
  <c r="W5" i="6"/>
  <c r="L5" i="6"/>
  <c r="F5" i="6"/>
  <c r="K5" i="6"/>
  <c r="U5" i="6"/>
  <c r="X5" i="6"/>
  <c r="R5" i="6"/>
  <c r="I5" i="6"/>
  <c r="M5" i="6"/>
  <c r="P5" i="6"/>
  <c r="V5" i="6"/>
  <c r="J5" i="6"/>
  <c r="N5" i="6"/>
  <c r="Y5" i="6"/>
  <c r="S5" i="6"/>
  <c r="E5" i="6"/>
  <c r="Q5" i="6"/>
  <c r="F30" i="6"/>
  <c r="J30" i="6"/>
  <c r="AJ33" i="6" s="1"/>
  <c r="K30" i="6"/>
  <c r="E30" i="6"/>
  <c r="I30" i="6"/>
  <c r="AI32" i="6" s="1"/>
  <c r="H30" i="6"/>
  <c r="AH30" i="6" s="1"/>
  <c r="B75" i="5"/>
  <c r="B76" i="5"/>
  <c r="AG43" i="6" l="1"/>
  <c r="AE26" i="6"/>
  <c r="AG47" i="6"/>
  <c r="AE19" i="6"/>
  <c r="AG45" i="6"/>
  <c r="AE24" i="6"/>
  <c r="AG39" i="6"/>
  <c r="AG41" i="6"/>
  <c r="AG40" i="6"/>
  <c r="AG42" i="6"/>
  <c r="AG44" i="6"/>
  <c r="AG46" i="6"/>
  <c r="AF35" i="6"/>
  <c r="AF20" i="6"/>
  <c r="AF53" i="6"/>
  <c r="C49" i="2"/>
  <c r="AJ12" i="6"/>
  <c r="AF24" i="6"/>
  <c r="AE9" i="6"/>
  <c r="AF12" i="6"/>
  <c r="AF31" i="6"/>
  <c r="AK6" i="6"/>
  <c r="AJ19" i="6"/>
  <c r="AK20" i="6"/>
  <c r="AE12" i="6"/>
  <c r="AI17" i="6"/>
  <c r="AE22" i="6"/>
  <c r="AE23" i="6"/>
  <c r="AI12" i="6"/>
  <c r="AE17" i="6"/>
  <c r="AF19" i="6"/>
  <c r="AK12" i="6"/>
  <c r="AI23" i="6"/>
  <c r="AH24" i="6"/>
  <c r="AI24" i="6"/>
  <c r="AH23" i="6"/>
  <c r="AJ10" i="6"/>
  <c r="AJ6" i="6"/>
  <c r="AJ11" i="6"/>
  <c r="AI26" i="6"/>
  <c r="AH17" i="6"/>
  <c r="AK33" i="6"/>
  <c r="AK32" i="6"/>
  <c r="AK34" i="6"/>
  <c r="AK31" i="6"/>
  <c r="AK30" i="6"/>
  <c r="AK35" i="6"/>
  <c r="AE7" i="6"/>
  <c r="AE6" i="6"/>
  <c r="AE5" i="6"/>
  <c r="AE10" i="6"/>
  <c r="AE11" i="6"/>
  <c r="AI7" i="6"/>
  <c r="AI13" i="6"/>
  <c r="AI9" i="6"/>
  <c r="AI5" i="6"/>
  <c r="AI10" i="6"/>
  <c r="AH7" i="6"/>
  <c r="AH10" i="6"/>
  <c r="AH13" i="6"/>
  <c r="AH9" i="6"/>
  <c r="AH5" i="6"/>
  <c r="AH11" i="6"/>
  <c r="AH8" i="6"/>
  <c r="AJ20" i="6"/>
  <c r="F41" i="6"/>
  <c r="J41" i="6"/>
  <c r="H41" i="6"/>
  <c r="K41" i="6"/>
  <c r="I41" i="6"/>
  <c r="E41" i="6"/>
  <c r="AE54" i="6"/>
  <c r="AE52" i="6"/>
  <c r="AH34" i="6"/>
  <c r="AI6" i="6"/>
  <c r="AF18" i="6"/>
  <c r="AH6" i="6"/>
  <c r="AJ25" i="6"/>
  <c r="AI33" i="6"/>
  <c r="AI31" i="6"/>
  <c r="AI34" i="6"/>
  <c r="AI30" i="6"/>
  <c r="AH32" i="6"/>
  <c r="AJ53" i="6"/>
  <c r="AJ55" i="6"/>
  <c r="AJ52" i="6"/>
  <c r="AJ22" i="6"/>
  <c r="AI11" i="6"/>
  <c r="AK11" i="6"/>
  <c r="AI8" i="6"/>
  <c r="AF17" i="6"/>
  <c r="AE32" i="6"/>
  <c r="AE33" i="6"/>
  <c r="AE35" i="6"/>
  <c r="AE30" i="6"/>
  <c r="AE34" i="6"/>
  <c r="AF30" i="6"/>
  <c r="AF34" i="6"/>
  <c r="AK25" i="6"/>
  <c r="AI20" i="6"/>
  <c r="AJ23" i="6"/>
  <c r="AF32" i="6"/>
  <c r="AK17" i="6"/>
  <c r="M42" i="6"/>
  <c r="L42" i="6"/>
  <c r="H42" i="6"/>
  <c r="U42" i="6"/>
  <c r="Y42" i="6"/>
  <c r="V42" i="6"/>
  <c r="Q42" i="6"/>
  <c r="J42" i="6"/>
  <c r="W42" i="6"/>
  <c r="R42" i="6"/>
  <c r="S42" i="6"/>
  <c r="N42" i="6"/>
  <c r="E42" i="6"/>
  <c r="K42" i="6"/>
  <c r="F42" i="6"/>
  <c r="I42" i="6"/>
  <c r="X42" i="6"/>
  <c r="O42" i="6"/>
  <c r="T42" i="6"/>
  <c r="P42" i="6"/>
  <c r="AI35" i="6"/>
  <c r="AK8" i="6"/>
  <c r="AF26" i="6"/>
  <c r="AH33" i="6"/>
  <c r="AH19" i="6"/>
  <c r="AE53" i="6"/>
  <c r="AJ54" i="6"/>
  <c r="AF22" i="6"/>
  <c r="AE8" i="6"/>
  <c r="AJ21" i="6"/>
  <c r="AJ26" i="6"/>
  <c r="AF21" i="6"/>
  <c r="AF23" i="6"/>
  <c r="AH35" i="6"/>
  <c r="AK13" i="6"/>
  <c r="AJ7" i="6"/>
  <c r="AJ8" i="6"/>
  <c r="AJ9" i="6"/>
  <c r="AJ5" i="6"/>
  <c r="AJ13" i="6"/>
  <c r="AK7" i="6"/>
  <c r="AK9" i="6"/>
  <c r="AK5" i="6"/>
  <c r="AK10" i="6"/>
  <c r="AH26" i="6"/>
  <c r="AH20" i="6"/>
  <c r="AH25" i="6"/>
  <c r="AE25" i="6"/>
  <c r="AE20" i="6"/>
  <c r="AE21" i="6"/>
  <c r="AH31" i="6"/>
  <c r="AI54" i="6"/>
  <c r="AI52" i="6"/>
  <c r="AI53" i="6"/>
  <c r="AF55" i="6"/>
  <c r="AF52" i="6"/>
  <c r="AF54" i="6"/>
  <c r="AK26" i="6"/>
  <c r="AF33" i="6"/>
  <c r="AK23" i="6"/>
  <c r="AF25" i="6"/>
  <c r="AK21" i="6"/>
  <c r="AK24" i="6"/>
  <c r="AK22" i="6"/>
  <c r="AK18" i="6"/>
  <c r="AJ31" i="6"/>
  <c r="AJ32" i="6"/>
  <c r="AJ34" i="6"/>
  <c r="AJ30" i="6"/>
  <c r="AJ35" i="6"/>
  <c r="AF7" i="6"/>
  <c r="AF6" i="6"/>
  <c r="AF5" i="6"/>
  <c r="AF9" i="6"/>
  <c r="AF10" i="6"/>
  <c r="AF11" i="6"/>
  <c r="AF8" i="6"/>
  <c r="AF13" i="6"/>
  <c r="AH12" i="6"/>
  <c r="AJ17" i="6"/>
  <c r="AE31" i="6"/>
  <c r="AI21" i="6"/>
  <c r="AI19" i="6"/>
  <c r="AI22" i="6"/>
  <c r="AH18" i="6"/>
  <c r="AH54" i="6"/>
  <c r="AH52" i="6"/>
  <c r="AH55" i="6"/>
  <c r="AI25" i="6"/>
  <c r="AJ18" i="6"/>
  <c r="AE13" i="6"/>
  <c r="AH22" i="6"/>
  <c r="AF47" i="6" l="1"/>
  <c r="AJ42" i="6"/>
  <c r="B65" i="5"/>
  <c r="B72" i="5" s="1"/>
  <c r="B74" i="5" s="1"/>
  <c r="AF44" i="6"/>
  <c r="AE39" i="6"/>
  <c r="AK44" i="6"/>
  <c r="AI43" i="6"/>
  <c r="AF40" i="6"/>
  <c r="AH47" i="6"/>
  <c r="AF39" i="6"/>
  <c r="AF45" i="6"/>
  <c r="AJ45" i="6"/>
  <c r="AF42" i="6"/>
  <c r="AJ40" i="6"/>
  <c r="AK42" i="6"/>
  <c r="AH46" i="6"/>
  <c r="AF43" i="6"/>
  <c r="AJ47" i="6"/>
  <c r="AE42" i="6"/>
  <c r="AK45" i="6"/>
  <c r="AI41" i="6"/>
  <c r="AI47" i="6"/>
  <c r="AK40" i="6"/>
  <c r="AH42" i="6"/>
  <c r="AK47" i="6"/>
  <c r="AH43" i="6"/>
  <c r="AJ41" i="6"/>
  <c r="AE47" i="6"/>
  <c r="AJ39" i="6"/>
  <c r="AK41" i="6"/>
  <c r="AF41" i="6"/>
  <c r="AF46" i="6"/>
  <c r="AI46" i="6"/>
  <c r="AI44" i="6"/>
  <c r="AE43" i="6"/>
  <c r="AH45" i="6"/>
  <c r="AH44" i="6"/>
  <c r="AE46" i="6"/>
  <c r="AJ43" i="6"/>
  <c r="AI39" i="6"/>
  <c r="AK46" i="6"/>
  <c r="AE40" i="6"/>
  <c r="AI40" i="6"/>
  <c r="AI42" i="6"/>
  <c r="AH40" i="6"/>
  <c r="AE44" i="6"/>
  <c r="AH41" i="6"/>
  <c r="AJ46" i="6"/>
  <c r="AE45" i="6"/>
  <c r="AI45" i="6"/>
  <c r="AH39" i="6"/>
  <c r="AK39" i="6"/>
  <c r="AE41" i="6"/>
  <c r="AJ44" i="6"/>
  <c r="B77" i="5" l="1"/>
  <c r="B71" i="23"/>
  <c r="B78" i="23"/>
  <c r="B83" i="23" l="1"/>
  <c r="B80" i="23"/>
  <c r="B73" i="23"/>
  <c r="B76" i="23"/>
</calcChain>
</file>

<file path=xl/comments1.xml><?xml version="1.0" encoding="utf-8"?>
<comments xmlns="http://schemas.openxmlformats.org/spreadsheetml/2006/main">
  <authors>
    <author>Nick Farmer</author>
    <author>nick.farmer</author>
  </authors>
  <commentList>
    <comment ref="A41" authorId="0">
      <text>
        <r>
          <rPr>
            <b/>
            <sz val="9"/>
            <color indexed="81"/>
            <rFont val="Tahoma"/>
            <charset val="1"/>
          </rPr>
          <t>Nick Farmer:</t>
        </r>
        <r>
          <rPr>
            <sz val="9"/>
            <color indexed="81"/>
            <rFont val="Tahoma"/>
            <charset val="1"/>
          </rPr>
          <t xml:space="preserve">
This CHAPC is already implemented and its removal is not under consideration in Reg-17.</t>
        </r>
      </text>
    </comment>
    <comment ref="A42" authorId="0">
      <text>
        <r>
          <rPr>
            <b/>
            <sz val="9"/>
            <color indexed="81"/>
            <rFont val="Tahoma"/>
            <charset val="1"/>
          </rPr>
          <t>Nick Farmer:</t>
        </r>
        <r>
          <rPr>
            <sz val="9"/>
            <color indexed="81"/>
            <rFont val="Tahoma"/>
            <charset val="1"/>
          </rPr>
          <t xml:space="preserve">
The Experimental Closed Area is not under consideration for removal in Reg-17.</t>
        </r>
      </text>
    </comment>
    <comment ref="B68" authorId="1">
      <text>
        <r>
          <rPr>
            <b/>
            <sz val="10"/>
            <color indexed="81"/>
            <rFont val="Tahoma"/>
            <family val="2"/>
          </rPr>
          <t>nick.farmer:</t>
        </r>
        <r>
          <rPr>
            <sz val="10"/>
            <color indexed="81"/>
            <rFont val="Tahoma"/>
            <family val="2"/>
          </rPr>
          <t xml:space="preserve">
you can change this value to explore the impacts of the assumption on the total protection afforded and the predicted reductions in landings for other stocks</t>
        </r>
      </text>
    </comment>
  </commentList>
</comments>
</file>

<file path=xl/comments2.xml><?xml version="1.0" encoding="utf-8"?>
<comments xmlns="http://schemas.openxmlformats.org/spreadsheetml/2006/main">
  <authors>
    <author>nick.farmer</author>
  </authors>
  <commentList>
    <comment ref="AB1" authorId="0">
      <text>
        <r>
          <rPr>
            <b/>
            <sz val="10"/>
            <color indexed="81"/>
            <rFont val="Tahoma"/>
            <family val="2"/>
          </rPr>
          <t>nick.farmer:</t>
        </r>
        <r>
          <rPr>
            <sz val="10"/>
            <color indexed="81"/>
            <rFont val="Tahoma"/>
            <family val="2"/>
          </rPr>
          <t xml:space="preserve">
Change any of these cells in column AA from 0 to 1 to explore the impacts of selected closed areas on total at bottom.</t>
        </r>
      </text>
    </comment>
    <comment ref="AF3" authorId="0">
      <text>
        <r>
          <rPr>
            <b/>
            <sz val="10"/>
            <color indexed="81"/>
            <rFont val="Tahoma"/>
            <family val="2"/>
          </rPr>
          <t>nick.farmer:</t>
        </r>
        <r>
          <rPr>
            <sz val="10"/>
            <color indexed="81"/>
            <rFont val="Tahoma"/>
            <family val="2"/>
          </rPr>
          <t xml:space="preserve">
AREA ranked ascending with thought that increased area is less desirable from a political standpoint.  All other parameters ranked descending so that highest value gets rank #1.</t>
        </r>
      </text>
    </comment>
    <comment ref="A6" authorId="0">
      <text>
        <r>
          <rPr>
            <b/>
            <sz val="10"/>
            <color indexed="81"/>
            <rFont val="Tahoma"/>
            <family val="2"/>
          </rPr>
          <t>nick.farmer:</t>
        </r>
        <r>
          <rPr>
            <sz val="10"/>
            <color indexed="81"/>
            <rFont val="Tahoma"/>
            <family val="2"/>
          </rPr>
          <t xml:space="preserve">
updated name</t>
        </r>
      </text>
    </comment>
    <comment ref="A41" authorId="0">
      <text>
        <r>
          <rPr>
            <b/>
            <sz val="10"/>
            <color indexed="81"/>
            <rFont val="Tahoma"/>
            <family val="2"/>
          </rPr>
          <t>nick.farmer:</t>
        </r>
        <r>
          <rPr>
            <sz val="10"/>
            <color indexed="81"/>
            <rFont val="Tahoma"/>
            <family val="2"/>
          </rPr>
          <t xml:space="preserve">
Removing these from "selected" avoids double-counting the ECA and EXT S and EXT N areas that will be definitively No-Take and not require a scalar.</t>
        </r>
      </text>
    </comment>
    <comment ref="A44" authorId="0">
      <text>
        <r>
          <rPr>
            <b/>
            <sz val="10"/>
            <color indexed="81"/>
            <rFont val="Tahoma"/>
            <family val="2"/>
          </rPr>
          <t>nick.farmer:</t>
        </r>
        <r>
          <rPr>
            <sz val="10"/>
            <color indexed="81"/>
            <rFont val="Tahoma"/>
            <family val="2"/>
          </rPr>
          <t xml:space="preserve">
UPDATED NAMES</t>
        </r>
      </text>
    </comment>
    <comment ref="B69" authorId="0">
      <text>
        <r>
          <rPr>
            <b/>
            <sz val="10"/>
            <color indexed="81"/>
            <rFont val="Tahoma"/>
            <family val="2"/>
          </rPr>
          <t>nick.farmer:</t>
        </r>
        <r>
          <rPr>
            <sz val="10"/>
            <color indexed="81"/>
            <rFont val="Tahoma"/>
            <family val="2"/>
          </rPr>
          <t xml:space="preserve">
you can change this value to explore the impacts of the assumption on the total protection afforded and the predicted reductions in landings for other stocks</t>
        </r>
      </text>
    </comment>
  </commentList>
</comments>
</file>

<file path=xl/comments3.xml><?xml version="1.0" encoding="utf-8"?>
<comments xmlns="http://schemas.openxmlformats.org/spreadsheetml/2006/main">
  <authors>
    <author>nick.farmer</author>
  </authors>
  <commentList>
    <comment ref="AL1" authorId="0">
      <text>
        <r>
          <rPr>
            <b/>
            <sz val="10"/>
            <color indexed="81"/>
            <rFont val="Tahoma"/>
            <family val="2"/>
          </rPr>
          <t>nick.farmer:</t>
        </r>
        <r>
          <rPr>
            <sz val="10"/>
            <color indexed="81"/>
            <rFont val="Tahoma"/>
            <family val="2"/>
          </rPr>
          <t xml:space="preserve">
Change any of these cells in column AA from 0 to 1 to explore the impacts of selected closed areas on total at bottom.</t>
        </r>
      </text>
    </comment>
  </commentList>
</comments>
</file>

<file path=xl/comments4.xml><?xml version="1.0" encoding="utf-8"?>
<comments xmlns="http://schemas.openxmlformats.org/spreadsheetml/2006/main">
  <authors>
    <author>nick.farmer</author>
  </authors>
  <commentList>
    <comment ref="A5" authorId="0">
      <text>
        <r>
          <rPr>
            <b/>
            <sz val="10"/>
            <color indexed="81"/>
            <rFont val="Tahoma"/>
            <family val="2"/>
          </rPr>
          <t>nick.farmer:</t>
        </r>
        <r>
          <rPr>
            <sz val="10"/>
            <color indexed="81"/>
            <rFont val="Tahoma"/>
            <family val="2"/>
          </rPr>
          <t xml:space="preserve">
updated name</t>
        </r>
      </text>
    </comment>
    <comment ref="A30" authorId="0">
      <text>
        <r>
          <rPr>
            <b/>
            <sz val="10"/>
            <color indexed="81"/>
            <rFont val="Tahoma"/>
            <family val="2"/>
          </rPr>
          <t>nick.farmer:</t>
        </r>
        <r>
          <rPr>
            <sz val="10"/>
            <color indexed="81"/>
            <rFont val="Tahoma"/>
            <family val="2"/>
          </rPr>
          <t xml:space="preserve">
Removing these from "selected" avoids double-counting the ECA and EXT S and EXT N areas that will be definitively No-Take and not require a scalar.</t>
        </r>
      </text>
    </comment>
    <comment ref="A33" authorId="0">
      <text>
        <r>
          <rPr>
            <b/>
            <sz val="10"/>
            <color indexed="81"/>
            <rFont val="Tahoma"/>
            <family val="2"/>
          </rPr>
          <t>nick.farmer:</t>
        </r>
        <r>
          <rPr>
            <sz val="10"/>
            <color indexed="81"/>
            <rFont val="Tahoma"/>
            <family val="2"/>
          </rPr>
          <t xml:space="preserve">
UPDATED NAMES</t>
        </r>
      </text>
    </comment>
  </commentList>
</comments>
</file>

<file path=xl/sharedStrings.xml><?xml version="1.0" encoding="utf-8"?>
<sst xmlns="http://schemas.openxmlformats.org/spreadsheetml/2006/main" count="2842" uniqueCount="349">
  <si>
    <t>SPECKLED HIND</t>
  </si>
  <si>
    <t>WARSAW GROUPER</t>
  </si>
  <si>
    <t>POTENTIAL REDUCED LANDINGS</t>
  </si>
  <si>
    <t>POGS</t>
  </si>
  <si>
    <t>HABITAT SUITABILITY</t>
  </si>
  <si>
    <t>Red Porgy</t>
  </si>
  <si>
    <t>Vermilion</t>
  </si>
  <si>
    <t>Scamp</t>
  </si>
  <si>
    <t>Amberjack</t>
  </si>
  <si>
    <t>Blueline</t>
  </si>
  <si>
    <t>Gag</t>
  </si>
  <si>
    <t>Red Gpr</t>
  </si>
  <si>
    <t>NAME</t>
  </si>
  <si>
    <t>STATUS</t>
  </si>
  <si>
    <t>STATE</t>
  </si>
  <si>
    <t>POINTS</t>
  </si>
  <si>
    <t>FID</t>
  </si>
  <si>
    <t>FD</t>
  </si>
  <si>
    <t>YES</t>
  </si>
  <si>
    <t>YES &amp; MAYBE</t>
  </si>
  <si>
    <t>Prob</t>
  </si>
  <si>
    <t>Com</t>
  </si>
  <si>
    <t>Hbt</t>
  </si>
  <si>
    <t>Charleston Deep</t>
  </si>
  <si>
    <t>Existing</t>
  </si>
  <si>
    <t>no samp.</t>
  </si>
  <si>
    <t>-</t>
  </si>
  <si>
    <t>Edisto</t>
  </si>
  <si>
    <t>Georgia</t>
  </si>
  <si>
    <t>North Florida</t>
  </si>
  <si>
    <t>Northern SC</t>
  </si>
  <si>
    <t>Oculina ECA</t>
  </si>
  <si>
    <t>Oculina Bank CHAPC</t>
  </si>
  <si>
    <t>St. Lucie Hump</t>
  </si>
  <si>
    <t>FKNMS SPAs &amp; Ers</t>
  </si>
  <si>
    <t>CHARLESTON SHELF MPA</t>
  </si>
  <si>
    <t>Proposed</t>
  </si>
  <si>
    <t>DEVILS HOLE 2</t>
  </si>
  <si>
    <t>EDISTO RECONFIG 3</t>
  </si>
  <si>
    <t>EDISTO S EXT</t>
  </si>
  <si>
    <t>FERNANDINA MPA</t>
  </si>
  <si>
    <t>GEORGIA MPA RECONFIG</t>
  </si>
  <si>
    <t>MID SC MPA</t>
  </si>
  <si>
    <t>N CAPE LOOKOUT 2</t>
  </si>
  <si>
    <t>N CAPE LOOKOUT NC</t>
  </si>
  <si>
    <t>NORTHERN SC EXT</t>
  </si>
  <si>
    <t>SC</t>
  </si>
  <si>
    <t>S CAPE LOOKOUT NC</t>
  </si>
  <si>
    <t>SOUTHERN NC</t>
  </si>
  <si>
    <t>NC</t>
  </si>
  <si>
    <t>780 BOTTOM</t>
  </si>
  <si>
    <t>GEORGIA RECONFIG N2</t>
  </si>
  <si>
    <t>JUNO BEACH MPA</t>
  </si>
  <si>
    <t>MALCHASE WRECK</t>
  </si>
  <si>
    <t>NORTH CAPE LOOKOUT 3</t>
  </si>
  <si>
    <t>OCULINA ECA 2</t>
  </si>
  <si>
    <t>OCULINA ECA 3</t>
  </si>
  <si>
    <t>PUSH BUTTON HILL</t>
  </si>
  <si>
    <t>ST AUGUSTINE 2</t>
  </si>
  <si>
    <t>ST AUGUSTINE EXT2</t>
  </si>
  <si>
    <t>ST SIMONS 2</t>
  </si>
  <si>
    <t>ST SIMONS EXT2</t>
  </si>
  <si>
    <t>WARSAW HOLE 4</t>
  </si>
  <si>
    <t>AREA (mi2)</t>
  </si>
  <si>
    <t>GA</t>
  </si>
  <si>
    <t>NEFL</t>
  </si>
  <si>
    <t>KEYS</t>
  </si>
  <si>
    <t>SEFL</t>
  </si>
  <si>
    <t>OCULINA BANK CHAPC EXTENSION</t>
  </si>
  <si>
    <t>NORTHEAST FLORIDA</t>
  </si>
  <si>
    <t>SELECTED</t>
  </si>
  <si>
    <t>SOUTHEAST FLORIDA</t>
  </si>
  <si>
    <t>GEORGIA</t>
  </si>
  <si>
    <t>NORTH CAROLINA</t>
  </si>
  <si>
    <t>SOUTH CAROLINA</t>
  </si>
  <si>
    <t>RANKINGS, BY STATE</t>
  </si>
  <si>
    <t>SCORES, BY STATE</t>
  </si>
  <si>
    <t>SPECKLED HIND HABITAT SUITABILITY</t>
  </si>
  <si>
    <t>WARSAW GROUPER HABITAT SUITABILITY</t>
  </si>
  <si>
    <t>DEVILS HOLE 3</t>
  </si>
  <si>
    <t>GEORGIA EXT</t>
  </si>
  <si>
    <t>25-100 fathoms</t>
  </si>
  <si>
    <t>SNOWY WRECK RECONFIG</t>
  </si>
  <si>
    <t>TOTAL</t>
  </si>
  <si>
    <t>East Hump</t>
  </si>
  <si>
    <t>Snowy Grouper Wreck</t>
  </si>
  <si>
    <t>DAYTONA STEEPLES</t>
  </si>
  <si>
    <t>DAYTONA LEDGE</t>
  </si>
  <si>
    <t>MANUELA WRECK</t>
  </si>
  <si>
    <t>RECOMMENDED</t>
  </si>
  <si>
    <t>EWG RECOMMENDED</t>
  </si>
  <si>
    <t>MALCHACE WRECK</t>
  </si>
  <si>
    <t>Oculina Bank CHAPC (excluding ECA)</t>
  </si>
  <si>
    <t>OCULINA BANK CHAPC EXTENSION (excluding DAYTONA STEEPLES and DAYTONA LEDGE)</t>
  </si>
  <si>
    <t>ALL MPAS</t>
  </si>
  <si>
    <t>STATUS QUO</t>
  </si>
  <si>
    <t>EWG RECOMMENDATIONS</t>
  </si>
  <si>
    <t>TOTAL NTZs</t>
  </si>
  <si>
    <t>EWG RECOMMENDATIONS (CHAPC SCALAR)</t>
  </si>
  <si>
    <t>CHAPC SCALAR:</t>
  </si>
  <si>
    <t>effective at excluding fishing pressure due to no-anchoring restriction</t>
  </si>
  <si>
    <t>MPA NAME</t>
  </si>
  <si>
    <t xml:space="preserve">MPA </t>
  </si>
  <si>
    <t>HABITAT</t>
  </si>
  <si>
    <t>STOCKS PROTECTED</t>
  </si>
  <si>
    <t>COMMENTS</t>
  </si>
  <si>
    <t>Coral</t>
  </si>
  <si>
    <t>Hardbottom</t>
  </si>
  <si>
    <t>Wreck</t>
  </si>
  <si>
    <t>Mud</t>
  </si>
  <si>
    <t>speckled hind</t>
  </si>
  <si>
    <t>warsaw grouper</t>
  </si>
  <si>
    <t>red snapper</t>
  </si>
  <si>
    <t>snowy grouper</t>
  </si>
  <si>
    <t>tilefish</t>
  </si>
  <si>
    <t>blueline tilefish</t>
  </si>
  <si>
    <t>vermilion snapper</t>
  </si>
  <si>
    <t>gray triggerfish</t>
  </si>
  <si>
    <t>hogfish</t>
  </si>
  <si>
    <t>black sea bass</t>
  </si>
  <si>
    <t>gag</t>
  </si>
  <si>
    <t>red grouper</t>
  </si>
  <si>
    <t>graysby</t>
  </si>
  <si>
    <t>scamp</t>
  </si>
  <si>
    <t>red porgy</t>
  </si>
  <si>
    <t xml:space="preserve">tomtate </t>
  </si>
  <si>
    <t>Snowy Wreck</t>
  </si>
  <si>
    <t>X</t>
  </si>
  <si>
    <t xml:space="preserve">spawning aggregations of snowy grouper (?) </t>
  </si>
  <si>
    <t>may be larval source/sink due to Charleston Gyre</t>
  </si>
  <si>
    <t>artificial reef never implemented</t>
  </si>
  <si>
    <t>east of popular fishing ground</t>
  </si>
  <si>
    <t>popular fishing grounds to north and south</t>
  </si>
  <si>
    <t>protect coral from shrimp trawling</t>
  </si>
  <si>
    <t>SPAWNING?</t>
  </si>
  <si>
    <t>Likely</t>
  </si>
  <si>
    <t>No</t>
  </si>
  <si>
    <t>Maybe</t>
  </si>
  <si>
    <t>S-G</t>
  </si>
  <si>
    <t>WG?</t>
  </si>
  <si>
    <t>SH</t>
  </si>
  <si>
    <t>Tile?</t>
  </si>
  <si>
    <t>ALL MPAS (CHAPC Scalar)</t>
  </si>
  <si>
    <t>OCULINA BANK CHAPC EXT*</t>
  </si>
  <si>
    <t>Oculina Bank CHAPC*</t>
  </si>
  <si>
    <t>%Stock per unit area</t>
  </si>
  <si>
    <t>Speckled Hind</t>
  </si>
  <si>
    <t>Warsaw Grouper</t>
  </si>
  <si>
    <t>FL</t>
  </si>
  <si>
    <t>SPAWNING</t>
  </si>
  <si>
    <t>Known</t>
  </si>
  <si>
    <t>Known &amp; Probable</t>
  </si>
  <si>
    <t>% Stock</t>
  </si>
  <si>
    <t>Harvest Reductions: Headboat</t>
  </si>
  <si>
    <t>Harvest Reductions: Commercial</t>
  </si>
  <si>
    <t>Ranks (by area)</t>
  </si>
  <si>
    <t>Total Areas</t>
  </si>
  <si>
    <t>Point Observations</t>
  </si>
  <si>
    <t>Existing MPAs</t>
  </si>
  <si>
    <t>Connectivity</t>
  </si>
  <si>
    <t>Tab</t>
  </si>
  <si>
    <t>Description</t>
  </si>
  <si>
    <t>%Habitat per unit area</t>
  </si>
  <si>
    <t>BETWEEN 25-100 FATHOMS</t>
  </si>
  <si>
    <t>Snowy G</t>
  </si>
  <si>
    <t>Snowy</t>
  </si>
  <si>
    <t>Note: Habitat suitability models and stock percentage in MPA models break down south of Cape Canaveral, Florida due to lack of sampling data.  Anecdotal information is likely more useful than model output for SEFL area.</t>
  </si>
  <si>
    <t>Note: 240-ft Closure covered approximately 150,000 square miles.</t>
  </si>
  <si>
    <t>[USER-INPUT PARAMETER]</t>
  </si>
  <si>
    <t>times the protection for speckled hind</t>
  </si>
  <si>
    <t>times the protection for warsaw grouper</t>
  </si>
  <si>
    <t>times the area closed</t>
  </si>
  <si>
    <r>
      <t>closed area (mi</t>
    </r>
    <r>
      <rPr>
        <vertAlign val="superscript"/>
        <sz val="11"/>
        <color theme="1"/>
        <rFont val="Calibri"/>
        <family val="2"/>
        <scheme val="minor"/>
      </rPr>
      <t>2</t>
    </r>
    <r>
      <rPr>
        <sz val="11"/>
        <color theme="1"/>
        <rFont val="Calibri"/>
        <family val="2"/>
        <scheme val="minor"/>
      </rPr>
      <t>) existing minus CHAPC</t>
    </r>
  </si>
  <si>
    <r>
      <t>proposed closed area (mi</t>
    </r>
    <r>
      <rPr>
        <vertAlign val="superscript"/>
        <sz val="11"/>
        <color theme="1"/>
        <rFont val="Calibri"/>
        <family val="2"/>
        <scheme val="minor"/>
      </rPr>
      <t>2</t>
    </r>
    <r>
      <rPr>
        <sz val="11"/>
        <color theme="1"/>
        <rFont val="Calibri"/>
        <family val="2"/>
        <scheme val="minor"/>
      </rPr>
      <t>) minus CHAPC</t>
    </r>
  </si>
  <si>
    <r>
      <t>increase in closed area (mi</t>
    </r>
    <r>
      <rPr>
        <vertAlign val="superscript"/>
        <sz val="11"/>
        <color theme="1"/>
        <rFont val="Calibri"/>
        <family val="2"/>
        <scheme val="minor"/>
      </rPr>
      <t>2</t>
    </r>
    <r>
      <rPr>
        <sz val="11"/>
        <color theme="1"/>
        <rFont val="Calibri"/>
        <family val="2"/>
        <scheme val="minor"/>
      </rPr>
      <t>; minus CHAPC)</t>
    </r>
  </si>
  <si>
    <t>ALL RECOMMENDED:</t>
  </si>
  <si>
    <t>EWG RECOMMENDED (0=Not Recommended, 1=Recommended)</t>
  </si>
  <si>
    <t>TYPE</t>
  </si>
  <si>
    <t>New</t>
  </si>
  <si>
    <t>Reconfiguration</t>
  </si>
  <si>
    <t>Extension</t>
  </si>
  <si>
    <t>CHAPC Extension</t>
  </si>
  <si>
    <t>% Stock [X-val]</t>
  </si>
  <si>
    <t>% Stock [AIC]</t>
  </si>
  <si>
    <r>
      <t xml:space="preserve">Table 5. </t>
    </r>
    <r>
      <rPr>
        <sz val="12"/>
        <color theme="1"/>
        <rFont val="Times New Roman"/>
        <family val="1"/>
      </rPr>
      <t>Evaluation of existing (lower case) and proposed (italicized, all caps) no-take marine reserves for speckled hind and warsaw grouper relative to coverage of viable habitats and percent of grouper protected, as predicted by geographic distribution models. Output range for cross-validation best predictor (X-val) and best-fitting (AIC) models for speckled hind provided to characterize uncertainty.  Note that geographic distribution model was unable to resolve probabilities south of 28’ latitude for warsaw grouper.</t>
    </r>
  </si>
  <si>
    <t>Not eval.</t>
  </si>
  <si>
    <t>% Stock [X-val &amp; AIC]</t>
  </si>
  <si>
    <t>%STOCK [XVAL]</t>
  </si>
  <si>
    <t>%STOCK [AIC]</t>
  </si>
  <si>
    <t>%STOCK*</t>
  </si>
  <si>
    <t>*Unable to evaluate SEFL!</t>
  </si>
  <si>
    <t>Name</t>
  </si>
  <si>
    <t>Assumes 50% CHAPC Reserve Protection Efficiency</t>
  </si>
  <si>
    <t>Top 10% in each column are highlighted</t>
  </si>
  <si>
    <t>KNOWN</t>
  </si>
  <si>
    <t>KNOWN &amp; PROBABLE</t>
  </si>
  <si>
    <t>% STOCK [XVAL]</t>
  </si>
  <si>
    <t>% STOCK [AIC]</t>
  </si>
  <si>
    <t>XVAL</t>
  </si>
  <si>
    <t>AIC</t>
  </si>
  <si>
    <t>Note: only considers sites recommended by EWG</t>
  </si>
  <si>
    <t>Reconfig</t>
  </si>
  <si>
    <t>SELECTED?</t>
  </si>
  <si>
    <t>TOTALS FOR SELECTED:</t>
  </si>
  <si>
    <t>Many Snapper-Grouper</t>
  </si>
  <si>
    <t>WG (DeMaria)</t>
  </si>
  <si>
    <t>Likely WG, Many S-G</t>
  </si>
  <si>
    <t>SH, Many S-G</t>
  </si>
  <si>
    <t>Likely Many S-G</t>
  </si>
  <si>
    <t>Maybe WG?</t>
  </si>
  <si>
    <t>Tilefish?</t>
  </si>
  <si>
    <t>Maybe S-G?</t>
  </si>
  <si>
    <t>Council Decision Tool</t>
  </si>
  <si>
    <t>Additional Figures</t>
  </si>
  <si>
    <t>Additional Tables</t>
  </si>
  <si>
    <t>Enter 'X' to SELECT an MPA; Delete 'X' to deselect</t>
  </si>
  <si>
    <t>COUNCIL SELECTIONS (CHAPC SCALAR)</t>
  </si>
  <si>
    <t>Known+Probable</t>
  </si>
  <si>
    <t>STATUS QUO VS. EWG RECOMMENDED:</t>
  </si>
  <si>
    <t>STATUS QUO VS. COUNCIL SELECTED:</t>
  </si>
  <si>
    <r>
      <t>AREA (mi</t>
    </r>
    <r>
      <rPr>
        <b/>
        <vertAlign val="superscript"/>
        <sz val="8"/>
        <color theme="1"/>
        <rFont val="Calibri"/>
        <family val="2"/>
        <scheme val="minor"/>
      </rPr>
      <t>2</t>
    </r>
    <r>
      <rPr>
        <b/>
        <sz val="8"/>
        <color theme="1"/>
        <rFont val="Calibri"/>
        <family val="2"/>
        <scheme val="minor"/>
      </rPr>
      <t>)</t>
    </r>
  </si>
  <si>
    <t>Intended to protect Snowy Grouper Wreck</t>
  </si>
  <si>
    <t>Council Decision Tool 2</t>
  </si>
  <si>
    <t>Images of the various MPA options developed by the Expert Workgroup, by state</t>
  </si>
  <si>
    <t>Allows SAFMC to select from the suite of MPA recommendations made by the Expert Working Group; provides cumulative totals for protection and harvest reductions estimated, provides additional details regarding type of MPA (e.g., "Existing", "New", "Reconfiguration", "Extension", etc.), provides additional details regarding what is known about spawning within a given area.  Further details on spawning at recommended locations may be found in EWG Report.</t>
  </si>
  <si>
    <t>Provides rankings for each MPA per unit area, relative to the others off that state, by category.</t>
  </si>
  <si>
    <t>Provides the total areas for each MPA</t>
  </si>
  <si>
    <t>Provides images of point observations, by source, for speckled hind and warsaw grouper</t>
  </si>
  <si>
    <t>Summary table for the rationale behind selection of the existing SAFMC deepwater MPAs</t>
  </si>
  <si>
    <t>Image of hydrographic data from ARGOS drifters relative to MPA network</t>
  </si>
  <si>
    <r>
      <t>TOTAL AREA (mi</t>
    </r>
    <r>
      <rPr>
        <b/>
        <vertAlign val="superscript"/>
        <sz val="8"/>
        <color theme="1"/>
        <rFont val="Calibri"/>
        <family val="2"/>
        <scheme val="minor"/>
      </rPr>
      <t>2</t>
    </r>
    <r>
      <rPr>
        <b/>
        <sz val="8"/>
        <color theme="1"/>
        <rFont val="Calibri"/>
        <family val="2"/>
        <scheme val="minor"/>
      </rPr>
      <t>)</t>
    </r>
  </si>
  <si>
    <t>COMPARISONS:</t>
  </si>
  <si>
    <t>S-G?</t>
  </si>
  <si>
    <t>INSTRUCTIONS ARE AT BOTTOM OF PAGE</t>
  </si>
  <si>
    <t>SAFMC MPA EXPERT WORKGROUP Recommended? (1=YES, 0=NO)</t>
  </si>
  <si>
    <r>
      <t>AREA_KM</t>
    </r>
    <r>
      <rPr>
        <b/>
        <vertAlign val="superscript"/>
        <sz val="11"/>
        <color theme="1"/>
        <rFont val="Calibri"/>
        <family val="2"/>
        <scheme val="minor"/>
      </rPr>
      <t>2</t>
    </r>
  </si>
  <si>
    <r>
      <t>AREA_MI</t>
    </r>
    <r>
      <rPr>
        <b/>
        <vertAlign val="superscript"/>
        <sz val="11"/>
        <color theme="1"/>
        <rFont val="Calibri"/>
        <family val="2"/>
        <scheme val="minor"/>
      </rPr>
      <t>2</t>
    </r>
  </si>
  <si>
    <t>Site</t>
  </si>
  <si>
    <t>Workgroup Comments</t>
  </si>
  <si>
    <t>Snowy Edge</t>
  </si>
  <si>
    <t>Recommended as a good site for speckled hind.</t>
  </si>
  <si>
    <t>Snowy Grouper Wreck MPA</t>
  </si>
  <si>
    <t>Some NC fishermen indicated there were numbers of SH just inshore of the currently implemented MPA.</t>
  </si>
  <si>
    <t>A fisherman in the Workgroup reported historical catches of speckled hind and warsaw grouper in a triangular shaped area to the southwest end a fisherman.</t>
  </si>
  <si>
    <t>The workgroup suggested adding additional artificial reef material to this site.</t>
  </si>
  <si>
    <t>The Workgroup also recommends a reduction of the existing Snowy Grouper Wreck MPA (which contains point observations of speckled hind) from 190 to 18 sq. mi. to concentrate on the area of the Wreck itself.  Any of those three proposals would likely have an equal effect on populations of speckled hind and warsaw grouper.</t>
  </si>
  <si>
    <t>The workgroup suggested adding additional artificial reef material to the Snowy Grouper Wreck MPA, as the existing wreck is productive but small, and more material could increase fish production for the entire MPA.</t>
  </si>
  <si>
    <t>Big Rock</t>
  </si>
  <si>
    <t>An area where occurrence of both grouper species is well documented, and which contains a very high probability of containing speckled hind from the habitat and occurrence analyses.  Since it is well known by participants that Big Rock is an important headboat and charterboat fishing area, the Workgroup did not include this area in its final list of recommendations to reduce adverse socioeconomic impacts.</t>
  </si>
  <si>
    <t>780 Bottom Area</t>
  </si>
  <si>
    <t>The 780 Bottom is also considered an important area for speckled hind and warsaw grouper but, because it is farther from port, it is less often fished.</t>
  </si>
  <si>
    <t>Malchase Wreck</t>
  </si>
  <si>
    <t>Rather than close an area that is an important fishing location for locals and tourists, the Workgroup recommended including the Malchase Wreck and the “780 Bottom” area, which had not previously been considered by the Workgroup.</t>
  </si>
  <si>
    <t>780 Bottom Area, Malchase Wreck, South Cape Lookout, Southern NC</t>
  </si>
  <si>
    <t>The Workgroup recommend these sites.  These four sites contain at least one of the two grouper species of concern, and spawning of several snapper/grouper species has been documented (South Cape Lookout, Southern NC) or is likely.</t>
  </si>
  <si>
    <t>Northern South Carolina MPA</t>
  </si>
  <si>
    <t>A fisherman in the EWG reported historical catches of speckled hind and warsaw grouper in an area adjacent to this MPA and recommended an extension.</t>
  </si>
  <si>
    <t>The EWG recommended not rotating this MPA as rotating the box would eliminate the existing southeast corner that contains low-relief hard-bottom habitat where snowy grouper and blueline tilefish have been observed.  In addition, rotating of the box away from parallel lines of latitude caused concern with enforcement and compliance.</t>
  </si>
  <si>
    <t>Spawning speckled hind have been documented in the Northern SC MPA and the proposed extension.</t>
  </si>
  <si>
    <t>Northern South Carolina MPA/ Edisto Reconfiguration</t>
  </si>
  <si>
    <t>The existing and reconfigured Edisto and Northern SC MPAs have documented spawning of speckled hind.</t>
  </si>
  <si>
    <t>Edisto MPA</t>
  </si>
  <si>
    <t>The Workgroup also recommended rotating the existing Edisto MPA off South Carolina so that it follows the depth contours of the shelf edge, encompasses more of the shelf-edge reef habitat, and has north-south boundaries that are parallel to lines of latitude (enhancing compliance and enforcement).  The rotated configuration includes more habitat and reef fish spawning sites than the existing Edisto MPA.</t>
  </si>
  <si>
    <t>A fisherman also recommended another rotation of the MPA (Figure 6 in the May 2012 report).</t>
  </si>
  <si>
    <t>The group also recommended rotating the Edisto MPA off South Carolina so that it follows the depth contours of the shelf edge and encompasses more of the shelf-edge reef habitat.   The rotated configuration also includes more SH and WG capture locations in the fishery-independent database.</t>
  </si>
  <si>
    <t>The Devils Hole is an important bottom and pelagic-fishing area and a shelf-edge habitat where speckled hind have been observed in several locations.</t>
  </si>
  <si>
    <t>Devils Hole 3 site has a suspected warsaw grouper spawning location.  The cuspate bottom topography of Devils Hole contains steep and rugged bottom preferred by speckled hind and warsaw grouper.</t>
  </si>
  <si>
    <t>The Workgroup suggested a site off St. Simons Island GA of rectangular shape, oriented N-S, with an area = 82.1 mi2. The area would encompass several SH locations and appropriate habitat.</t>
  </si>
  <si>
    <t>Contains steep and rugged bottom preferred by SH and WG, as well as known occurrences of these species in fishery-independent sampling (including spawning locations of SH).</t>
  </si>
  <si>
    <t>Two suggestions for coordinates were included and both include populations of many snapper-grouper species.</t>
  </si>
  <si>
    <t>Is an important bottom and pelagic-fishing area and a shelf-edge habitat where SH were caught.  It contains more habitat than the proposed extension of the Northern South Carolina MPA.</t>
  </si>
  <si>
    <t>Georgia MPA Reconfiguration</t>
  </si>
  <si>
    <t>The Workgroup recommended the Georgia MPA Reconfiguration over the extension of the existing MPA, because the southern reconfiguration contains many more snapper/grouper spawning locations than the western extension of the existing MPA.</t>
  </si>
  <si>
    <t>St. Simons Extension 2</t>
  </si>
  <si>
    <t>Contains a large number of speckled hind observation points, many documented snapper/grouper spawning sites, and a continuous shelf-edge reef containing appropriate habitats for both species of grouper.</t>
  </si>
  <si>
    <t>North Florida MPA</t>
  </si>
  <si>
    <t>The existing North Florida MPA was considered effective for protecting a small area of habitat for speckled hind and warsaw grouper.</t>
  </si>
  <si>
    <t>The Workgroup suggested moving the North Florida MPA inshore so that it includes more of the shelf-edge reef habitat.  Moving the box inshore will protect more shelf-edge habitat where SH and WG occur.</t>
  </si>
  <si>
    <t>The Work group looked at a shelf-edge reef off St. Augustine FL, in an area that had previously been considered and rejected by the SAFMC during development of the MPAs implemented in 2009. The area includes habitat, locations and spawning sites for SH, and locations of WG.  This area is south of the existing (and proposed reoriented) North Florida MPA, and is connected to it by a contiguous reef and prevailing (Gulf Stream) currents.  Specific coordinates were suggested (Figure 8) for a rectangular shape, oriented N-S, with an area = 50.6 mi2. Selection of this site was based on the historical catch data.</t>
  </si>
  <si>
    <t>Although the Workgroup had previously recommended moving the North Florida MPA inshore, after further consideration it was felt that the existing orientation also provides some protection to deeper species such as golden tilefish.</t>
  </si>
  <si>
    <t>Fernandina Site</t>
  </si>
  <si>
    <t>Contains known spawning locations for snapper/grouper species, and several observation sites for speckled hind and warsaw grouper.</t>
  </si>
  <si>
    <r>
      <t xml:space="preserve">The Workgroup generally felt that the existing </t>
    </r>
    <r>
      <rPr>
        <i/>
        <sz val="11"/>
        <color theme="1"/>
        <rFont val="Calibri"/>
        <family val="2"/>
        <scheme val="minor"/>
      </rPr>
      <t>Oculina</t>
    </r>
    <r>
      <rPr>
        <sz val="11"/>
        <color theme="1"/>
        <rFont val="Calibri"/>
        <family val="2"/>
        <scheme val="minor"/>
      </rPr>
      <t xml:space="preserve"> Banks Habitat Area of Particular Concern and </t>
    </r>
    <r>
      <rPr>
        <i/>
        <sz val="11"/>
        <color theme="1"/>
        <rFont val="Calibri"/>
        <family val="2"/>
        <scheme val="minor"/>
      </rPr>
      <t>Oculina</t>
    </r>
    <r>
      <rPr>
        <sz val="11"/>
        <color theme="1"/>
        <rFont val="Calibri"/>
        <family val="2"/>
        <scheme val="minor"/>
      </rPr>
      <t xml:space="preserve"> Banks Experimental Closed Area, coupled with the generally high currents in the region due to the proximity of the Gulf Stream, makes these areas just south of Cape Canaveral fairly “protected” even though bottom hook-and-line fishing (including bandit reel) is allowed.</t>
    </r>
  </si>
  <si>
    <t>Push Button Hill</t>
  </si>
  <si>
    <r>
      <t xml:space="preserve">This site is important for a variety of species including WG, vermilion snapper, red porgy, gag, snowy grouper and greater amberjack.  Speckled hind are relatively rare at this site compared to other locations in this general area between the </t>
    </r>
    <r>
      <rPr>
        <i/>
        <sz val="11"/>
        <color theme="1"/>
        <rFont val="Calibri"/>
        <family val="2"/>
        <scheme val="minor"/>
      </rPr>
      <t>Oculina</t>
    </r>
    <r>
      <rPr>
        <sz val="11"/>
        <color theme="1"/>
        <rFont val="Calibri"/>
        <family val="2"/>
        <scheme val="minor"/>
      </rPr>
      <t xml:space="preserve"> banks to the north and the Florida Keys.  Push Button Hill is an important reef fish spawning ground for multiple species.  Banded rudderfish show up in large numbers in late March and usually exit the area by the end of May.</t>
    </r>
  </si>
  <si>
    <t>Large and small warsaw grouper have been reportedly caught off Juno.   Other species caught include vermilion snapper, greater amberjack, snowy grouper, almaco jack and red porgy.  Misty grouper (three) have been caught on the deeper part of this reef.</t>
  </si>
  <si>
    <t>High Peak is the most important pinnacle within this reef complex.  At least 40 WG have been caught from this location, including 10 on one trip in the fall in the late 1980s.  Other species caught include vermilion snapper, greater amberjack, snowy grouper, almaco jack and red porgy.  Misty grouper (three) have been caught on the deeper part of this reef.</t>
  </si>
  <si>
    <t>One WG of approximately 35 lbs. caught on this spot.</t>
  </si>
  <si>
    <t>Western Dry Rocks</t>
  </si>
  <si>
    <t>Warsaw Hole</t>
  </si>
  <si>
    <t>The Workgroup recommends establishing a new MPA around Warsaw Hole, an important spawning location for many reef fishes.   Not only does it have WG (occasionally caught), but almaco jack, greater amberjack (all winter long), groupers (including black and scamp), snappers [silk (yelloweye), blackfin, red, vermilion], and other reef fishes.  Warsaw grouper definitely aggregate there, as accounts from the old time conch fishermen clearly indicate there must have been an aggregation based on the numbers they caught.  Warsaw Hole may also be a spawning aggregation site for greater amberjack.  Warsaw grouper have been seen aggregating there in March, and one female has been caught with obvious roe. The area southeast and south west of Cosgrove Shoal is thought to be a spawning area for red snapper (Lindeman et al. 2000).</t>
  </si>
  <si>
    <t>Warsaw grouper have been seen aggregating there in March, and one female has been caught with obvious roe.</t>
  </si>
  <si>
    <t>Important Wrecks off Florida (East Coast) - "Chinaman’s Wreck"</t>
  </si>
  <si>
    <t>Several WG have been speared at this wreck, which sits in 210 ft. of water off Daytona, FL.  By some accounts this wreck held a lot of WG in the past, and several were speared in a single dive in 1977.</t>
  </si>
  <si>
    <t>Important Wrecks off Florida (East Coast) –“180”</t>
  </si>
  <si>
    <t>In the past, WG congregated here during cold water upwelling during June and July, and one fisherman caught about 10 on two trips.  Almaco jacks spawn here during late May-July.  Banded rudderfish spawn here during April-May.</t>
  </si>
  <si>
    <t>Important Wrecks off Florida (East Coast) –“Vitrick”</t>
  </si>
  <si>
    <t>It is known to harbor cubera snapper spawning aggregations and spawning occurs in July and August.  In the 1960s, it was not uncommon to see cuberas up to 100 lbs. with many in the 80-90 lb. range.  Like most of the wrecks at this depth, there are juvenile SH present, and these wrecks may act as nursery areas for SH.</t>
  </si>
  <si>
    <t>Important Wrecks off Florida (East Coast) - "Moffett", "Kenrick" (TD43588.4/13943.2), "Wilkes Barre" and "Lake City" wrecks</t>
  </si>
  <si>
    <t>Important Wrecks off Florida (East Coast)</t>
  </si>
  <si>
    <t>At the most recent meeting, the Workgroup decided to not consider wrecks in the Keys, as most are small and degrading rapidly.</t>
  </si>
  <si>
    <t>MPA EXPERT WORKGROUP REPORT # 1</t>
  </si>
  <si>
    <t>MPA EXPERT WORKGROUP REPORT # 2</t>
  </si>
  <si>
    <t>http://www.safmc.net/LinkClick.aspx?fileticket=5Cl1M4ndCp8%3D&amp;tabid=404</t>
  </si>
  <si>
    <t>http://www.safmc.net/LinkClick.aspx?fileticket=0Oo5AINDZqM%3D&amp;tabid=766</t>
  </si>
  <si>
    <t>The EWG recommended adding an extension to it, and establishing a new small and concise MPA around Georgetown Hole (also known as Devils Hole or Bulls Scarp) off South Carolina.</t>
  </si>
  <si>
    <t>Devils Hole 3 (aka Georgetown Hole or Bulls Scarp)</t>
  </si>
  <si>
    <t>East-West Face: Most of the largest WG (100-360 lbs.) from the Push Button Hill reef complex have been caught on this face and most of these near the southeast corner.</t>
  </si>
  <si>
    <t>East-West Ledge: Ben Hartig caught at least 25 WG from this location.  They were usually smaller on top of the ridges, with most in the 30-60 lb. range.  It is a good gag spot as well.  Greater amberjack are also commonly caught here during the spawning season.</t>
  </si>
  <si>
    <t>North-South Face: Warsaw grouper can be caught along this area in 290-330 feet but are usually single encounters.</t>
  </si>
  <si>
    <t>Unnamed Ridge: This spot has similar productivity and species complex as the "East-West Ledge".</t>
  </si>
  <si>
    <t>June Beach</t>
  </si>
  <si>
    <t>South Rock: At the southern end of the pinnacle system, several WG were caught here.</t>
  </si>
  <si>
    <t>Two WG were caught on this spot (“43023.0/61984.3”) in the 50-lb. range.  Other species include gag, greater amberjack, vermilion snapper, black sea bass, almaco jack and small (1-2 lb.) red snapper.</t>
  </si>
  <si>
    <t>Three WG were landed from this location (“43026.9/61980.5”) as well as all the species listed at the other St. Lucie Hump location.  Juvenile SH have been caught at this location on multiple trips.  Speckled hind are usually caught one to a drop on the tops of several peaks in the southern portion of the MPA.  All SH caught were juveniles.</t>
  </si>
  <si>
    <t>St. Lucie Humps MPA</t>
  </si>
  <si>
    <t>Oculina Banks and Cape Canaveral South</t>
  </si>
  <si>
    <t>The site may be one of the more important spawning sites in the Florida reef tract (although possibly not as important for SH and WG).  Western Dry Rock includes aggregations of permit, gag, scamp, black grouper and red snapper.  Gray snapper also aggregate and are believed to spawn in the same area where black grouper and spawning permit have been observed.</t>
  </si>
  <si>
    <t>All of the above wrecks held WG at one time.  One workshop participant did spear a WG on the "Kendrick" along with a large specked hind. There is also video of a large speckled hind in a lost fish trap at this site. The "Wilkes Barre"  contained many small speckled hind years ago; several sightings by the REEF program have been recorded here in early 2000s.</t>
  </si>
  <si>
    <t>These site descriptions were assimilated from the two SAFMC MPA Expert Workgroup reports (links at bottom of table); these reports were the product of some amazing collaborative efforts between fishermen, scientists, and other stakeholders, and should  be viewed as the primary source of information regarding these potential and existing MPA sites.</t>
  </si>
  <si>
    <t>allows SAFMC to select from the suite of MPAs evaluated by the Expert Working Group; provides cumulative totals for protection and harvest reductions estimated, provides additional details regarding type of MPA (e.g., "Existing", "New", "Reconfiguration", "Extension", etc.), provides additional details regarding what is known about spawning within a given area.  Further details on spawning at recommended locations may be found in EWG Report.  Allows user to evaluate the cumulative impacts by state and across the SAFMC relative to the status quo and EWG Recommendations (see the summary tables at the bottom of the page).</t>
  </si>
  <si>
    <t>x</t>
  </si>
  <si>
    <t>MEAN % COMMERCIAL HARVEST (2005-2011) BY DEPTH-GRID, RELATIVE TO MPAs (Existing &amp; EWG Recommended)</t>
  </si>
  <si>
    <t>MEAN % COMMERCIAL TRIPS (2005-2011) BY DEPTH-GRID, RELATIVE TO MPAs (Existing &amp; EWG Recommended)</t>
  </si>
  <si>
    <t>MEAN % HEADBOAT HARVEST (2005-2011) BY DEPTH-GRID, RELATIVE TO MPAs (Existing &amp; EWG Recommended)</t>
  </si>
  <si>
    <t>MEAN % HEADBOAT TRIPS (2005-2011) BY DEPTH-GRID, RELATIVE TO MPAs (Existing &amp; EWG Recommended)</t>
  </si>
  <si>
    <t>Oculina Bank CHAPC (as of Oct 2013)</t>
  </si>
  <si>
    <t>*excluding Daytona Steeples, Daytona Ledge, and Oculina ECA</t>
  </si>
  <si>
    <r>
      <t>Area (km</t>
    </r>
    <r>
      <rPr>
        <b/>
        <vertAlign val="superscript"/>
        <sz val="8"/>
        <color rgb="FF000000"/>
        <rFont val="Times New Roman"/>
        <family val="1"/>
      </rPr>
      <t>2</t>
    </r>
    <r>
      <rPr>
        <b/>
        <sz val="8"/>
        <color rgb="FF000000"/>
        <rFont val="Times New Roman"/>
        <family val="1"/>
      </rPr>
      <t>)</t>
    </r>
  </si>
  <si>
    <t>*excludes ECA, DAYTONA STEEPLES and DAYTONA LEDGE; assumes 50% efficiency</t>
  </si>
  <si>
    <t>*excluding Daytona Steeples, Daytona Ledge, and Oculina ECA - Note Oculina ECA is assumed 100% effective, and Daytona Ledge and Daytona Steeples are incorporated into the CHAPC values at the user-selected scalar efficiency unless selected by user for MPA designation, when they are assumed 100% effective.</t>
  </si>
  <si>
    <t>*excluding Daytona Steeples, Daytona Ledge, and Oculina ECA - Note Oculina ECA is assumed 100% effective, and Daytona Ledge and Daytona Steeples are incorporated into the CHAPC assuming 50% efficiency unless selected by user for MPA designation, when they are assumed 100% effective.</t>
  </si>
  <si>
    <t>Not considered for removal in Reg-17</t>
  </si>
  <si>
    <t>EAST FLORIDA</t>
  </si>
  <si>
    <t>SOUTH FLORIDA</t>
  </si>
  <si>
    <t>EWG MPA Options</t>
  </si>
  <si>
    <t>EWG MPA Recommendations</t>
  </si>
  <si>
    <t>Images of the Expert Workgroup's recommended MPAs for SAFMC consideration, by state.</t>
  </si>
  <si>
    <t>MPA Descriptions</t>
  </si>
  <si>
    <t>Descriptions from the EWG Reports regarding the MPAs under consideration.</t>
  </si>
  <si>
    <t>Images of various MPA options off North Carolina, including point observations relative to bathymetry, predicted percent of speckled hind stock, predicted percent of warsaw grouper stock, MARMAP observations of spawning condition females relative to MPA boundaries, 3D images of benthic topography relative to MPA boundaries, and MPA boundaries relative to NOAA chart showing TD/Loran lines.  Similar images to NC Options tabs for South Carolina, Georgia, Northeast Florida, and Southeast Florida.</t>
  </si>
  <si>
    <t>Images of spatial distribution of commercial and recreational landings and effort relative to proposed and existing MPAs.</t>
  </si>
  <si>
    <t>Fishery Impacts</t>
  </si>
  <si>
    <t>EWG Recs - NC, SC, GA, NEFL, SEFL</t>
  </si>
  <si>
    <t>from Farmer &amp; Karnauskas (2013) provides overview of analyses conducted to support this workbook</t>
  </si>
  <si>
    <t>from Farmer &amp; Karnauskas (2013), provides overview of analyses conducted to support this workbook</t>
  </si>
  <si>
    <t>Fishery Impacts: Headboat (% Reduction Landings)</t>
  </si>
  <si>
    <t>Fishery Impacts: Commercial (% Reduction Landings)</t>
  </si>
  <si>
    <t>Fishery Impacts (% Reduction Landings)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</si>
</sst>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i/>
      <sz val="11"/>
      <color theme="1"/>
      <name val="Calibri"/>
      <family val="2"/>
      <scheme val="minor"/>
    </font>
    <font>
      <i/>
      <sz val="8"/>
      <color theme="1"/>
      <name val="Calibri"/>
      <family val="2"/>
      <scheme val="minor"/>
    </font>
    <font>
      <b/>
      <sz val="10"/>
      <color theme="1"/>
      <name val="Calibri"/>
      <family val="2"/>
      <scheme val="minor"/>
    </font>
    <font>
      <sz val="10"/>
      <color theme="1"/>
      <name val="Calibri"/>
      <family val="2"/>
      <scheme val="minor"/>
    </font>
    <font>
      <b/>
      <sz val="8"/>
      <color theme="1"/>
      <name val="Calibri"/>
      <family val="2"/>
      <scheme val="minor"/>
    </font>
    <font>
      <sz val="10"/>
      <color indexed="81"/>
      <name val="Tahoma"/>
      <family val="2"/>
    </font>
    <font>
      <b/>
      <sz val="10"/>
      <color indexed="81"/>
      <name val="Tahoma"/>
      <family val="2"/>
    </font>
    <font>
      <sz val="8"/>
      <color theme="1"/>
      <name val="Calibri"/>
      <family val="2"/>
      <scheme val="minor"/>
    </font>
    <font>
      <sz val="6"/>
      <color theme="1"/>
      <name val="Calibri"/>
      <family val="2"/>
      <scheme val="minor"/>
    </font>
    <font>
      <i/>
      <sz val="6"/>
      <color theme="1"/>
      <name val="Calibri"/>
      <family val="2"/>
      <scheme val="minor"/>
    </font>
    <font>
      <b/>
      <sz val="8"/>
      <color theme="0"/>
      <name val="Calibri"/>
      <family val="2"/>
      <scheme val="minor"/>
    </font>
    <font>
      <b/>
      <sz val="12"/>
      <color rgb="FF000000"/>
      <name val="Calibri"/>
      <family val="2"/>
    </font>
    <font>
      <sz val="12"/>
      <color theme="1"/>
      <name val="Calibri"/>
      <family val="2"/>
      <scheme val="minor"/>
    </font>
    <font>
      <sz val="12"/>
      <color rgb="FF000000"/>
      <name val="Calibri"/>
      <family val="2"/>
    </font>
    <font>
      <sz val="12"/>
      <color rgb="FF000000"/>
      <name val="Calibri"/>
      <family val="2"/>
      <scheme val="minor"/>
    </font>
    <font>
      <vertAlign val="superscript"/>
      <sz val="11"/>
      <color theme="1"/>
      <name val="Calibri"/>
      <family val="2"/>
      <scheme val="minor"/>
    </font>
    <font>
      <b/>
      <sz val="12"/>
      <color theme="1"/>
      <name val="Times New Roman"/>
      <family val="1"/>
    </font>
    <font>
      <sz val="12"/>
      <color theme="1"/>
      <name val="Times New Roman"/>
      <family val="1"/>
    </font>
    <font>
      <b/>
      <sz val="8"/>
      <color rgb="FF000000"/>
      <name val="Times New Roman"/>
      <family val="1"/>
    </font>
    <font>
      <i/>
      <sz val="8"/>
      <color rgb="FF000000"/>
      <name val="Times New Roman"/>
      <family val="1"/>
    </font>
    <font>
      <sz val="8"/>
      <color rgb="FF000000"/>
      <name val="Times New Roman"/>
      <family val="1"/>
    </font>
    <font>
      <b/>
      <sz val="6"/>
      <color theme="1"/>
      <name val="Calibri"/>
      <family val="2"/>
      <scheme val="minor"/>
    </font>
    <font>
      <b/>
      <sz val="10"/>
      <color theme="1"/>
      <name val="Cambria"/>
      <family val="1"/>
      <scheme val="major"/>
    </font>
    <font>
      <b/>
      <vertAlign val="superscript"/>
      <sz val="8"/>
      <color theme="1"/>
      <name val="Calibri"/>
      <family val="2"/>
      <scheme val="minor"/>
    </font>
    <font>
      <b/>
      <sz val="8"/>
      <color rgb="FFFF0000"/>
      <name val="Calibri"/>
      <family val="2"/>
      <scheme val="minor"/>
    </font>
    <font>
      <b/>
      <vertAlign val="superscript"/>
      <sz val="11"/>
      <color theme="1"/>
      <name val="Calibri"/>
      <family val="2"/>
      <scheme val="minor"/>
    </font>
    <font>
      <u/>
      <sz val="11"/>
      <color theme="10"/>
      <name val="Calibri"/>
      <family val="2"/>
      <scheme val="minor"/>
    </font>
    <font>
      <sz val="11"/>
      <color rgb="FFC00000"/>
      <name val="Calibri"/>
      <family val="2"/>
      <scheme val="minor"/>
    </font>
    <font>
      <b/>
      <vertAlign val="superscript"/>
      <sz val="8"/>
      <color rgb="FF000000"/>
      <name val="Times New Roman"/>
      <family val="1"/>
    </font>
    <font>
      <sz val="9"/>
      <color indexed="81"/>
      <name val="Tahoma"/>
      <charset val="1"/>
    </font>
    <font>
      <b/>
      <sz val="9"/>
      <color indexed="81"/>
      <name val="Tahoma"/>
      <charset val="1"/>
    </font>
    <font>
      <b/>
      <sz val="36"/>
      <color theme="1"/>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CE6F2"/>
        <bgColor indexed="64"/>
      </patternFill>
    </fill>
    <fill>
      <patternFill patternType="solid">
        <fgColor rgb="FFF2F2F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7" tint="0.79998168889431442"/>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indexed="64"/>
      </left>
      <right style="thick">
        <color indexed="64"/>
      </right>
      <top style="thick">
        <color indexed="64"/>
      </top>
      <bottom/>
      <diagonal/>
    </border>
    <border>
      <left style="thick">
        <color rgb="FF000000"/>
      </left>
      <right style="thick">
        <color rgb="FF000000"/>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style="thick">
        <color indexed="64"/>
      </left>
      <right style="thick">
        <color indexed="64"/>
      </right>
      <top/>
      <bottom style="thick">
        <color indexed="64"/>
      </bottom>
      <diagonal/>
    </border>
    <border>
      <left style="thick">
        <color rgb="FF000000"/>
      </left>
      <right/>
      <top style="thick">
        <color rgb="FF000000"/>
      </top>
      <bottom style="thick">
        <color rgb="FF000000"/>
      </bottom>
      <diagonal/>
    </border>
    <border>
      <left style="thick">
        <color rgb="FF000000"/>
      </left>
      <right/>
      <top/>
      <bottom/>
      <diagonal/>
    </border>
    <border>
      <left/>
      <right style="thick">
        <color rgb="FF000000"/>
      </right>
      <top/>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bottom/>
      <diagonal/>
    </border>
    <border>
      <left style="thin">
        <color rgb="FF000000"/>
      </left>
      <right style="thin">
        <color rgb="FF000000"/>
      </right>
      <top/>
      <bottom/>
      <diagonal/>
    </border>
    <border>
      <left style="thin">
        <color rgb="FF000000"/>
      </left>
      <right style="thick">
        <color rgb="FF000000"/>
      </right>
      <top/>
      <bottom/>
      <diagonal/>
    </border>
    <border>
      <left/>
      <right style="thick">
        <color rgb="FF000000"/>
      </right>
      <top style="thick">
        <color rgb="FF000000"/>
      </top>
      <bottom style="thick">
        <color rgb="FF000000"/>
      </bottom>
      <diagonal/>
    </border>
    <border>
      <left style="thin">
        <color rgb="FF000000"/>
      </left>
      <right style="thick">
        <color rgb="FF000000"/>
      </right>
      <top/>
      <bottom style="thick">
        <color rgb="FF000000"/>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rgb="FF000000"/>
      </right>
      <top style="medium">
        <color indexed="64"/>
      </top>
      <bottom/>
      <diagonal/>
    </border>
    <border>
      <left/>
      <right style="medium">
        <color rgb="FF000000"/>
      </right>
      <top/>
      <bottom/>
      <diagonal/>
    </border>
    <border>
      <left style="medium">
        <color rgb="FF000000"/>
      </left>
      <right/>
      <top style="medium">
        <color indexed="64"/>
      </top>
      <bottom/>
      <diagonal/>
    </border>
    <border>
      <left style="medium">
        <color rgb="FF000000"/>
      </left>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s>
  <cellStyleXfs count="3">
    <xf numFmtId="0" fontId="0" fillId="0" borderId="0"/>
    <xf numFmtId="9" fontId="1" fillId="0" borderId="0" applyFont="0" applyFill="0" applyBorder="0" applyAlignment="0" applyProtection="0"/>
    <xf numFmtId="0" fontId="31" fillId="0" borderId="0" applyNumberFormat="0" applyFill="0" applyBorder="0" applyAlignment="0" applyProtection="0"/>
  </cellStyleXfs>
  <cellXfs count="876">
    <xf numFmtId="0" fontId="0" fillId="0" borderId="0" xfId="0"/>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0" xfId="0" applyFont="1" applyFill="1" applyBorder="1" applyAlignment="1">
      <alignment horizontal="center" vertical="center" wrapText="1"/>
    </xf>
    <xf numFmtId="0" fontId="0" fillId="0" borderId="1" xfId="0" applyFont="1" applyBorder="1" applyAlignment="1">
      <alignment horizontal="center"/>
    </xf>
    <xf numFmtId="0" fontId="0" fillId="0" borderId="2" xfId="0" applyFont="1" applyBorder="1" applyAlignment="1">
      <alignment horizontal="center"/>
    </xf>
    <xf numFmtId="164" fontId="0" fillId="0" borderId="2" xfId="0" applyNumberFormat="1" applyFont="1" applyBorder="1" applyAlignment="1">
      <alignment horizontal="center"/>
    </xf>
    <xf numFmtId="0" fontId="0" fillId="0" borderId="3" xfId="0" applyFont="1" applyBorder="1" applyAlignment="1">
      <alignment horizontal="center"/>
    </xf>
    <xf numFmtId="0" fontId="0" fillId="0" borderId="14" xfId="0" applyFont="1" applyBorder="1" applyAlignment="1">
      <alignment horizontal="center"/>
    </xf>
    <xf numFmtId="165" fontId="1" fillId="0" borderId="2" xfId="1" applyNumberFormat="1" applyFont="1" applyBorder="1" applyAlignment="1">
      <alignment horizontal="center"/>
    </xf>
    <xf numFmtId="165" fontId="1" fillId="0" borderId="2" xfId="1" applyNumberFormat="1" applyFont="1" applyBorder="1" applyAlignment="1">
      <alignment horizontal="center" wrapText="1"/>
    </xf>
    <xf numFmtId="165" fontId="1" fillId="0" borderId="3" xfId="1" applyNumberFormat="1" applyFont="1" applyBorder="1" applyAlignment="1">
      <alignment horizontal="center" wrapText="1"/>
    </xf>
    <xf numFmtId="0" fontId="0" fillId="0" borderId="15" xfId="0" applyFont="1" applyBorder="1" applyAlignment="1">
      <alignment horizontal="center"/>
    </xf>
    <xf numFmtId="0" fontId="0" fillId="0" borderId="16" xfId="0" applyFont="1" applyBorder="1" applyAlignment="1">
      <alignment horizontal="center"/>
    </xf>
    <xf numFmtId="0" fontId="0" fillId="0" borderId="4" xfId="0" applyFont="1" applyBorder="1" applyAlignment="1">
      <alignment horizontal="center"/>
    </xf>
    <xf numFmtId="0" fontId="0" fillId="0" borderId="0" xfId="0" applyFont="1" applyBorder="1" applyAlignment="1">
      <alignment horizontal="center"/>
    </xf>
    <xf numFmtId="164" fontId="0" fillId="0" borderId="0" xfId="0" applyNumberFormat="1" applyFont="1" applyBorder="1" applyAlignment="1">
      <alignment horizontal="center"/>
    </xf>
    <xf numFmtId="0" fontId="0" fillId="0" borderId="5" xfId="0" applyFont="1" applyBorder="1" applyAlignment="1">
      <alignment horizontal="center"/>
    </xf>
    <xf numFmtId="0" fontId="0" fillId="0" borderId="17" xfId="0" applyFont="1" applyBorder="1" applyAlignment="1">
      <alignment horizontal="center"/>
    </xf>
    <xf numFmtId="165" fontId="1" fillId="0" borderId="6" xfId="1" applyNumberFormat="1" applyFont="1" applyBorder="1" applyAlignment="1">
      <alignment horizontal="center"/>
    </xf>
    <xf numFmtId="165" fontId="1" fillId="0" borderId="7" xfId="1" applyNumberFormat="1" applyFont="1" applyBorder="1" applyAlignment="1">
      <alignment horizontal="center"/>
    </xf>
    <xf numFmtId="165" fontId="1" fillId="0" borderId="0" xfId="1" applyNumberFormat="1" applyFont="1" applyBorder="1" applyAlignment="1">
      <alignment horizontal="center"/>
    </xf>
    <xf numFmtId="165" fontId="1" fillId="0" borderId="0" xfId="1" applyNumberFormat="1" applyFont="1" applyBorder="1" applyAlignment="1">
      <alignment horizontal="center" wrapText="1"/>
    </xf>
    <xf numFmtId="165" fontId="1" fillId="0" borderId="5" xfId="1" applyNumberFormat="1" applyFont="1" applyBorder="1" applyAlignment="1">
      <alignment horizontal="center" wrapText="1"/>
    </xf>
    <xf numFmtId="0" fontId="0" fillId="0" borderId="6" xfId="0" applyFont="1" applyBorder="1" applyAlignment="1">
      <alignment horizontal="center"/>
    </xf>
    <xf numFmtId="0" fontId="0" fillId="0" borderId="7"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164" fontId="0" fillId="0" borderId="9" xfId="0" applyNumberFormat="1" applyFont="1" applyBorder="1" applyAlignment="1">
      <alignment horizontal="center"/>
    </xf>
    <xf numFmtId="0" fontId="0" fillId="0" borderId="10" xfId="0" applyBorder="1" applyAlignment="1">
      <alignment horizontal="center"/>
    </xf>
    <xf numFmtId="0" fontId="0" fillId="0" borderId="11" xfId="0" applyFont="1" applyBorder="1" applyAlignment="1">
      <alignment horizontal="center"/>
    </xf>
    <xf numFmtId="0" fontId="5" fillId="0" borderId="4" xfId="0" applyFont="1" applyBorder="1" applyAlignment="1">
      <alignment horizontal="center"/>
    </xf>
    <xf numFmtId="0" fontId="5" fillId="0" borderId="0" xfId="0" applyFont="1" applyBorder="1" applyAlignment="1">
      <alignment horizontal="center"/>
    </xf>
    <xf numFmtId="165" fontId="0" fillId="0" borderId="7" xfId="0" applyNumberFormat="1" applyFont="1" applyBorder="1" applyAlignment="1">
      <alignment horizontal="center"/>
    </xf>
    <xf numFmtId="165" fontId="0" fillId="0" borderId="0" xfId="0" applyNumberFormat="1" applyFont="1" applyBorder="1" applyAlignment="1">
      <alignment horizontal="center"/>
    </xf>
    <xf numFmtId="165" fontId="0" fillId="0" borderId="0" xfId="0" applyNumberFormat="1" applyFont="1" applyBorder="1" applyAlignment="1">
      <alignment horizontal="center" wrapText="1"/>
    </xf>
    <xf numFmtId="165" fontId="0" fillId="0" borderId="5" xfId="0" applyNumberFormat="1" applyFont="1" applyBorder="1" applyAlignment="1">
      <alignment horizontal="center" wrapText="1"/>
    </xf>
    <xf numFmtId="165" fontId="0" fillId="0" borderId="6" xfId="0" applyNumberFormat="1" applyFont="1" applyBorder="1" applyAlignment="1">
      <alignment horizontal="center"/>
    </xf>
    <xf numFmtId="165" fontId="1" fillId="0" borderId="4" xfId="1" applyNumberFormat="1" applyFont="1" applyBorder="1" applyAlignment="1">
      <alignment horizontal="center"/>
    </xf>
    <xf numFmtId="165" fontId="0" fillId="0" borderId="5" xfId="0" applyNumberFormat="1" applyFont="1" applyBorder="1" applyAlignment="1">
      <alignment horizontal="center"/>
    </xf>
    <xf numFmtId="165" fontId="0" fillId="0" borderId="4" xfId="0" applyNumberFormat="1" applyFont="1" applyBorder="1" applyAlignment="1">
      <alignment horizontal="center"/>
    </xf>
    <xf numFmtId="0" fontId="6" fillId="0" borderId="4" xfId="0" applyFont="1" applyBorder="1" applyAlignment="1">
      <alignment horizontal="center" wrapText="1"/>
    </xf>
    <xf numFmtId="0" fontId="5" fillId="0" borderId="8" xfId="0" applyFont="1" applyBorder="1" applyAlignment="1">
      <alignment horizontal="center"/>
    </xf>
    <xf numFmtId="0" fontId="5" fillId="0" borderId="9" xfId="0" applyFont="1" applyBorder="1" applyAlignment="1">
      <alignment horizontal="center"/>
    </xf>
    <xf numFmtId="165" fontId="0" fillId="0" borderId="12" xfId="0" applyNumberFormat="1" applyFont="1" applyBorder="1" applyAlignment="1">
      <alignment horizontal="center"/>
    </xf>
    <xf numFmtId="165" fontId="0" fillId="0" borderId="13" xfId="0" applyNumberFormat="1" applyFont="1" applyBorder="1" applyAlignment="1">
      <alignment horizontal="center"/>
    </xf>
    <xf numFmtId="165" fontId="0" fillId="0" borderId="9" xfId="0" applyNumberFormat="1" applyFont="1" applyBorder="1" applyAlignment="1">
      <alignment horizontal="center"/>
    </xf>
    <xf numFmtId="165" fontId="0" fillId="0" borderId="9" xfId="0" applyNumberFormat="1" applyFont="1" applyBorder="1" applyAlignment="1">
      <alignment horizontal="center" wrapText="1"/>
    </xf>
    <xf numFmtId="165" fontId="0" fillId="0" borderId="10" xfId="0" applyNumberFormat="1" applyFont="1" applyBorder="1" applyAlignment="1">
      <alignment horizontal="center" wrapText="1"/>
    </xf>
    <xf numFmtId="165" fontId="0" fillId="0" borderId="8" xfId="0" applyNumberFormat="1" applyFont="1" applyBorder="1" applyAlignment="1">
      <alignment horizontal="center"/>
    </xf>
    <xf numFmtId="165" fontId="0" fillId="0" borderId="10" xfId="0" applyNumberFormat="1"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0" fillId="0" borderId="3" xfId="0" applyBorder="1" applyAlignment="1">
      <alignment horizontal="center"/>
    </xf>
    <xf numFmtId="165" fontId="0" fillId="0" borderId="15" xfId="0" applyNumberFormat="1" applyFont="1" applyBorder="1" applyAlignment="1">
      <alignment horizontal="center"/>
    </xf>
    <xf numFmtId="165" fontId="0" fillId="0" borderId="16" xfId="0" applyNumberFormat="1" applyFont="1" applyBorder="1" applyAlignment="1">
      <alignment horizontal="center"/>
    </xf>
    <xf numFmtId="165" fontId="0" fillId="0" borderId="2" xfId="0" applyNumberFormat="1" applyFont="1" applyBorder="1" applyAlignment="1">
      <alignment horizontal="center"/>
    </xf>
    <xf numFmtId="165" fontId="0" fillId="0" borderId="2" xfId="0" applyNumberFormat="1" applyFont="1" applyBorder="1" applyAlignment="1">
      <alignment horizontal="center" wrapText="1"/>
    </xf>
    <xf numFmtId="165" fontId="0" fillId="0" borderId="3" xfId="0" applyNumberFormat="1" applyFont="1" applyBorder="1" applyAlignment="1">
      <alignment horizontal="center" wrapText="1"/>
    </xf>
    <xf numFmtId="165" fontId="0" fillId="0" borderId="1" xfId="0" applyNumberFormat="1" applyFont="1" applyBorder="1" applyAlignment="1">
      <alignment horizontal="center"/>
    </xf>
    <xf numFmtId="165" fontId="0" fillId="0" borderId="3" xfId="0" applyNumberFormat="1" applyFont="1" applyBorder="1" applyAlignment="1">
      <alignment horizontal="center"/>
    </xf>
    <xf numFmtId="9" fontId="1" fillId="0" borderId="15" xfId="1" applyFont="1" applyBorder="1" applyAlignment="1">
      <alignment horizontal="center"/>
    </xf>
    <xf numFmtId="9" fontId="1" fillId="0" borderId="16" xfId="1" applyFont="1" applyBorder="1" applyAlignment="1">
      <alignment horizontal="center"/>
    </xf>
    <xf numFmtId="0" fontId="4" fillId="3" borderId="18" xfId="0" applyFont="1" applyFill="1" applyBorder="1" applyAlignment="1">
      <alignment horizontal="center"/>
    </xf>
    <xf numFmtId="0" fontId="4" fillId="3" borderId="19" xfId="0" applyFont="1" applyFill="1" applyBorder="1" applyAlignment="1">
      <alignment horizontal="center"/>
    </xf>
    <xf numFmtId="164" fontId="2" fillId="3" borderId="19" xfId="0" applyNumberFormat="1" applyFont="1" applyFill="1" applyBorder="1" applyAlignment="1">
      <alignment horizontal="center"/>
    </xf>
    <xf numFmtId="0" fontId="2" fillId="3" borderId="20" xfId="0" applyFont="1" applyFill="1" applyBorder="1" applyAlignment="1">
      <alignment horizontal="center"/>
    </xf>
    <xf numFmtId="165" fontId="2" fillId="3" borderId="19" xfId="0" applyNumberFormat="1" applyFont="1" applyFill="1" applyBorder="1" applyAlignment="1">
      <alignment horizontal="center"/>
    </xf>
    <xf numFmtId="165" fontId="2" fillId="3" borderId="19" xfId="0" applyNumberFormat="1" applyFont="1" applyFill="1" applyBorder="1" applyAlignment="1">
      <alignment horizontal="center" wrapText="1"/>
    </xf>
    <xf numFmtId="165" fontId="2" fillId="3" borderId="20" xfId="0" applyNumberFormat="1" applyFont="1" applyFill="1" applyBorder="1" applyAlignment="1">
      <alignment horizontal="center" wrapText="1"/>
    </xf>
    <xf numFmtId="165" fontId="2" fillId="3" borderId="18" xfId="0" applyNumberFormat="1" applyFont="1" applyFill="1" applyBorder="1" applyAlignment="1">
      <alignment horizontal="center"/>
    </xf>
    <xf numFmtId="165" fontId="2" fillId="3" borderId="21" xfId="0" applyNumberFormat="1" applyFont="1" applyFill="1" applyBorder="1" applyAlignment="1">
      <alignment horizontal="center"/>
    </xf>
    <xf numFmtId="165" fontId="2" fillId="3" borderId="22" xfId="0" applyNumberFormat="1" applyFont="1" applyFill="1" applyBorder="1" applyAlignment="1">
      <alignment horizontal="center"/>
    </xf>
    <xf numFmtId="165" fontId="2" fillId="3" borderId="20" xfId="0" applyNumberFormat="1" applyFont="1" applyFill="1" applyBorder="1" applyAlignment="1">
      <alignment horizont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4" fillId="3" borderId="1" xfId="0" applyFont="1" applyFill="1" applyBorder="1" applyAlignment="1">
      <alignment horizontal="center"/>
    </xf>
    <xf numFmtId="0" fontId="4" fillId="3" borderId="2" xfId="0" applyFont="1" applyFill="1" applyBorder="1" applyAlignment="1">
      <alignment horizontal="center"/>
    </xf>
    <xf numFmtId="164" fontId="2" fillId="3" borderId="2" xfId="0" applyNumberFormat="1" applyFont="1" applyFill="1" applyBorder="1" applyAlignment="1">
      <alignment horizontal="center"/>
    </xf>
    <xf numFmtId="0" fontId="2" fillId="3" borderId="3" xfId="0" applyFont="1" applyFill="1" applyBorder="1" applyAlignment="1">
      <alignment horizontal="center"/>
    </xf>
    <xf numFmtId="165" fontId="2" fillId="3" borderId="2" xfId="0" applyNumberFormat="1" applyFont="1" applyFill="1" applyBorder="1" applyAlignment="1">
      <alignment horizontal="center"/>
    </xf>
    <xf numFmtId="165" fontId="2" fillId="3" borderId="2" xfId="0" applyNumberFormat="1" applyFont="1" applyFill="1" applyBorder="1" applyAlignment="1">
      <alignment horizontal="center" wrapText="1"/>
    </xf>
    <xf numFmtId="165" fontId="2" fillId="3" borderId="3" xfId="0" applyNumberFormat="1" applyFont="1" applyFill="1" applyBorder="1" applyAlignment="1">
      <alignment horizontal="center" wrapText="1"/>
    </xf>
    <xf numFmtId="165" fontId="2" fillId="3" borderId="1" xfId="0" applyNumberFormat="1" applyFont="1" applyFill="1" applyBorder="1" applyAlignment="1">
      <alignment horizontal="center"/>
    </xf>
    <xf numFmtId="165" fontId="2" fillId="3" borderId="15" xfId="0" applyNumberFormat="1" applyFont="1" applyFill="1" applyBorder="1" applyAlignment="1">
      <alignment horizontal="center"/>
    </xf>
    <xf numFmtId="165" fontId="2" fillId="3" borderId="16" xfId="0" applyNumberFormat="1" applyFont="1" applyFill="1" applyBorder="1" applyAlignment="1">
      <alignment horizontal="center"/>
    </xf>
    <xf numFmtId="165" fontId="2" fillId="3" borderId="3" xfId="0" applyNumberFormat="1" applyFont="1" applyFill="1" applyBorder="1" applyAlignment="1">
      <alignment horizontal="center"/>
    </xf>
    <xf numFmtId="1" fontId="0" fillId="0" borderId="0" xfId="0" applyNumberFormat="1" applyFont="1" applyBorder="1" applyAlignment="1">
      <alignment horizontal="center"/>
    </xf>
    <xf numFmtId="1" fontId="0" fillId="0" borderId="0" xfId="0" applyNumberFormat="1" applyFont="1" applyBorder="1" applyAlignment="1">
      <alignment horizontal="center" wrapText="1"/>
    </xf>
    <xf numFmtId="1" fontId="0" fillId="0" borderId="5" xfId="0" applyNumberFormat="1" applyFont="1" applyBorder="1" applyAlignment="1">
      <alignment horizontal="center" wrapText="1"/>
    </xf>
    <xf numFmtId="1" fontId="0" fillId="0" borderId="9" xfId="0" applyNumberFormat="1" applyFont="1" applyBorder="1" applyAlignment="1">
      <alignment horizontal="center"/>
    </xf>
    <xf numFmtId="1" fontId="1" fillId="0" borderId="0" xfId="1" applyNumberFormat="1" applyFont="1" applyBorder="1" applyAlignment="1">
      <alignment horizontal="center"/>
    </xf>
    <xf numFmtId="1" fontId="1" fillId="0" borderId="0" xfId="1" applyNumberFormat="1" applyFont="1" applyBorder="1" applyAlignment="1">
      <alignment horizontal="center" wrapText="1"/>
    </xf>
    <xf numFmtId="1" fontId="1" fillId="0" borderId="5" xfId="1" applyNumberFormat="1" applyFont="1" applyBorder="1" applyAlignment="1">
      <alignment horizontal="center" wrapText="1"/>
    </xf>
    <xf numFmtId="1" fontId="0" fillId="0" borderId="9" xfId="0" applyNumberFormat="1" applyFont="1" applyBorder="1" applyAlignment="1">
      <alignment horizontal="center" wrapText="1"/>
    </xf>
    <xf numFmtId="1" fontId="0" fillId="0" borderId="10" xfId="0" applyNumberFormat="1" applyFont="1" applyBorder="1" applyAlignment="1">
      <alignment horizontal="center" wrapText="1"/>
    </xf>
    <xf numFmtId="1" fontId="0" fillId="0" borderId="2" xfId="0" applyNumberFormat="1" applyFont="1" applyBorder="1" applyAlignment="1">
      <alignment horizontal="center"/>
    </xf>
    <xf numFmtId="1" fontId="0" fillId="0" borderId="2" xfId="0" applyNumberFormat="1" applyFont="1" applyBorder="1" applyAlignment="1">
      <alignment horizontal="center" wrapText="1"/>
    </xf>
    <xf numFmtId="1" fontId="0" fillId="0" borderId="3" xfId="0" applyNumberFormat="1" applyFont="1" applyBorder="1" applyAlignment="1">
      <alignment horizontal="center" wrapText="1"/>
    </xf>
    <xf numFmtId="0" fontId="0" fillId="0" borderId="0" xfId="0" applyAlignment="1">
      <alignment horizontal="center"/>
    </xf>
    <xf numFmtId="0" fontId="3" fillId="4" borderId="23" xfId="0" applyFont="1" applyFill="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2" fillId="3" borderId="23" xfId="0" applyFont="1" applyFill="1" applyBorder="1" applyAlignment="1">
      <alignment horizontal="center"/>
    </xf>
    <xf numFmtId="0" fontId="12" fillId="0" borderId="4" xfId="0" applyFont="1" applyBorder="1" applyAlignment="1">
      <alignment horizontal="center"/>
    </xf>
    <xf numFmtId="0" fontId="13" fillId="0" borderId="4" xfId="0" applyFont="1" applyBorder="1" applyAlignment="1">
      <alignment horizontal="center"/>
    </xf>
    <xf numFmtId="0" fontId="14" fillId="0" borderId="4" xfId="0" applyFont="1" applyBorder="1" applyAlignment="1">
      <alignment horizontal="center" wrapText="1"/>
    </xf>
    <xf numFmtId="0" fontId="5" fillId="0" borderId="18" xfId="0" applyFont="1" applyBorder="1" applyAlignment="1">
      <alignment horizontal="center"/>
    </xf>
    <xf numFmtId="0" fontId="5" fillId="0" borderId="19" xfId="0" applyFont="1" applyBorder="1" applyAlignment="1">
      <alignment horizontal="center"/>
    </xf>
    <xf numFmtId="164" fontId="0" fillId="0" borderId="19" xfId="0" applyNumberFormat="1" applyFont="1" applyBorder="1" applyAlignment="1">
      <alignment horizontal="center"/>
    </xf>
    <xf numFmtId="0" fontId="0" fillId="0" borderId="20" xfId="0" applyBorder="1" applyAlignment="1">
      <alignment horizontal="center"/>
    </xf>
    <xf numFmtId="165" fontId="0" fillId="0" borderId="19" xfId="0" applyNumberFormat="1" applyFont="1" applyBorder="1" applyAlignment="1">
      <alignment horizontal="center"/>
    </xf>
    <xf numFmtId="165" fontId="0" fillId="0" borderId="19" xfId="0" applyNumberFormat="1" applyFont="1" applyBorder="1" applyAlignment="1">
      <alignment horizontal="center" wrapText="1"/>
    </xf>
    <xf numFmtId="165" fontId="0" fillId="0" borderId="20" xfId="0" applyNumberFormat="1" applyFont="1" applyBorder="1" applyAlignment="1">
      <alignment horizontal="center" wrapText="1"/>
    </xf>
    <xf numFmtId="165" fontId="0" fillId="0" borderId="18" xfId="0" applyNumberFormat="1" applyFont="1" applyBorder="1" applyAlignment="1">
      <alignment horizontal="center"/>
    </xf>
    <xf numFmtId="165" fontId="0" fillId="0" borderId="21" xfId="0" applyNumberFormat="1" applyFont="1" applyBorder="1" applyAlignment="1">
      <alignment horizontal="center"/>
    </xf>
    <xf numFmtId="165" fontId="0" fillId="0" borderId="22" xfId="0" applyNumberFormat="1" applyFont="1" applyBorder="1" applyAlignment="1">
      <alignment horizontal="center"/>
    </xf>
    <xf numFmtId="165" fontId="0" fillId="0" borderId="20" xfId="0" applyNumberFormat="1" applyFont="1" applyBorder="1" applyAlignment="1">
      <alignment horizont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wrapText="1"/>
    </xf>
    <xf numFmtId="0" fontId="0" fillId="0" borderId="18" xfId="0" applyBorder="1"/>
    <xf numFmtId="1" fontId="0" fillId="0" borderId="19" xfId="0" applyNumberFormat="1" applyBorder="1" applyAlignment="1">
      <alignment horizontal="center" vertical="center"/>
    </xf>
    <xf numFmtId="9" fontId="0" fillId="0" borderId="19" xfId="1" applyFont="1" applyBorder="1" applyAlignment="1">
      <alignment horizontal="center" vertical="center"/>
    </xf>
    <xf numFmtId="0" fontId="0" fillId="0" borderId="20" xfId="0" applyBorder="1" applyAlignment="1">
      <alignment horizontal="center" vertical="center"/>
    </xf>
    <xf numFmtId="9" fontId="0" fillId="0" borderId="18" xfId="1" applyFont="1" applyBorder="1" applyAlignment="1">
      <alignment horizontal="center" vertical="center"/>
    </xf>
    <xf numFmtId="9" fontId="0" fillId="0" borderId="20" xfId="1" applyFont="1" applyBorder="1" applyAlignment="1">
      <alignment horizontal="center" vertical="center"/>
    </xf>
    <xf numFmtId="9" fontId="0" fillId="0" borderId="21" xfId="1" applyFont="1" applyBorder="1" applyAlignment="1">
      <alignment horizontal="center" vertical="center"/>
    </xf>
    <xf numFmtId="0" fontId="12" fillId="0" borderId="18" xfId="0" applyFont="1" applyBorder="1" applyAlignment="1">
      <alignment wrapText="1"/>
    </xf>
    <xf numFmtId="0" fontId="0" fillId="0" borderId="0" xfId="0" applyAlignment="1">
      <alignment horizontal="right"/>
    </xf>
    <xf numFmtId="0" fontId="0" fillId="0" borderId="23"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4" xfId="0" applyBorder="1" applyAlignment="1" applyProtection="1">
      <alignment horizontal="center"/>
      <protection locked="0"/>
    </xf>
    <xf numFmtId="9" fontId="0" fillId="5" borderId="23" xfId="0" applyNumberFormat="1" applyFill="1" applyBorder="1" applyProtection="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17" fillId="0" borderId="0" xfId="0" applyFont="1"/>
    <xf numFmtId="0" fontId="16" fillId="6" borderId="33" xfId="0" applyFont="1" applyFill="1" applyBorder="1" applyAlignment="1">
      <alignment horizontal="center" vertical="center" textRotation="90" wrapText="1" readingOrder="1"/>
    </xf>
    <xf numFmtId="0" fontId="16" fillId="6" borderId="34" xfId="0" applyFont="1" applyFill="1" applyBorder="1" applyAlignment="1">
      <alignment horizontal="center" vertical="center" textRotation="90" wrapText="1" readingOrder="1"/>
    </xf>
    <xf numFmtId="0" fontId="16" fillId="6" borderId="35" xfId="0" applyFont="1" applyFill="1" applyBorder="1" applyAlignment="1">
      <alignment horizontal="center" vertical="center" textRotation="90" wrapText="1" readingOrder="1"/>
    </xf>
    <xf numFmtId="0" fontId="16" fillId="6" borderId="36" xfId="0" applyFont="1" applyFill="1" applyBorder="1" applyAlignment="1">
      <alignment horizontal="center" vertical="center" textRotation="90" wrapText="1" readingOrder="1"/>
    </xf>
    <xf numFmtId="0" fontId="16" fillId="6" borderId="37" xfId="0" applyFont="1" applyFill="1" applyBorder="1" applyAlignment="1">
      <alignment horizontal="center" vertical="center" textRotation="90" wrapText="1" readingOrder="1"/>
    </xf>
    <xf numFmtId="0" fontId="16" fillId="6" borderId="38" xfId="0" applyFont="1" applyFill="1" applyBorder="1" applyAlignment="1">
      <alignment horizontal="center" vertical="center" textRotation="90" wrapText="1" readingOrder="1"/>
    </xf>
    <xf numFmtId="0" fontId="18" fillId="0" borderId="40" xfId="0" applyFont="1" applyBorder="1" applyAlignment="1">
      <alignment horizontal="center" vertical="center" wrapText="1" readingOrder="1"/>
    </xf>
    <xf numFmtId="0" fontId="19" fillId="0" borderId="41" xfId="0" applyFont="1" applyBorder="1" applyAlignment="1">
      <alignment horizontal="center" vertical="center" wrapText="1" readingOrder="1"/>
    </xf>
    <xf numFmtId="0" fontId="19" fillId="0" borderId="0" xfId="0" applyFont="1" applyBorder="1" applyAlignment="1">
      <alignment horizontal="center" vertical="center" wrapText="1" readingOrder="1"/>
    </xf>
    <xf numFmtId="0" fontId="19" fillId="0" borderId="42" xfId="0" applyFont="1" applyBorder="1" applyAlignment="1">
      <alignment horizontal="center" vertical="center" wrapText="1" readingOrder="1"/>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8" fillId="0" borderId="35" xfId="0" applyFont="1" applyBorder="1" applyAlignment="1">
      <alignment horizontal="center" vertical="center" wrapText="1" readingOrder="1"/>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8" fillId="0" borderId="49" xfId="0" applyFont="1" applyBorder="1" applyAlignment="1">
      <alignment horizontal="center" vertical="center" wrapText="1"/>
    </xf>
    <xf numFmtId="0" fontId="18" fillId="0" borderId="49" xfId="0" applyFont="1" applyBorder="1" applyAlignment="1">
      <alignment horizontal="center" vertical="center" wrapText="1" readingOrder="1"/>
    </xf>
    <xf numFmtId="0" fontId="19" fillId="0" borderId="33" xfId="0" applyFont="1" applyBorder="1" applyAlignment="1">
      <alignment horizontal="center" vertical="center" wrapText="1" readingOrder="1"/>
    </xf>
    <xf numFmtId="0" fontId="19" fillId="0" borderId="34" xfId="0" applyFont="1" applyBorder="1" applyAlignment="1">
      <alignment horizontal="center" vertical="center" wrapText="1" readingOrder="1"/>
    </xf>
    <xf numFmtId="0" fontId="19" fillId="0" borderId="35" xfId="0" applyFont="1" applyBorder="1" applyAlignment="1">
      <alignment horizontal="center" vertical="center" wrapText="1" readingOrder="1"/>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50"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9" fillId="2" borderId="1" xfId="0" applyFont="1" applyFill="1" applyBorder="1" applyAlignment="1">
      <alignment horizontal="center" vertical="center" wrapText="1"/>
    </xf>
    <xf numFmtId="0" fontId="0" fillId="0" borderId="0" xfId="0" applyAlignment="1"/>
    <xf numFmtId="0" fontId="0" fillId="0" borderId="4" xfId="0" applyBorder="1" applyAlignment="1"/>
    <xf numFmtId="0" fontId="0" fillId="0" borderId="8" xfId="0" applyBorder="1" applyAlignment="1"/>
    <xf numFmtId="0" fontId="9"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164" fontId="0" fillId="0" borderId="4" xfId="0" applyNumberFormat="1" applyBorder="1" applyAlignment="1">
      <alignment horizontal="center"/>
    </xf>
    <xf numFmtId="164" fontId="0" fillId="0" borderId="5" xfId="0" applyNumberFormat="1" applyBorder="1" applyAlignment="1">
      <alignment horizontal="center"/>
    </xf>
    <xf numFmtId="10" fontId="0" fillId="0" borderId="0" xfId="1" applyNumberFormat="1" applyFont="1" applyBorder="1" applyAlignment="1">
      <alignment horizontal="center"/>
    </xf>
    <xf numFmtId="10" fontId="0" fillId="0" borderId="5" xfId="1" applyNumberFormat="1" applyFont="1" applyBorder="1" applyAlignment="1">
      <alignment horizontal="center"/>
    </xf>
    <xf numFmtId="0" fontId="0" fillId="0" borderId="9" xfId="0" applyBorder="1" applyAlignment="1">
      <alignment horizontal="center"/>
    </xf>
    <xf numFmtId="164" fontId="0" fillId="0" borderId="8" xfId="0" applyNumberFormat="1" applyBorder="1" applyAlignment="1">
      <alignment horizontal="center"/>
    </xf>
    <xf numFmtId="164" fontId="0" fillId="0" borderId="10" xfId="0" applyNumberFormat="1" applyBorder="1" applyAlignment="1">
      <alignment horizontal="center"/>
    </xf>
    <xf numFmtId="9" fontId="0" fillId="0" borderId="8" xfId="1" applyFont="1" applyBorder="1" applyAlignment="1">
      <alignment horizontal="center"/>
    </xf>
    <xf numFmtId="9" fontId="0" fillId="0" borderId="9" xfId="1" applyFont="1" applyBorder="1" applyAlignment="1">
      <alignment horizontal="center"/>
    </xf>
    <xf numFmtId="9" fontId="0" fillId="0" borderId="10" xfId="1" applyFont="1" applyBorder="1" applyAlignment="1">
      <alignment horizontal="center"/>
    </xf>
    <xf numFmtId="165" fontId="0" fillId="0" borderId="4" xfId="1" applyNumberFormat="1" applyFont="1" applyBorder="1" applyAlignment="1">
      <alignment horizontal="center"/>
    </xf>
    <xf numFmtId="165" fontId="0" fillId="0" borderId="0" xfId="1" applyNumberFormat="1" applyFont="1" applyBorder="1" applyAlignment="1">
      <alignment horizontal="center"/>
    </xf>
    <xf numFmtId="165" fontId="0" fillId="0" borderId="5" xfId="1" applyNumberFormat="1" applyFont="1" applyBorder="1" applyAlignment="1">
      <alignment horizontal="center"/>
    </xf>
    <xf numFmtId="165" fontId="0" fillId="0" borderId="8" xfId="1" applyNumberFormat="1" applyFont="1" applyBorder="1" applyAlignment="1">
      <alignment horizontal="center"/>
    </xf>
    <xf numFmtId="165" fontId="0" fillId="0" borderId="9" xfId="1" applyNumberFormat="1" applyFont="1" applyBorder="1" applyAlignment="1">
      <alignment horizontal="center"/>
    </xf>
    <xf numFmtId="165" fontId="0" fillId="0" borderId="10" xfId="1" applyNumberFormat="1" applyFont="1" applyBorder="1" applyAlignment="1">
      <alignment horizontal="center"/>
    </xf>
    <xf numFmtId="0" fontId="3" fillId="2" borderId="51" xfId="0" applyFont="1" applyFill="1" applyBorder="1" applyAlignment="1">
      <alignment horizontal="center" vertical="center"/>
    </xf>
    <xf numFmtId="0" fontId="0" fillId="0" borderId="18" xfId="0" applyBorder="1" applyAlignment="1">
      <alignment horizontal="center"/>
    </xf>
    <xf numFmtId="0" fontId="0" fillId="0" borderId="1" xfId="0" applyBorder="1" applyAlignment="1"/>
    <xf numFmtId="0" fontId="0" fillId="0" borderId="2" xfId="0" applyBorder="1" applyAlignment="1">
      <alignment horizontal="center"/>
    </xf>
    <xf numFmtId="164" fontId="0" fillId="0" borderId="1" xfId="0" applyNumberFormat="1" applyBorder="1" applyAlignment="1">
      <alignment horizontal="center"/>
    </xf>
    <xf numFmtId="164" fontId="0" fillId="0" borderId="3" xfId="0" applyNumberFormat="1" applyBorder="1" applyAlignment="1">
      <alignment horizontal="center"/>
    </xf>
    <xf numFmtId="165" fontId="0" fillId="0" borderId="1" xfId="1" applyNumberFormat="1" applyFont="1" applyBorder="1" applyAlignment="1">
      <alignment horizontal="center"/>
    </xf>
    <xf numFmtId="165" fontId="0" fillId="0" borderId="2" xfId="1" applyNumberFormat="1" applyFont="1" applyBorder="1" applyAlignment="1">
      <alignment horizontal="center"/>
    </xf>
    <xf numFmtId="165" fontId="0" fillId="0" borderId="3" xfId="1" applyNumberFormat="1" applyFont="1" applyBorder="1" applyAlignment="1">
      <alignment horizontal="center"/>
    </xf>
    <xf numFmtId="10" fontId="0" fillId="0" borderId="2" xfId="1" applyNumberFormat="1" applyFont="1" applyBorder="1" applyAlignment="1">
      <alignment horizontal="center"/>
    </xf>
    <xf numFmtId="10" fontId="0" fillId="0" borderId="3" xfId="1" applyNumberFormat="1" applyFont="1" applyBorder="1" applyAlignment="1">
      <alignment horizontal="center"/>
    </xf>
    <xf numFmtId="10" fontId="0" fillId="0" borderId="9" xfId="1" applyNumberFormat="1" applyFont="1" applyBorder="1" applyAlignment="1">
      <alignment horizontal="center"/>
    </xf>
    <xf numFmtId="10" fontId="0" fillId="0" borderId="10" xfId="1" applyNumberFormat="1" applyFont="1" applyBorder="1" applyAlignment="1">
      <alignment horizontal="center"/>
    </xf>
    <xf numFmtId="0" fontId="2" fillId="3" borderId="20" xfId="0" applyFont="1" applyFill="1" applyBorder="1" applyAlignment="1" applyProtection="1">
      <alignment horizontal="center"/>
      <protection locked="0"/>
    </xf>
    <xf numFmtId="0" fontId="3" fillId="0" borderId="52" xfId="0" applyFont="1" applyBorder="1" applyAlignment="1">
      <alignment horizontal="center" vertical="center"/>
    </xf>
    <xf numFmtId="0" fontId="3" fillId="0" borderId="52" xfId="0" applyFont="1" applyBorder="1" applyAlignment="1">
      <alignment horizontal="center" vertical="center" wrapText="1"/>
    </xf>
    <xf numFmtId="0" fontId="5" fillId="0" borderId="4" xfId="0" applyFont="1" applyFill="1" applyBorder="1" applyAlignment="1">
      <alignment horizontal="left"/>
    </xf>
    <xf numFmtId="0" fontId="5" fillId="0" borderId="0" xfId="0" applyFont="1"/>
    <xf numFmtId="1" fontId="0" fillId="0" borderId="53" xfId="0" applyNumberFormat="1"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1" fontId="0" fillId="0" borderId="54" xfId="0" applyNumberFormat="1"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164" fontId="0" fillId="0" borderId="54" xfId="0" applyNumberFormat="1" applyBorder="1" applyAlignment="1">
      <alignment horizontal="center" vertical="center"/>
    </xf>
    <xf numFmtId="164" fontId="0" fillId="0" borderId="55" xfId="0" applyNumberFormat="1"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9" fontId="0" fillId="5" borderId="0" xfId="0" applyNumberFormat="1" applyFill="1" applyBorder="1" applyProtection="1">
      <protection locked="0"/>
    </xf>
    <xf numFmtId="1" fontId="0" fillId="0" borderId="1" xfId="0" applyNumberFormat="1" applyBorder="1" applyAlignment="1">
      <alignment horizontal="center" vertical="center"/>
    </xf>
    <xf numFmtId="1" fontId="0" fillId="0" borderId="4" xfId="0" applyNumberFormat="1" applyBorder="1" applyAlignment="1">
      <alignment horizontal="center" vertical="center"/>
    </xf>
    <xf numFmtId="164" fontId="0" fillId="0" borderId="4" xfId="0" applyNumberFormat="1" applyBorder="1" applyAlignment="1">
      <alignment horizontal="center" vertical="center"/>
    </xf>
    <xf numFmtId="164" fontId="0" fillId="0" borderId="8" xfId="0" applyNumberFormat="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21" fillId="0" borderId="0" xfId="0" applyFont="1" applyAlignment="1">
      <alignment vertical="center"/>
    </xf>
    <xf numFmtId="0" fontId="8" fillId="7" borderId="9" xfId="0" applyFont="1" applyFill="1" applyBorder="1" applyAlignment="1">
      <alignment vertical="center"/>
    </xf>
    <xf numFmtId="0" fontId="8" fillId="7" borderId="9" xfId="0" applyFont="1" applyFill="1" applyBorder="1" applyAlignment="1">
      <alignment vertical="center" wrapText="1"/>
    </xf>
    <xf numFmtId="0" fontId="8" fillId="7" borderId="10" xfId="0" applyFont="1" applyFill="1" applyBorder="1" applyAlignment="1">
      <alignment vertical="center" wrapText="1"/>
    </xf>
    <xf numFmtId="0" fontId="24" fillId="0" borderId="4" xfId="0" applyFont="1" applyBorder="1" applyAlignment="1">
      <alignment horizontal="center" vertical="center"/>
    </xf>
    <xf numFmtId="0" fontId="25" fillId="0" borderId="5" xfId="0" applyFont="1" applyBorder="1" applyAlignment="1">
      <alignment horizontal="center" vertical="center"/>
    </xf>
    <xf numFmtId="10" fontId="25" fillId="0" borderId="0" xfId="0" applyNumberFormat="1" applyFont="1" applyAlignment="1">
      <alignment horizontal="center" vertical="center"/>
    </xf>
    <xf numFmtId="10" fontId="25" fillId="0" borderId="0" xfId="0" applyNumberFormat="1" applyFont="1" applyAlignment="1">
      <alignment horizontal="center" vertical="center" wrapText="1"/>
    </xf>
    <xf numFmtId="10" fontId="25" fillId="0" borderId="5" xfId="0" applyNumberFormat="1" applyFont="1" applyBorder="1" applyAlignment="1">
      <alignment horizontal="center" vertical="center" wrapText="1"/>
    </xf>
    <xf numFmtId="0" fontId="23" fillId="7" borderId="18" xfId="0" applyFont="1" applyFill="1" applyBorder="1" applyAlignment="1">
      <alignment horizontal="center" vertical="center"/>
    </xf>
    <xf numFmtId="0" fontId="8" fillId="7" borderId="19" xfId="0" applyFont="1" applyFill="1" applyBorder="1" applyAlignment="1">
      <alignment vertical="center"/>
    </xf>
    <xf numFmtId="0" fontId="8" fillId="7" borderId="19" xfId="0" applyFont="1" applyFill="1" applyBorder="1" applyAlignment="1">
      <alignment vertical="center" wrapText="1"/>
    </xf>
    <xf numFmtId="0" fontId="8" fillId="7" borderId="20" xfId="0" applyFont="1" applyFill="1" applyBorder="1" applyAlignment="1">
      <alignment vertical="center" wrapText="1"/>
    </xf>
    <xf numFmtId="0" fontId="25" fillId="0" borderId="4" xfId="0" applyFont="1" applyBorder="1" applyAlignment="1">
      <alignment horizontal="center" vertical="center"/>
    </xf>
    <xf numFmtId="0" fontId="24" fillId="0" borderId="8" xfId="0" applyFont="1" applyBorder="1" applyAlignment="1">
      <alignment horizontal="center" vertical="center"/>
    </xf>
    <xf numFmtId="0" fontId="0" fillId="0" borderId="10" xfId="0" applyBorder="1" applyAlignment="1">
      <alignment horizontal="center" vertical="center"/>
    </xf>
    <xf numFmtId="0" fontId="25" fillId="0" borderId="10" xfId="0" applyFont="1" applyBorder="1" applyAlignment="1">
      <alignment horizontal="center" vertical="center"/>
    </xf>
    <xf numFmtId="10" fontId="25" fillId="0" borderId="9" xfId="0" applyNumberFormat="1" applyFont="1" applyBorder="1" applyAlignment="1">
      <alignment horizontal="center" vertical="center"/>
    </xf>
    <xf numFmtId="10" fontId="25" fillId="0" borderId="9" xfId="0" applyNumberFormat="1" applyFont="1" applyBorder="1" applyAlignment="1">
      <alignment horizontal="center" vertical="center" wrapText="1"/>
    </xf>
    <xf numFmtId="10" fontId="25" fillId="0" borderId="10" xfId="0" applyNumberFormat="1" applyFont="1" applyBorder="1" applyAlignment="1">
      <alignment horizontal="center" vertical="center" wrapText="1"/>
    </xf>
    <xf numFmtId="0" fontId="0" fillId="0" borderId="0" xfId="0" applyAlignment="1">
      <alignment vertical="center"/>
    </xf>
    <xf numFmtId="0" fontId="3" fillId="4" borderId="23" xfId="0" applyFont="1" applyFill="1" applyBorder="1" applyAlignment="1">
      <alignmen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164" fontId="0" fillId="0" borderId="0" xfId="0" applyNumberFormat="1" applyFont="1" applyBorder="1" applyAlignment="1">
      <alignment horizontal="center" vertical="center"/>
    </xf>
    <xf numFmtId="165" fontId="0" fillId="0" borderId="0" xfId="0" applyNumberFormat="1" applyFont="1" applyBorder="1" applyAlignment="1">
      <alignment horizontal="center" vertical="center"/>
    </xf>
    <xf numFmtId="165" fontId="0" fillId="0" borderId="0" xfId="0" applyNumberFormat="1" applyFont="1" applyBorder="1" applyAlignment="1">
      <alignment horizontal="center" vertical="center" wrapText="1"/>
    </xf>
    <xf numFmtId="165" fontId="0" fillId="0" borderId="5" xfId="0" applyNumberFormat="1" applyFont="1" applyBorder="1" applyAlignment="1">
      <alignment horizontal="center" vertical="center" wrapText="1"/>
    </xf>
    <xf numFmtId="165" fontId="0" fillId="0" borderId="4" xfId="0" applyNumberFormat="1" applyFont="1" applyBorder="1" applyAlignment="1">
      <alignment horizontal="center" vertical="center"/>
    </xf>
    <xf numFmtId="165" fontId="0" fillId="0" borderId="6" xfId="0" applyNumberFormat="1" applyFont="1" applyBorder="1" applyAlignment="1">
      <alignment horizontal="center" vertical="center"/>
    </xf>
    <xf numFmtId="165" fontId="0" fillId="0" borderId="7" xfId="0" applyNumberFormat="1" applyFont="1" applyBorder="1" applyAlignment="1">
      <alignment horizontal="center" vertical="center"/>
    </xf>
    <xf numFmtId="165" fontId="0" fillId="0" borderId="5" xfId="0" applyNumberFormat="1" applyFont="1" applyBorder="1" applyAlignment="1">
      <alignment horizontal="center" vertical="center"/>
    </xf>
    <xf numFmtId="0" fontId="0" fillId="0" borderId="25" xfId="0" applyBorder="1" applyAlignment="1" applyProtection="1">
      <alignment horizontal="center" vertical="center"/>
      <protection locked="0"/>
    </xf>
    <xf numFmtId="1" fontId="0" fillId="0" borderId="0" xfId="0" applyNumberFormat="1" applyFont="1" applyBorder="1" applyAlignment="1">
      <alignment horizontal="center" vertical="center"/>
    </xf>
    <xf numFmtId="1" fontId="0" fillId="0" borderId="0" xfId="0" applyNumberFormat="1" applyFont="1" applyBorder="1" applyAlignment="1">
      <alignment horizontal="center" vertical="center" wrapText="1"/>
    </xf>
    <xf numFmtId="1" fontId="0" fillId="0" borderId="5" xfId="0" applyNumberFormat="1" applyFont="1" applyBorder="1" applyAlignment="1">
      <alignment horizontal="center" vertical="center" wrapText="1"/>
    </xf>
    <xf numFmtId="1" fontId="0" fillId="0" borderId="4" xfId="0" applyNumberFormat="1" applyFont="1" applyBorder="1" applyAlignment="1">
      <alignment horizontal="center" vertical="center"/>
    </xf>
    <xf numFmtId="1" fontId="0" fillId="0" borderId="6" xfId="0" applyNumberFormat="1" applyFont="1" applyBorder="1" applyAlignment="1">
      <alignment horizontal="center" vertical="center"/>
    </xf>
    <xf numFmtId="1" fontId="0" fillId="0" borderId="7" xfId="0" applyNumberFormat="1" applyFont="1" applyBorder="1" applyAlignment="1">
      <alignment horizontal="center" vertical="center"/>
    </xf>
    <xf numFmtId="1" fontId="0" fillId="0" borderId="5" xfId="0" applyNumberFormat="1" applyFont="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5" xfId="0" applyFont="1" applyBorder="1" applyAlignment="1">
      <alignment horizontal="center" vertical="center"/>
    </xf>
    <xf numFmtId="0" fontId="0" fillId="0" borderId="26" xfId="0" applyBorder="1" applyAlignment="1" applyProtection="1">
      <alignment horizontal="center" vertical="center"/>
      <protection locked="0"/>
    </xf>
    <xf numFmtId="0" fontId="0" fillId="0" borderId="26" xfId="0" applyBorder="1" applyAlignment="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164" fontId="2" fillId="3" borderId="2" xfId="0" applyNumberFormat="1" applyFont="1" applyFill="1" applyBorder="1" applyAlignment="1">
      <alignment horizontal="center" vertical="center"/>
    </xf>
    <xf numFmtId="0" fontId="2" fillId="3" borderId="3" xfId="0" applyFont="1" applyFill="1" applyBorder="1" applyAlignment="1">
      <alignment horizontal="center" vertical="center"/>
    </xf>
    <xf numFmtId="165" fontId="2" fillId="3" borderId="2" xfId="0" applyNumberFormat="1" applyFont="1" applyFill="1" applyBorder="1" applyAlignment="1">
      <alignment horizontal="center" vertical="center"/>
    </xf>
    <xf numFmtId="165" fontId="2" fillId="3" borderId="2" xfId="0" applyNumberFormat="1" applyFont="1" applyFill="1" applyBorder="1" applyAlignment="1">
      <alignment horizontal="center" vertical="center" wrapText="1"/>
    </xf>
    <xf numFmtId="165" fontId="2" fillId="3" borderId="3"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xf>
    <xf numFmtId="165" fontId="2" fillId="3" borderId="15" xfId="0" applyNumberFormat="1" applyFont="1" applyFill="1" applyBorder="1" applyAlignment="1">
      <alignment horizontal="center" vertical="center"/>
    </xf>
    <xf numFmtId="165" fontId="2" fillId="3" borderId="16" xfId="0" applyNumberFormat="1" applyFont="1" applyFill="1" applyBorder="1" applyAlignment="1">
      <alignment horizontal="center" vertical="center"/>
    </xf>
    <xf numFmtId="165" fontId="2" fillId="3" borderId="3" xfId="0" applyNumberFormat="1" applyFont="1" applyFill="1" applyBorder="1" applyAlignment="1">
      <alignment horizontal="center" vertical="center"/>
    </xf>
    <xf numFmtId="0" fontId="2" fillId="3" borderId="3" xfId="0" applyFont="1" applyFill="1" applyBorder="1" applyAlignment="1">
      <alignment vertical="center"/>
    </xf>
    <xf numFmtId="0" fontId="2" fillId="3" borderId="23" xfId="0" applyFont="1" applyFill="1" applyBorder="1" applyAlignment="1">
      <alignment horizontal="center" vertical="center"/>
    </xf>
    <xf numFmtId="0" fontId="0" fillId="0" borderId="0" xfId="0" applyFont="1" applyBorder="1" applyAlignment="1">
      <alignment horizontal="center" vertical="center"/>
    </xf>
    <xf numFmtId="165" fontId="1" fillId="0" borderId="0" xfId="1" applyNumberFormat="1" applyFont="1" applyBorder="1" applyAlignment="1">
      <alignment horizontal="center" vertical="center"/>
    </xf>
    <xf numFmtId="165" fontId="1" fillId="0" borderId="0" xfId="1" applyNumberFormat="1" applyFont="1" applyBorder="1" applyAlignment="1">
      <alignment horizontal="center" vertical="center" wrapText="1"/>
    </xf>
    <xf numFmtId="165" fontId="1" fillId="0" borderId="5" xfId="1" applyNumberFormat="1" applyFont="1" applyBorder="1" applyAlignment="1">
      <alignment horizontal="center" vertical="center" wrapText="1"/>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24" xfId="0" applyBorder="1" applyAlignment="1" applyProtection="1">
      <alignment horizontal="center" vertical="center"/>
      <protection locked="0"/>
    </xf>
    <xf numFmtId="1" fontId="1" fillId="0" borderId="0" xfId="1" applyNumberFormat="1" applyFont="1" applyBorder="1" applyAlignment="1">
      <alignment horizontal="center" vertical="center"/>
    </xf>
    <xf numFmtId="1" fontId="1" fillId="0" borderId="0" xfId="1" applyNumberFormat="1" applyFont="1" applyBorder="1" applyAlignment="1">
      <alignment horizontal="center" vertical="center" wrapText="1"/>
    </xf>
    <xf numFmtId="1" fontId="1" fillId="0" borderId="5" xfId="1" applyNumberFormat="1" applyFont="1" applyBorder="1" applyAlignment="1">
      <alignment horizontal="center" vertical="center" wrapText="1"/>
    </xf>
    <xf numFmtId="165" fontId="1" fillId="0" borderId="4" xfId="1" applyNumberFormat="1" applyFont="1" applyBorder="1" applyAlignment="1">
      <alignment horizontal="center" vertical="center"/>
    </xf>
    <xf numFmtId="1" fontId="1" fillId="0" borderId="4" xfId="1" applyNumberFormat="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164" fontId="0" fillId="0" borderId="9"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0" borderId="9" xfId="0" applyNumberFormat="1" applyFont="1" applyBorder="1" applyAlignment="1">
      <alignment horizontal="center" vertical="center" wrapText="1"/>
    </xf>
    <xf numFmtId="165" fontId="0" fillId="0" borderId="10" xfId="0" applyNumberFormat="1" applyFont="1" applyBorder="1" applyAlignment="1">
      <alignment horizontal="center" vertical="center" wrapText="1"/>
    </xf>
    <xf numFmtId="165" fontId="0" fillId="0" borderId="8" xfId="0" applyNumberFormat="1" applyFont="1" applyBorder="1" applyAlignment="1">
      <alignment horizontal="center" vertical="center"/>
    </xf>
    <xf numFmtId="165" fontId="0" fillId="0" borderId="12" xfId="0" applyNumberFormat="1" applyFont="1" applyBorder="1" applyAlignment="1">
      <alignment horizontal="center" vertical="center"/>
    </xf>
    <xf numFmtId="165" fontId="0" fillId="0" borderId="13" xfId="0" applyNumberFormat="1" applyFont="1" applyBorder="1" applyAlignment="1">
      <alignment horizontal="center" vertical="center"/>
    </xf>
    <xf numFmtId="165" fontId="0" fillId="0" borderId="10" xfId="0" applyNumberFormat="1" applyFont="1" applyBorder="1" applyAlignment="1">
      <alignment horizontal="center" vertical="center"/>
    </xf>
    <xf numFmtId="1" fontId="0" fillId="0" borderId="9" xfId="0" applyNumberFormat="1" applyFont="1" applyBorder="1" applyAlignment="1">
      <alignment horizontal="center" vertical="center"/>
    </xf>
    <xf numFmtId="1" fontId="0" fillId="0" borderId="9" xfId="0" applyNumberFormat="1" applyFont="1" applyBorder="1" applyAlignment="1">
      <alignment horizontal="center" vertical="center" wrapText="1"/>
    </xf>
    <xf numFmtId="1" fontId="0" fillId="0" borderId="10" xfId="0" applyNumberFormat="1" applyFont="1" applyBorder="1" applyAlignment="1">
      <alignment horizontal="center" vertical="center" wrapText="1"/>
    </xf>
    <xf numFmtId="1" fontId="0" fillId="0" borderId="8" xfId="0" applyNumberFormat="1" applyFont="1" applyBorder="1" applyAlignment="1">
      <alignment horizontal="center" vertical="center"/>
    </xf>
    <xf numFmtId="1" fontId="0" fillId="0" borderId="12" xfId="0" applyNumberFormat="1" applyFont="1" applyBorder="1" applyAlignment="1">
      <alignment horizontal="center" vertical="center"/>
    </xf>
    <xf numFmtId="1" fontId="0" fillId="0" borderId="13" xfId="0" applyNumberFormat="1" applyFont="1" applyBorder="1" applyAlignment="1">
      <alignment horizontal="center" vertical="center"/>
    </xf>
    <xf numFmtId="1" fontId="0" fillId="0" borderId="10" xfId="0" applyNumberFormat="1" applyFont="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164" fontId="2" fillId="3" borderId="19" xfId="0" applyNumberFormat="1" applyFont="1" applyFill="1" applyBorder="1" applyAlignment="1">
      <alignment horizontal="center" vertical="center"/>
    </xf>
    <xf numFmtId="0" fontId="2" fillId="3" borderId="20" xfId="0" applyFont="1" applyFill="1" applyBorder="1" applyAlignment="1">
      <alignment horizontal="center" vertical="center"/>
    </xf>
    <xf numFmtId="165" fontId="2" fillId="3" borderId="19" xfId="0" applyNumberFormat="1" applyFont="1" applyFill="1" applyBorder="1" applyAlignment="1">
      <alignment horizontal="center" vertical="center"/>
    </xf>
    <xf numFmtId="165" fontId="2" fillId="3" borderId="19" xfId="0" applyNumberFormat="1" applyFont="1" applyFill="1" applyBorder="1" applyAlignment="1">
      <alignment horizontal="center" vertical="center" wrapText="1"/>
    </xf>
    <xf numFmtId="165" fontId="2" fillId="3" borderId="20" xfId="0" applyNumberFormat="1" applyFont="1" applyFill="1" applyBorder="1" applyAlignment="1">
      <alignment horizontal="center" vertical="center" wrapText="1"/>
    </xf>
    <xf numFmtId="165" fontId="2" fillId="3" borderId="18" xfId="0" applyNumberFormat="1" applyFont="1" applyFill="1" applyBorder="1" applyAlignment="1">
      <alignment horizontal="center" vertical="center"/>
    </xf>
    <xf numFmtId="165" fontId="2" fillId="3" borderId="21" xfId="0" applyNumberFormat="1" applyFont="1" applyFill="1" applyBorder="1" applyAlignment="1">
      <alignment horizontal="center" vertical="center"/>
    </xf>
    <xf numFmtId="165" fontId="2" fillId="3" borderId="22" xfId="0" applyNumberFormat="1" applyFont="1" applyFill="1" applyBorder="1" applyAlignment="1">
      <alignment horizontal="center" vertical="center"/>
    </xf>
    <xf numFmtId="165" fontId="2" fillId="3" borderId="20" xfId="0" applyNumberFormat="1" applyFont="1" applyFill="1" applyBorder="1" applyAlignment="1">
      <alignment horizontal="center" vertical="center"/>
    </xf>
    <xf numFmtId="0" fontId="2" fillId="3" borderId="20" xfId="0" applyFont="1" applyFill="1" applyBorder="1" applyAlignment="1" applyProtection="1">
      <alignment horizontal="center" vertical="center"/>
      <protection locked="0"/>
    </xf>
    <xf numFmtId="0" fontId="2" fillId="3" borderId="20" xfId="0" applyFont="1" applyFill="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164" fontId="0" fillId="0" borderId="2" xfId="0" applyNumberFormat="1" applyFont="1" applyBorder="1" applyAlignment="1">
      <alignment horizontal="center" vertical="center"/>
    </xf>
    <xf numFmtId="165" fontId="0" fillId="0" borderId="2" xfId="0" applyNumberFormat="1" applyFont="1" applyBorder="1" applyAlignment="1">
      <alignment horizontal="center" vertical="center"/>
    </xf>
    <xf numFmtId="165" fontId="0" fillId="0" borderId="2" xfId="0" applyNumberFormat="1" applyFont="1" applyBorder="1" applyAlignment="1">
      <alignment horizontal="center" vertical="center" wrapText="1"/>
    </xf>
    <xf numFmtId="165" fontId="0" fillId="0" borderId="3" xfId="0" applyNumberFormat="1" applyFont="1" applyBorder="1" applyAlignment="1">
      <alignment horizontal="center" vertical="center" wrapText="1"/>
    </xf>
    <xf numFmtId="165" fontId="0" fillId="0" borderId="1" xfId="0" applyNumberFormat="1" applyFont="1" applyBorder="1" applyAlignment="1">
      <alignment horizontal="center" vertical="center"/>
    </xf>
    <xf numFmtId="165" fontId="0" fillId="0" borderId="15" xfId="0" applyNumberFormat="1" applyFont="1" applyBorder="1" applyAlignment="1">
      <alignment horizontal="center" vertical="center"/>
    </xf>
    <xf numFmtId="165" fontId="0" fillId="0" borderId="16" xfId="0" applyNumberFormat="1" applyFont="1" applyBorder="1" applyAlignment="1">
      <alignment horizontal="center" vertical="center"/>
    </xf>
    <xf numFmtId="165" fontId="0" fillId="0" borderId="3" xfId="0" applyNumberFormat="1" applyFont="1" applyBorder="1" applyAlignment="1">
      <alignment horizontal="center" vertical="center"/>
    </xf>
    <xf numFmtId="1" fontId="0" fillId="0" borderId="2" xfId="0" applyNumberFormat="1" applyFont="1" applyBorder="1" applyAlignment="1">
      <alignment horizontal="center" vertical="center"/>
    </xf>
    <xf numFmtId="1" fontId="0" fillId="0" borderId="2" xfId="0" applyNumberFormat="1" applyFont="1" applyBorder="1" applyAlignment="1">
      <alignment horizontal="center" vertical="center" wrapText="1"/>
    </xf>
    <xf numFmtId="1" fontId="0" fillId="0" borderId="3" xfId="0" applyNumberFormat="1" applyFont="1" applyBorder="1" applyAlignment="1">
      <alignment horizontal="center" vertical="center" wrapText="1"/>
    </xf>
    <xf numFmtId="1" fontId="0" fillId="0" borderId="1" xfId="0" applyNumberFormat="1" applyFont="1" applyBorder="1" applyAlignment="1">
      <alignment horizontal="center" vertical="center"/>
    </xf>
    <xf numFmtId="1" fontId="0" fillId="0" borderId="15" xfId="0" applyNumberFormat="1" applyFont="1" applyBorder="1" applyAlignment="1">
      <alignment horizontal="center" vertical="center"/>
    </xf>
    <xf numFmtId="1" fontId="0" fillId="0" borderId="16" xfId="0" applyNumberFormat="1" applyFont="1" applyBorder="1" applyAlignment="1">
      <alignment horizontal="center" vertical="center"/>
    </xf>
    <xf numFmtId="1" fontId="0" fillId="0" borderId="3" xfId="0" applyNumberFormat="1" applyFont="1" applyBorder="1" applyAlignment="1">
      <alignment horizontal="center" vertical="center"/>
    </xf>
    <xf numFmtId="0" fontId="13" fillId="0" borderId="4" xfId="0" applyFont="1" applyBorder="1" applyAlignment="1">
      <alignment horizontal="center" vertical="center"/>
    </xf>
    <xf numFmtId="0" fontId="14" fillId="0" borderId="4" xfId="0" applyFont="1" applyBorder="1" applyAlignment="1">
      <alignment horizontal="center" vertical="center" wrapText="1"/>
    </xf>
    <xf numFmtId="0" fontId="5" fillId="0" borderId="18" xfId="0" applyFont="1" applyBorder="1" applyAlignment="1">
      <alignment horizontal="center" vertical="center"/>
    </xf>
    <xf numFmtId="0" fontId="0" fillId="0" borderId="19" xfId="0" applyFont="1" applyBorder="1" applyAlignment="1">
      <alignment horizontal="center" vertical="center"/>
    </xf>
    <xf numFmtId="164" fontId="0" fillId="0" borderId="19" xfId="0" applyNumberFormat="1" applyFont="1" applyBorder="1" applyAlignment="1">
      <alignment horizontal="center" vertical="center"/>
    </xf>
    <xf numFmtId="165" fontId="0" fillId="0" borderId="19" xfId="0" applyNumberFormat="1" applyFont="1" applyBorder="1" applyAlignment="1">
      <alignment horizontal="center" vertical="center"/>
    </xf>
    <xf numFmtId="165" fontId="0" fillId="0" borderId="19" xfId="0" applyNumberFormat="1" applyFont="1" applyBorder="1" applyAlignment="1">
      <alignment horizontal="center" vertical="center" wrapText="1"/>
    </xf>
    <xf numFmtId="165" fontId="0" fillId="0" borderId="20" xfId="0" applyNumberFormat="1" applyFont="1" applyBorder="1" applyAlignment="1">
      <alignment horizontal="center" vertical="center" wrapText="1"/>
    </xf>
    <xf numFmtId="165" fontId="0" fillId="0" borderId="18" xfId="0" applyNumberFormat="1" applyFont="1" applyBorder="1" applyAlignment="1">
      <alignment horizontal="center" vertical="center"/>
    </xf>
    <xf numFmtId="165" fontId="0" fillId="0" borderId="21" xfId="0" applyNumberFormat="1" applyFont="1" applyBorder="1" applyAlignment="1">
      <alignment horizontal="center" vertical="center"/>
    </xf>
    <xf numFmtId="165" fontId="0" fillId="0" borderId="22" xfId="0" applyNumberFormat="1" applyFont="1" applyBorder="1" applyAlignment="1">
      <alignment horizontal="center" vertical="center"/>
    </xf>
    <xf numFmtId="165" fontId="0" fillId="0" borderId="20" xfId="0" applyNumberFormat="1" applyFont="1" applyBorder="1" applyAlignment="1">
      <alignment horizontal="center" vertical="center"/>
    </xf>
    <xf numFmtId="0" fontId="0" fillId="0" borderId="23" xfId="0" applyBorder="1" applyAlignment="1" applyProtection="1">
      <alignment horizontal="center" vertical="center"/>
      <protection locked="0"/>
    </xf>
    <xf numFmtId="0" fontId="26" fillId="2" borderId="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8" fillId="7" borderId="1" xfId="0" applyFont="1" applyFill="1" applyBorder="1" applyAlignment="1">
      <alignment vertical="center"/>
    </xf>
    <xf numFmtId="0" fontId="8" fillId="7" borderId="4" xfId="0" applyFont="1" applyFill="1" applyBorder="1" applyAlignment="1">
      <alignment vertical="center"/>
    </xf>
    <xf numFmtId="10" fontId="8" fillId="7" borderId="9" xfId="1" applyNumberFormat="1" applyFont="1" applyFill="1" applyBorder="1" applyAlignment="1">
      <alignment vertical="center"/>
    </xf>
    <xf numFmtId="10" fontId="8" fillId="7" borderId="9" xfId="1" applyNumberFormat="1" applyFont="1" applyFill="1" applyBorder="1" applyAlignment="1">
      <alignment vertical="center" wrapText="1"/>
    </xf>
    <xf numFmtId="10" fontId="25" fillId="0" borderId="0" xfId="1" applyNumberFormat="1" applyFont="1" applyAlignment="1">
      <alignment horizontal="center" vertical="center"/>
    </xf>
    <xf numFmtId="10" fontId="25" fillId="0" borderId="0" xfId="1" applyNumberFormat="1" applyFont="1" applyAlignment="1">
      <alignment horizontal="center" vertical="center" wrapText="1"/>
    </xf>
    <xf numFmtId="10" fontId="25" fillId="0" borderId="5" xfId="1" applyNumberFormat="1" applyFont="1" applyBorder="1" applyAlignment="1">
      <alignment horizontal="center" vertical="center" wrapText="1"/>
    </xf>
    <xf numFmtId="10" fontId="8" fillId="7" borderId="19" xfId="1" applyNumberFormat="1" applyFont="1" applyFill="1" applyBorder="1" applyAlignment="1">
      <alignment vertical="center"/>
    </xf>
    <xf numFmtId="10" fontId="8" fillId="7" borderId="19" xfId="1" applyNumberFormat="1" applyFont="1" applyFill="1" applyBorder="1" applyAlignment="1">
      <alignment vertical="center" wrapText="1"/>
    </xf>
    <xf numFmtId="10" fontId="25" fillId="0" borderId="9" xfId="1" applyNumberFormat="1" applyFont="1" applyBorder="1" applyAlignment="1">
      <alignment horizontal="center" vertical="center"/>
    </xf>
    <xf numFmtId="10" fontId="25" fillId="0" borderId="9" xfId="1" applyNumberFormat="1" applyFont="1" applyBorder="1" applyAlignment="1">
      <alignment horizontal="center" vertical="center" wrapText="1"/>
    </xf>
    <xf numFmtId="0" fontId="24" fillId="0" borderId="1" xfId="0"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10" fontId="25" fillId="0" borderId="10" xfId="1" applyNumberFormat="1" applyFont="1" applyBorder="1" applyAlignment="1">
      <alignment horizontal="center" vertical="center" wrapText="1"/>
    </xf>
    <xf numFmtId="0" fontId="5" fillId="0" borderId="4" xfId="0" applyFont="1" applyFill="1" applyBorder="1" applyAlignment="1"/>
    <xf numFmtId="0" fontId="0" fillId="8" borderId="0" xfId="0" applyFill="1"/>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12" fillId="0" borderId="0" xfId="0" applyFont="1" applyAlignment="1">
      <alignment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4" borderId="23" xfId="0" applyFont="1" applyFill="1" applyBorder="1" applyAlignment="1">
      <alignment vertical="center"/>
    </xf>
    <xf numFmtId="0" fontId="0" fillId="0" borderId="0" xfId="0" applyBorder="1"/>
    <xf numFmtId="164" fontId="0" fillId="0" borderId="25" xfId="0" applyNumberFormat="1" applyBorder="1" applyAlignment="1">
      <alignment horizontal="center" vertical="center"/>
    </xf>
    <xf numFmtId="10" fontId="0" fillId="0" borderId="0" xfId="1" applyNumberFormat="1" applyFont="1" applyBorder="1" applyAlignment="1">
      <alignment horizontal="center" vertical="center"/>
    </xf>
    <xf numFmtId="10" fontId="0" fillId="0" borderId="5" xfId="1" applyNumberFormat="1" applyFont="1" applyBorder="1" applyAlignment="1">
      <alignment horizontal="center" vertical="center"/>
    </xf>
    <xf numFmtId="0" fontId="0" fillId="0" borderId="24" xfId="0" applyBorder="1" applyAlignment="1">
      <alignment horizontal="center" vertical="center"/>
    </xf>
    <xf numFmtId="164" fontId="0" fillId="0" borderId="24" xfId="0" applyNumberFormat="1" applyBorder="1" applyAlignment="1">
      <alignment horizontal="center" vertical="center"/>
    </xf>
    <xf numFmtId="165" fontId="0" fillId="0" borderId="1" xfId="1" applyNumberFormat="1" applyFont="1" applyBorder="1" applyAlignment="1">
      <alignment horizontal="center" vertical="center"/>
    </xf>
    <xf numFmtId="165" fontId="0" fillId="0" borderId="2" xfId="1" applyNumberFormat="1" applyFont="1" applyBorder="1" applyAlignment="1">
      <alignment horizontal="center" vertical="center"/>
    </xf>
    <xf numFmtId="165" fontId="0" fillId="0" borderId="3" xfId="1" applyNumberFormat="1" applyFont="1" applyBorder="1" applyAlignment="1">
      <alignment horizontal="center" vertical="center"/>
    </xf>
    <xf numFmtId="10" fontId="0" fillId="0" borderId="2" xfId="1" applyNumberFormat="1" applyFont="1" applyBorder="1" applyAlignment="1">
      <alignment horizontal="center" vertical="center"/>
    </xf>
    <xf numFmtId="10" fontId="0" fillId="0" borderId="3" xfId="1" applyNumberFormat="1" applyFont="1" applyBorder="1" applyAlignment="1">
      <alignment horizontal="center" vertical="center"/>
    </xf>
    <xf numFmtId="0" fontId="0" fillId="0" borderId="9" xfId="0" applyBorder="1" applyAlignment="1">
      <alignment horizontal="center" vertical="center"/>
    </xf>
    <xf numFmtId="164" fontId="0" fillId="0" borderId="26" xfId="0" applyNumberFormat="1" applyBorder="1" applyAlignment="1">
      <alignment horizontal="center" vertical="center"/>
    </xf>
    <xf numFmtId="165" fontId="0" fillId="0" borderId="8" xfId="1" applyNumberFormat="1" applyFont="1" applyBorder="1" applyAlignment="1">
      <alignment horizontal="center" vertical="center"/>
    </xf>
    <xf numFmtId="165" fontId="0" fillId="0" borderId="9" xfId="1" applyNumberFormat="1" applyFont="1" applyBorder="1" applyAlignment="1">
      <alignment horizontal="center" vertical="center"/>
    </xf>
    <xf numFmtId="165" fontId="0" fillId="0" borderId="10" xfId="1" applyNumberFormat="1" applyFont="1" applyBorder="1" applyAlignment="1">
      <alignment horizontal="center" vertical="center"/>
    </xf>
    <xf numFmtId="10" fontId="0" fillId="0" borderId="9" xfId="1" applyNumberFormat="1" applyFont="1" applyBorder="1" applyAlignment="1">
      <alignment horizontal="center" vertical="center"/>
    </xf>
    <xf numFmtId="10" fontId="0" fillId="0" borderId="10" xfId="1" applyNumberFormat="1" applyFont="1" applyBorder="1" applyAlignment="1">
      <alignment horizontal="center" vertical="center"/>
    </xf>
    <xf numFmtId="0" fontId="5" fillId="0" borderId="4" xfId="0" applyFont="1" applyFill="1" applyBorder="1" applyAlignment="1">
      <alignment vertical="center"/>
    </xf>
    <xf numFmtId="0" fontId="3" fillId="0" borderId="52" xfId="0" applyNumberFormat="1" applyFont="1" applyFill="1" applyBorder="1" applyAlignment="1">
      <alignment horizontal="center" vertical="center"/>
    </xf>
    <xf numFmtId="0" fontId="0" fillId="0" borderId="52" xfId="0" applyBorder="1" applyAlignment="1">
      <alignment horizontal="left" vertical="center" wrapText="1"/>
    </xf>
    <xf numFmtId="0" fontId="0" fillId="0" borderId="52" xfId="0" applyFill="1" applyBorder="1" applyAlignment="1">
      <alignment horizontal="left" vertical="center" wrapText="1"/>
    </xf>
    <xf numFmtId="0" fontId="0" fillId="0" borderId="0" xfId="0" applyAlignment="1">
      <alignment horizontal="left"/>
    </xf>
    <xf numFmtId="0" fontId="3" fillId="8" borderId="52" xfId="0" applyFont="1" applyFill="1" applyBorder="1" applyAlignment="1">
      <alignment horizontal="center" vertical="center"/>
    </xf>
    <xf numFmtId="0" fontId="3" fillId="8" borderId="52" xfId="0" applyFont="1" applyFill="1" applyBorder="1" applyAlignment="1">
      <alignment horizontal="left"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54" xfId="0" applyFont="1" applyBorder="1" applyAlignment="1">
      <alignment horizontal="center" vertical="center"/>
    </xf>
    <xf numFmtId="0" fontId="0" fillId="0" borderId="61" xfId="0" applyBorder="1" applyAlignment="1">
      <alignment horizontal="center" vertical="center"/>
    </xf>
    <xf numFmtId="0" fontId="0" fillId="0" borderId="60" xfId="0" applyBorder="1" applyAlignment="1">
      <alignment horizontal="center" vertical="center"/>
    </xf>
    <xf numFmtId="164" fontId="0" fillId="0" borderId="60" xfId="0" applyNumberFormat="1" applyBorder="1" applyAlignment="1">
      <alignment horizontal="center" vertical="center"/>
    </xf>
    <xf numFmtId="165" fontId="0" fillId="0" borderId="54" xfId="1" applyNumberFormat="1" applyFont="1" applyBorder="1" applyAlignment="1">
      <alignment horizontal="center" vertical="center"/>
    </xf>
    <xf numFmtId="10" fontId="0" fillId="0" borderId="61" xfId="1" applyNumberFormat="1" applyFont="1" applyBorder="1" applyAlignment="1">
      <alignment horizontal="center" vertical="center"/>
    </xf>
    <xf numFmtId="10" fontId="0" fillId="0" borderId="62" xfId="1" applyNumberFormat="1" applyFont="1" applyBorder="1" applyAlignment="1">
      <alignment horizontal="center" vertical="center"/>
    </xf>
    <xf numFmtId="164" fontId="3" fillId="5" borderId="23" xfId="0" applyNumberFormat="1" applyFont="1" applyFill="1" applyBorder="1" applyAlignment="1">
      <alignment horizontal="center" vertical="center"/>
    </xf>
    <xf numFmtId="164" fontId="3" fillId="5" borderId="19" xfId="0" applyNumberFormat="1" applyFont="1" applyFill="1" applyBorder="1" applyAlignment="1">
      <alignment horizontal="center" vertical="center"/>
    </xf>
    <xf numFmtId="10" fontId="3" fillId="5" borderId="19" xfId="1" applyNumberFormat="1" applyFont="1" applyFill="1" applyBorder="1" applyAlignment="1">
      <alignment horizontal="center" vertical="center"/>
    </xf>
    <xf numFmtId="10" fontId="3" fillId="5" borderId="20" xfId="1" applyNumberFormat="1" applyFont="1" applyFill="1" applyBorder="1" applyAlignment="1">
      <alignment horizontal="center" vertical="center"/>
    </xf>
    <xf numFmtId="10" fontId="3" fillId="5" borderId="18" xfId="1" applyNumberFormat="1" applyFont="1" applyFill="1" applyBorder="1" applyAlignment="1">
      <alignment horizontal="center" vertical="center"/>
    </xf>
    <xf numFmtId="0" fontId="3" fillId="2" borderId="2" xfId="0" applyFont="1" applyFill="1" applyBorder="1" applyAlignment="1">
      <alignment horizontal="center" vertical="center"/>
    </xf>
    <xf numFmtId="165" fontId="0" fillId="0" borderId="61" xfId="1" applyNumberFormat="1" applyFont="1" applyBorder="1" applyAlignment="1">
      <alignment horizontal="center" vertical="center"/>
    </xf>
    <xf numFmtId="165" fontId="0" fillId="0" borderId="62" xfId="1" applyNumberFormat="1" applyFont="1" applyBorder="1"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165" fontId="0" fillId="0" borderId="4" xfId="1" applyNumberFormat="1" applyFont="1" applyBorder="1" applyAlignment="1">
      <alignment horizontal="center" vertical="center"/>
    </xf>
    <xf numFmtId="165" fontId="0" fillId="0" borderId="0" xfId="1" applyNumberFormat="1" applyFont="1" applyBorder="1" applyAlignment="1">
      <alignment horizontal="center" vertical="center"/>
    </xf>
    <xf numFmtId="165" fontId="0" fillId="0" borderId="5" xfId="1" applyNumberFormat="1" applyFont="1"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0" fillId="0" borderId="25" xfId="0" applyBorder="1" applyAlignment="1">
      <alignment horizontal="center" vertical="center"/>
    </xf>
    <xf numFmtId="0" fontId="23" fillId="7" borderId="8" xfId="0" applyFont="1" applyFill="1" applyBorder="1" applyAlignment="1">
      <alignment horizontal="center" vertical="center"/>
    </xf>
    <xf numFmtId="10" fontId="0" fillId="0" borderId="4" xfId="1" applyNumberFormat="1" applyFont="1" applyBorder="1" applyAlignment="1">
      <alignment horizontal="center" vertical="center"/>
    </xf>
    <xf numFmtId="10" fontId="0" fillId="0" borderId="54" xfId="1" applyNumberFormat="1" applyFont="1" applyBorder="1" applyAlignment="1">
      <alignment horizontal="center" vertical="center"/>
    </xf>
    <xf numFmtId="10" fontId="0" fillId="0" borderId="1" xfId="1" applyNumberFormat="1" applyFont="1" applyBorder="1" applyAlignment="1">
      <alignment horizontal="center" vertical="center"/>
    </xf>
    <xf numFmtId="10" fontId="0" fillId="0" borderId="8" xfId="1" applyNumberFormat="1" applyFont="1" applyBorder="1" applyAlignment="1">
      <alignment horizontal="center" vertical="center"/>
    </xf>
    <xf numFmtId="0" fontId="0" fillId="5" borderId="25" xfId="0" applyFill="1" applyBorder="1" applyAlignment="1" applyProtection="1">
      <alignment horizontal="center" vertical="center"/>
      <protection locked="0"/>
    </xf>
    <xf numFmtId="0" fontId="0" fillId="5" borderId="60"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9" fillId="2" borderId="3"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12" fillId="0" borderId="0" xfId="0" applyFont="1" applyAlignment="1" applyProtection="1">
      <alignment vertical="center"/>
    </xf>
    <xf numFmtId="0" fontId="9" fillId="2" borderId="5"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27" fillId="2" borderId="9" xfId="0" applyFont="1" applyFill="1" applyBorder="1" applyAlignment="1" applyProtection="1">
      <alignment horizontal="center" vertical="center"/>
    </xf>
    <xf numFmtId="0" fontId="27" fillId="2" borderId="9" xfId="0" applyFont="1" applyFill="1" applyBorder="1" applyAlignment="1" applyProtection="1">
      <alignment horizontal="center" vertical="center" wrapText="1"/>
    </xf>
    <xf numFmtId="0" fontId="27" fillId="2" borderId="10"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9" fillId="2" borderId="19" xfId="0" applyFont="1" applyFill="1" applyBorder="1" applyAlignment="1" applyProtection="1">
      <alignment horizontal="center" vertical="center"/>
    </xf>
    <xf numFmtId="0" fontId="9" fillId="5" borderId="23"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9" fillId="2" borderId="19" xfId="0" applyFont="1" applyFill="1" applyBorder="1" applyAlignment="1" applyProtection="1">
      <alignment horizontal="center" vertical="center" wrapText="1"/>
    </xf>
    <xf numFmtId="0" fontId="9" fillId="2" borderId="20" xfId="0" applyFont="1" applyFill="1" applyBorder="1" applyAlignment="1" applyProtection="1">
      <alignment horizontal="center" vertical="center"/>
    </xf>
    <xf numFmtId="0" fontId="9" fillId="2" borderId="20" xfId="0" applyFont="1" applyFill="1" applyBorder="1" applyAlignment="1" applyProtection="1">
      <alignment horizontal="center" vertical="center" wrapText="1"/>
    </xf>
    <xf numFmtId="0" fontId="9" fillId="2" borderId="21"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5" fillId="0" borderId="4" xfId="0" applyFont="1" applyBorder="1" applyAlignment="1" applyProtection="1">
      <alignment horizontal="center" vertical="center"/>
    </xf>
    <xf numFmtId="0" fontId="5" fillId="0" borderId="0" xfId="0" applyFont="1" applyBorder="1" applyAlignment="1" applyProtection="1">
      <alignment horizontal="center" vertical="center"/>
    </xf>
    <xf numFmtId="0" fontId="0" fillId="0" borderId="25" xfId="0" applyBorder="1" applyAlignment="1" applyProtection="1">
      <alignment horizontal="center" vertical="center"/>
    </xf>
    <xf numFmtId="164" fontId="0" fillId="0" borderId="0" xfId="0" applyNumberFormat="1" applyFont="1" applyBorder="1" applyAlignment="1" applyProtection="1">
      <alignment horizontal="center" vertical="center"/>
    </xf>
    <xf numFmtId="0" fontId="0" fillId="0" borderId="5" xfId="0" applyBorder="1" applyAlignment="1" applyProtection="1">
      <alignment horizontal="center" vertical="center"/>
    </xf>
    <xf numFmtId="165" fontId="0" fillId="0" borderId="0" xfId="0" applyNumberFormat="1" applyFont="1" applyBorder="1" applyAlignment="1" applyProtection="1">
      <alignment horizontal="center" vertical="center"/>
    </xf>
    <xf numFmtId="165" fontId="0" fillId="0" borderId="0" xfId="0" applyNumberFormat="1" applyFont="1" applyBorder="1" applyAlignment="1" applyProtection="1">
      <alignment horizontal="center" vertical="center" wrapText="1"/>
    </xf>
    <xf numFmtId="165" fontId="0" fillId="0" borderId="5" xfId="0" applyNumberFormat="1" applyFont="1" applyBorder="1" applyAlignment="1" applyProtection="1">
      <alignment horizontal="center" vertical="center" wrapText="1"/>
    </xf>
    <xf numFmtId="165" fontId="0" fillId="0" borderId="4" xfId="0" applyNumberFormat="1" applyFont="1" applyBorder="1" applyAlignment="1" applyProtection="1">
      <alignment horizontal="center" vertical="center"/>
    </xf>
    <xf numFmtId="165" fontId="0" fillId="0" borderId="6" xfId="0" applyNumberFormat="1" applyFont="1" applyBorder="1" applyAlignment="1" applyProtection="1">
      <alignment horizontal="center" vertical="center"/>
    </xf>
    <xf numFmtId="165" fontId="0" fillId="0" borderId="7" xfId="0" applyNumberFormat="1" applyFont="1" applyBorder="1" applyAlignment="1" applyProtection="1">
      <alignment horizontal="center" vertical="center"/>
    </xf>
    <xf numFmtId="165" fontId="0" fillId="0" borderId="5" xfId="0" applyNumberFormat="1" applyFont="1" applyBorder="1" applyAlignment="1" applyProtection="1">
      <alignment horizontal="center" vertical="center"/>
    </xf>
    <xf numFmtId="0" fontId="0" fillId="0" borderId="0" xfId="0" applyAlignment="1" applyProtection="1">
      <alignment vertical="center"/>
    </xf>
    <xf numFmtId="0" fontId="0" fillId="0" borderId="5" xfId="0" applyFont="1" applyBorder="1" applyAlignment="1" applyProtection="1">
      <alignment horizontal="center" vertical="center"/>
    </xf>
    <xf numFmtId="0" fontId="0" fillId="0" borderId="26" xfId="0"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164" fontId="2" fillId="3" borderId="2" xfId="0" applyNumberFormat="1" applyFont="1" applyFill="1" applyBorder="1" applyAlignment="1" applyProtection="1">
      <alignment horizontal="center" vertical="center"/>
    </xf>
    <xf numFmtId="165" fontId="2" fillId="3" borderId="2" xfId="0" applyNumberFormat="1" applyFont="1" applyFill="1" applyBorder="1" applyAlignment="1" applyProtection="1">
      <alignment horizontal="center" vertical="center"/>
    </xf>
    <xf numFmtId="165" fontId="2" fillId="3" borderId="2" xfId="0" applyNumberFormat="1" applyFont="1" applyFill="1" applyBorder="1" applyAlignment="1" applyProtection="1">
      <alignment horizontal="center" vertical="center" wrapText="1"/>
    </xf>
    <xf numFmtId="165" fontId="2" fillId="3" borderId="3" xfId="0" applyNumberFormat="1" applyFont="1" applyFill="1" applyBorder="1" applyAlignment="1" applyProtection="1">
      <alignment horizontal="center" vertical="center" wrapText="1"/>
    </xf>
    <xf numFmtId="165" fontId="2" fillId="3" borderId="1" xfId="0" applyNumberFormat="1" applyFont="1" applyFill="1" applyBorder="1" applyAlignment="1" applyProtection="1">
      <alignment horizontal="center" vertical="center"/>
    </xf>
    <xf numFmtId="165" fontId="2" fillId="3" borderId="15" xfId="0" applyNumberFormat="1" applyFont="1" applyFill="1" applyBorder="1" applyAlignment="1" applyProtection="1">
      <alignment horizontal="center" vertical="center"/>
    </xf>
    <xf numFmtId="165" fontId="2" fillId="3" borderId="16" xfId="0" applyNumberFormat="1" applyFont="1" applyFill="1" applyBorder="1" applyAlignment="1" applyProtection="1">
      <alignment horizontal="center" vertical="center"/>
    </xf>
    <xf numFmtId="165" fontId="2" fillId="3" borderId="3"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3" fillId="2" borderId="18"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5" borderId="23" xfId="0" applyFont="1" applyFill="1" applyBorder="1" applyAlignment="1" applyProtection="1">
      <alignment horizontal="center" vertical="center"/>
    </xf>
    <xf numFmtId="0" fontId="3" fillId="2" borderId="19"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xf>
    <xf numFmtId="0" fontId="3" fillId="2" borderId="20"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0" fillId="0" borderId="4" xfId="0" applyBorder="1" applyAlignment="1" applyProtection="1">
      <alignment horizontal="center" vertical="center"/>
    </xf>
    <xf numFmtId="0" fontId="0" fillId="0" borderId="0" xfId="0" applyFont="1" applyBorder="1" applyAlignment="1" applyProtection="1">
      <alignment horizontal="center" vertical="center"/>
    </xf>
    <xf numFmtId="0" fontId="0" fillId="0" borderId="24" xfId="0" applyBorder="1" applyAlignment="1" applyProtection="1">
      <alignment horizontal="center" vertical="center"/>
    </xf>
    <xf numFmtId="165" fontId="1" fillId="0" borderId="0" xfId="1" applyNumberFormat="1" applyFont="1" applyBorder="1" applyAlignment="1" applyProtection="1">
      <alignment horizontal="center" vertical="center"/>
    </xf>
    <xf numFmtId="165" fontId="1" fillId="0" borderId="0" xfId="1" applyNumberFormat="1" applyFont="1" applyBorder="1" applyAlignment="1" applyProtection="1">
      <alignment horizontal="center" vertical="center" wrapText="1"/>
    </xf>
    <xf numFmtId="165" fontId="1" fillId="0" borderId="5" xfId="1" applyNumberFormat="1" applyFont="1" applyBorder="1" applyAlignment="1" applyProtection="1">
      <alignment horizontal="center" vertical="center" wrapText="1"/>
    </xf>
    <xf numFmtId="0" fontId="0" fillId="0" borderId="4"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7" xfId="0" applyFont="1" applyBorder="1" applyAlignment="1" applyProtection="1">
      <alignment horizontal="center" vertical="center"/>
    </xf>
    <xf numFmtId="165" fontId="1" fillId="0" borderId="4" xfId="1" applyNumberFormat="1"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164" fontId="0" fillId="0" borderId="9" xfId="0" applyNumberFormat="1" applyFont="1" applyBorder="1" applyAlignment="1" applyProtection="1">
      <alignment horizontal="center" vertical="center"/>
    </xf>
    <xf numFmtId="0" fontId="0" fillId="0" borderId="10" xfId="0" applyBorder="1" applyAlignment="1" applyProtection="1">
      <alignment horizontal="center" vertical="center"/>
    </xf>
    <xf numFmtId="165" fontId="0" fillId="0" borderId="9" xfId="0" applyNumberFormat="1" applyFont="1" applyBorder="1" applyAlignment="1" applyProtection="1">
      <alignment horizontal="center" vertical="center"/>
    </xf>
    <xf numFmtId="165" fontId="0" fillId="0" borderId="9" xfId="0" applyNumberFormat="1" applyFont="1" applyBorder="1" applyAlignment="1" applyProtection="1">
      <alignment horizontal="center" vertical="center" wrapText="1"/>
    </xf>
    <xf numFmtId="165" fontId="0" fillId="0" borderId="10" xfId="0" applyNumberFormat="1" applyFont="1" applyBorder="1" applyAlignment="1" applyProtection="1">
      <alignment horizontal="center" vertical="center" wrapText="1"/>
    </xf>
    <xf numFmtId="165" fontId="0" fillId="0" borderId="8" xfId="0" applyNumberFormat="1" applyFont="1" applyBorder="1" applyAlignment="1" applyProtection="1">
      <alignment horizontal="center" vertical="center"/>
    </xf>
    <xf numFmtId="165" fontId="0" fillId="0" borderId="12" xfId="0" applyNumberFormat="1" applyFont="1" applyBorder="1" applyAlignment="1" applyProtection="1">
      <alignment horizontal="center" vertical="center"/>
    </xf>
    <xf numFmtId="165" fontId="0" fillId="0" borderId="13" xfId="0" applyNumberFormat="1" applyFont="1" applyBorder="1" applyAlignment="1" applyProtection="1">
      <alignment horizontal="center" vertical="center"/>
    </xf>
    <xf numFmtId="165" fontId="0" fillId="0" borderId="10" xfId="0" applyNumberFormat="1" applyFont="1" applyBorder="1" applyAlignment="1" applyProtection="1">
      <alignment horizontal="center" vertical="center"/>
    </xf>
    <xf numFmtId="0" fontId="4" fillId="3" borderId="18" xfId="0" applyFont="1" applyFill="1" applyBorder="1" applyAlignment="1" applyProtection="1">
      <alignment horizontal="center" vertical="center"/>
    </xf>
    <xf numFmtId="0" fontId="4" fillId="3" borderId="19" xfId="0" applyFont="1" applyFill="1" applyBorder="1" applyAlignment="1" applyProtection="1">
      <alignment horizontal="center" vertical="center"/>
    </xf>
    <xf numFmtId="0" fontId="2" fillId="3" borderId="20" xfId="0" applyFont="1" applyFill="1" applyBorder="1" applyAlignment="1" applyProtection="1">
      <alignment horizontal="center" vertical="center"/>
    </xf>
    <xf numFmtId="164" fontId="2" fillId="3" borderId="19" xfId="0" applyNumberFormat="1" applyFont="1" applyFill="1" applyBorder="1" applyAlignment="1" applyProtection="1">
      <alignment horizontal="center" vertical="center"/>
    </xf>
    <xf numFmtId="165" fontId="2" fillId="3" borderId="19" xfId="0" applyNumberFormat="1" applyFont="1" applyFill="1" applyBorder="1" applyAlignment="1" applyProtection="1">
      <alignment horizontal="center" vertical="center"/>
    </xf>
    <xf numFmtId="165" fontId="2" fillId="3" borderId="19" xfId="0" applyNumberFormat="1" applyFont="1" applyFill="1" applyBorder="1" applyAlignment="1" applyProtection="1">
      <alignment horizontal="center" vertical="center" wrapText="1"/>
    </xf>
    <xf numFmtId="165" fontId="2" fillId="3" borderId="20" xfId="0" applyNumberFormat="1" applyFont="1" applyFill="1" applyBorder="1" applyAlignment="1" applyProtection="1">
      <alignment horizontal="center" vertical="center" wrapText="1"/>
    </xf>
    <xf numFmtId="165" fontId="2" fillId="3" borderId="18" xfId="0" applyNumberFormat="1" applyFont="1" applyFill="1" applyBorder="1" applyAlignment="1" applyProtection="1">
      <alignment horizontal="center" vertical="center"/>
    </xf>
    <xf numFmtId="165" fontId="2" fillId="3" borderId="21" xfId="0" applyNumberFormat="1" applyFont="1" applyFill="1" applyBorder="1" applyAlignment="1" applyProtection="1">
      <alignment horizontal="center" vertical="center"/>
    </xf>
    <xf numFmtId="165" fontId="2" fillId="3" borderId="22" xfId="0" applyNumberFormat="1" applyFont="1" applyFill="1" applyBorder="1" applyAlignment="1" applyProtection="1">
      <alignment horizontal="center" vertical="center"/>
    </xf>
    <xf numFmtId="165" fontId="2" fillId="3" borderId="20" xfId="0" applyNumberFormat="1"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164" fontId="0" fillId="0" borderId="2" xfId="0" applyNumberFormat="1" applyFont="1" applyBorder="1" applyAlignment="1" applyProtection="1">
      <alignment horizontal="center" vertical="center"/>
    </xf>
    <xf numFmtId="0" fontId="0" fillId="0" borderId="3" xfId="0" applyBorder="1" applyAlignment="1" applyProtection="1">
      <alignment horizontal="center" vertical="center"/>
    </xf>
    <xf numFmtId="165" fontId="0" fillId="0" borderId="2" xfId="0" applyNumberFormat="1" applyFont="1" applyBorder="1" applyAlignment="1" applyProtection="1">
      <alignment horizontal="center" vertical="center"/>
    </xf>
    <xf numFmtId="165" fontId="0" fillId="0" borderId="2" xfId="0" applyNumberFormat="1" applyFont="1" applyBorder="1" applyAlignment="1" applyProtection="1">
      <alignment horizontal="center" vertical="center" wrapText="1"/>
    </xf>
    <xf numFmtId="165" fontId="0" fillId="0" borderId="3" xfId="0" applyNumberFormat="1" applyFont="1" applyBorder="1" applyAlignment="1" applyProtection="1">
      <alignment horizontal="center" vertical="center" wrapText="1"/>
    </xf>
    <xf numFmtId="165" fontId="0" fillId="0" borderId="1" xfId="0" applyNumberFormat="1" applyFont="1" applyBorder="1" applyAlignment="1" applyProtection="1">
      <alignment horizontal="center" vertical="center"/>
    </xf>
    <xf numFmtId="165" fontId="0" fillId="0" borderId="15" xfId="0" applyNumberFormat="1" applyFont="1" applyBorder="1" applyAlignment="1" applyProtection="1">
      <alignment horizontal="center" vertical="center"/>
    </xf>
    <xf numFmtId="165" fontId="0" fillId="0" borderId="16" xfId="0" applyNumberFormat="1" applyFont="1" applyBorder="1" applyAlignment="1" applyProtection="1">
      <alignment horizontal="center" vertical="center"/>
    </xf>
    <xf numFmtId="165" fontId="0" fillId="0" borderId="3" xfId="0" applyNumberFormat="1" applyFont="1" applyBorder="1" applyAlignment="1" applyProtection="1">
      <alignment horizontal="center" vertical="center"/>
    </xf>
    <xf numFmtId="0" fontId="13" fillId="0" borderId="4" xfId="0" applyFont="1" applyBorder="1" applyAlignment="1" applyProtection="1">
      <alignment horizontal="center" vertical="center"/>
    </xf>
    <xf numFmtId="0" fontId="0" fillId="0" borderId="0" xfId="0" applyBorder="1" applyAlignment="1" applyProtection="1">
      <alignment horizontal="center" vertical="center"/>
    </xf>
    <xf numFmtId="0" fontId="5" fillId="0" borderId="18"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23" xfId="0" applyBorder="1" applyAlignment="1" applyProtection="1">
      <alignment horizontal="center" vertical="center"/>
    </xf>
    <xf numFmtId="164" fontId="0" fillId="0" borderId="19" xfId="0" applyNumberFormat="1" applyFont="1" applyBorder="1" applyAlignment="1" applyProtection="1">
      <alignment horizontal="center" vertical="center"/>
    </xf>
    <xf numFmtId="0" fontId="0" fillId="0" borderId="20" xfId="0" applyBorder="1" applyAlignment="1" applyProtection="1">
      <alignment horizontal="center" vertical="center"/>
    </xf>
    <xf numFmtId="165" fontId="0" fillId="0" borderId="19" xfId="0" applyNumberFormat="1" applyFont="1" applyBorder="1" applyAlignment="1" applyProtection="1">
      <alignment horizontal="center" vertical="center"/>
    </xf>
    <xf numFmtId="165" fontId="0" fillId="0" borderId="19" xfId="0" applyNumberFormat="1" applyFont="1" applyBorder="1" applyAlignment="1" applyProtection="1">
      <alignment horizontal="center" vertical="center" wrapText="1"/>
    </xf>
    <xf numFmtId="165" fontId="0" fillId="0" borderId="20" xfId="0" applyNumberFormat="1" applyFont="1" applyBorder="1" applyAlignment="1" applyProtection="1">
      <alignment horizontal="center" vertical="center" wrapText="1"/>
    </xf>
    <xf numFmtId="165" fontId="0" fillId="0" borderId="18" xfId="0" applyNumberFormat="1" applyFont="1" applyBorder="1" applyAlignment="1" applyProtection="1">
      <alignment horizontal="center" vertical="center"/>
    </xf>
    <xf numFmtId="165" fontId="0" fillId="0" borderId="21" xfId="0" applyNumberFormat="1" applyFont="1" applyBorder="1" applyAlignment="1" applyProtection="1">
      <alignment horizontal="center" vertical="center"/>
    </xf>
    <xf numFmtId="165" fontId="0" fillId="0" borderId="22" xfId="0" applyNumberFormat="1" applyFont="1" applyBorder="1" applyAlignment="1" applyProtection="1">
      <alignment horizontal="center" vertical="center"/>
    </xf>
    <xf numFmtId="165" fontId="0" fillId="0" borderId="20" xfId="0" applyNumberFormat="1" applyFont="1" applyBorder="1" applyAlignment="1" applyProtection="1">
      <alignment horizontal="center" vertical="center"/>
    </xf>
    <xf numFmtId="0" fontId="5" fillId="0" borderId="4" xfId="0" applyFont="1" applyFill="1" applyBorder="1" applyAlignment="1" applyProtection="1">
      <alignment horizontal="left"/>
    </xf>
    <xf numFmtId="0" fontId="0" fillId="0" borderId="0" xfId="0" applyProtection="1"/>
    <xf numFmtId="0" fontId="0" fillId="0" borderId="0" xfId="0" applyAlignment="1" applyProtection="1">
      <alignment horizontal="center"/>
    </xf>
    <xf numFmtId="0" fontId="3" fillId="5" borderId="18" xfId="0" applyFont="1" applyFill="1" applyBorder="1" applyProtection="1"/>
    <xf numFmtId="0" fontId="3" fillId="5" borderId="19" xfId="0" applyFont="1" applyFill="1" applyBorder="1" applyProtection="1"/>
    <xf numFmtId="0" fontId="3" fillId="5" borderId="20" xfId="0" applyFont="1" applyFill="1" applyBorder="1" applyProtection="1"/>
    <xf numFmtId="0" fontId="9" fillId="2" borderId="1"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0" fontId="26" fillId="2" borderId="9"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0" fillId="0" borderId="18" xfId="0" applyBorder="1" applyProtection="1"/>
    <xf numFmtId="1" fontId="0" fillId="0" borderId="19" xfId="0" applyNumberFormat="1" applyBorder="1" applyAlignment="1" applyProtection="1">
      <alignment horizontal="center" vertical="center"/>
    </xf>
    <xf numFmtId="9" fontId="0" fillId="0" borderId="18" xfId="1" applyFont="1" applyBorder="1" applyAlignment="1" applyProtection="1">
      <alignment horizontal="center" vertical="center"/>
    </xf>
    <xf numFmtId="9" fontId="0" fillId="0" borderId="19" xfId="1" applyFont="1" applyBorder="1" applyAlignment="1" applyProtection="1">
      <alignment horizontal="center" vertical="center"/>
    </xf>
    <xf numFmtId="9" fontId="0" fillId="0" borderId="20" xfId="1" applyFont="1" applyBorder="1" applyAlignment="1" applyProtection="1">
      <alignment horizontal="center" vertical="center"/>
    </xf>
    <xf numFmtId="9" fontId="0" fillId="0" borderId="21" xfId="1" applyFont="1" applyBorder="1" applyAlignment="1" applyProtection="1">
      <alignment horizontal="center" vertical="center"/>
    </xf>
    <xf numFmtId="0" fontId="0" fillId="0" borderId="18" xfId="0" applyBorder="1" applyAlignment="1" applyProtection="1">
      <alignment wrapText="1"/>
    </xf>
    <xf numFmtId="0" fontId="12" fillId="0" borderId="18" xfId="0" applyFont="1" applyBorder="1" applyAlignment="1" applyProtection="1">
      <alignment wrapText="1"/>
    </xf>
    <xf numFmtId="0" fontId="5" fillId="0" borderId="0" xfId="0" applyFont="1" applyProtection="1"/>
    <xf numFmtId="0" fontId="0" fillId="0" borderId="0" xfId="0" applyAlignment="1" applyProtection="1">
      <alignment horizontal="right"/>
    </xf>
    <xf numFmtId="1" fontId="0" fillId="9" borderId="53" xfId="0" applyNumberFormat="1" applyFill="1" applyBorder="1" applyAlignment="1" applyProtection="1">
      <alignment horizontal="center" vertical="center"/>
    </xf>
    <xf numFmtId="0" fontId="0" fillId="9" borderId="1" xfId="0" applyFill="1" applyBorder="1" applyAlignment="1" applyProtection="1">
      <alignment vertical="center"/>
    </xf>
    <xf numFmtId="0" fontId="0" fillId="9" borderId="2" xfId="0" applyFill="1" applyBorder="1" applyAlignment="1" applyProtection="1">
      <alignment vertical="center"/>
    </xf>
    <xf numFmtId="0" fontId="0" fillId="9" borderId="3" xfId="0" applyFill="1" applyBorder="1" applyAlignment="1" applyProtection="1">
      <alignment vertical="center"/>
    </xf>
    <xf numFmtId="1" fontId="0" fillId="9" borderId="54" xfId="0" applyNumberFormat="1" applyFill="1" applyBorder="1" applyAlignment="1" applyProtection="1">
      <alignment horizontal="center" vertical="center"/>
    </xf>
    <xf numFmtId="0" fontId="0" fillId="9" borderId="4" xfId="0" applyFill="1" applyBorder="1" applyAlignment="1" applyProtection="1">
      <alignment vertical="center"/>
    </xf>
    <xf numFmtId="0" fontId="0" fillId="9" borderId="0" xfId="0" applyFill="1" applyBorder="1" applyAlignment="1" applyProtection="1">
      <alignment vertical="center"/>
    </xf>
    <xf numFmtId="0" fontId="0" fillId="9" borderId="5" xfId="0" applyFill="1" applyBorder="1" applyAlignment="1" applyProtection="1">
      <alignment vertical="center"/>
    </xf>
    <xf numFmtId="164" fontId="0" fillId="9" borderId="54" xfId="0" applyNumberFormat="1" applyFill="1" applyBorder="1" applyAlignment="1" applyProtection="1">
      <alignment horizontal="center" vertical="center"/>
    </xf>
    <xf numFmtId="164" fontId="0" fillId="9" borderId="55" xfId="0" applyNumberFormat="1" applyFill="1" applyBorder="1" applyAlignment="1" applyProtection="1">
      <alignment horizontal="center" vertical="center"/>
    </xf>
    <xf numFmtId="0" fontId="0" fillId="9" borderId="8" xfId="0" applyFill="1" applyBorder="1" applyAlignment="1" applyProtection="1">
      <alignment vertical="center"/>
    </xf>
    <xf numFmtId="0" fontId="0" fillId="9" borderId="9" xfId="0" applyFill="1" applyBorder="1" applyAlignment="1" applyProtection="1">
      <alignment vertical="center"/>
    </xf>
    <xf numFmtId="0" fontId="0" fillId="9" borderId="10" xfId="0" applyFill="1" applyBorder="1" applyAlignment="1" applyProtection="1">
      <alignment vertical="center"/>
    </xf>
    <xf numFmtId="1" fontId="0" fillId="5" borderId="53" xfId="0" applyNumberFormat="1" applyFill="1" applyBorder="1" applyAlignment="1" applyProtection="1">
      <alignment horizontal="center" vertical="center"/>
    </xf>
    <xf numFmtId="0" fontId="0" fillId="5" borderId="1" xfId="0" applyFill="1" applyBorder="1" applyAlignment="1" applyProtection="1">
      <alignment vertical="center"/>
    </xf>
    <xf numFmtId="0" fontId="0" fillId="5" borderId="2" xfId="0" applyFill="1" applyBorder="1" applyAlignment="1" applyProtection="1">
      <alignment vertical="center"/>
    </xf>
    <xf numFmtId="0" fontId="0" fillId="5" borderId="3" xfId="0" applyFill="1" applyBorder="1" applyAlignment="1" applyProtection="1">
      <alignment vertical="center"/>
    </xf>
    <xf numFmtId="1" fontId="0" fillId="5" borderId="54" xfId="0" applyNumberFormat="1" applyFill="1" applyBorder="1" applyAlignment="1" applyProtection="1">
      <alignment horizontal="center" vertical="center"/>
    </xf>
    <xf numFmtId="0" fontId="0" fillId="5" borderId="4" xfId="0" applyFill="1" applyBorder="1" applyAlignment="1" applyProtection="1">
      <alignment vertical="center"/>
    </xf>
    <xf numFmtId="0" fontId="0" fillId="5" borderId="0" xfId="0" applyFill="1" applyBorder="1" applyAlignment="1" applyProtection="1">
      <alignment vertical="center"/>
    </xf>
    <xf numFmtId="0" fontId="0" fillId="5" borderId="5" xfId="0" applyFill="1" applyBorder="1" applyAlignment="1" applyProtection="1">
      <alignment vertical="center"/>
    </xf>
    <xf numFmtId="164" fontId="0" fillId="5" borderId="54" xfId="0" applyNumberFormat="1" applyFill="1" applyBorder="1" applyAlignment="1" applyProtection="1">
      <alignment horizontal="center" vertical="center"/>
    </xf>
    <xf numFmtId="164" fontId="0" fillId="5" borderId="55" xfId="0" applyNumberFormat="1" applyFill="1" applyBorder="1" applyAlignment="1" applyProtection="1">
      <alignment horizontal="center" vertical="center"/>
    </xf>
    <xf numFmtId="0" fontId="0" fillId="5" borderId="8" xfId="0" applyFill="1" applyBorder="1" applyAlignment="1" applyProtection="1">
      <alignment vertical="center"/>
    </xf>
    <xf numFmtId="0" fontId="0" fillId="5" borderId="9" xfId="0" applyFill="1" applyBorder="1" applyAlignment="1" applyProtection="1">
      <alignment vertical="center"/>
    </xf>
    <xf numFmtId="0" fontId="0" fillId="5" borderId="10" xfId="0" applyFill="1" applyBorder="1" applyAlignment="1" applyProtection="1">
      <alignment vertical="center"/>
    </xf>
    <xf numFmtId="0" fontId="5" fillId="5" borderId="25" xfId="0" applyFont="1" applyFill="1" applyBorder="1" applyAlignment="1" applyProtection="1">
      <alignment horizontal="center" vertical="center"/>
      <protection locked="0"/>
    </xf>
    <xf numFmtId="0" fontId="5"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2" fontId="0" fillId="0" borderId="69" xfId="0" applyNumberFormat="1" applyBorder="1" applyAlignment="1">
      <alignment horizontal="center" vertical="center"/>
    </xf>
    <xf numFmtId="2" fontId="0" fillId="0" borderId="70" xfId="0" applyNumberFormat="1" applyBorder="1" applyAlignment="1">
      <alignment horizontal="center" vertical="center"/>
    </xf>
    <xf numFmtId="2" fontId="0" fillId="0" borderId="52" xfId="0" applyNumberFormat="1" applyBorder="1" applyAlignment="1">
      <alignment horizontal="center" vertical="center"/>
    </xf>
    <xf numFmtId="2" fontId="0" fillId="0" borderId="64" xfId="0" applyNumberFormat="1" applyBorder="1" applyAlignment="1">
      <alignment horizontal="center" vertical="center"/>
    </xf>
    <xf numFmtId="2" fontId="0" fillId="0" borderId="66" xfId="0" applyNumberFormat="1" applyBorder="1" applyAlignment="1">
      <alignment horizontal="center" vertical="center"/>
    </xf>
    <xf numFmtId="2" fontId="0" fillId="0" borderId="67" xfId="0" applyNumberFormat="1" applyBorder="1" applyAlignment="1">
      <alignment horizontal="center" vertical="center"/>
    </xf>
    <xf numFmtId="2" fontId="0" fillId="0" borderId="0" xfId="0" applyNumberFormat="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63" xfId="0" applyBorder="1" applyAlignment="1">
      <alignment horizontal="center" vertical="center"/>
    </xf>
    <xf numFmtId="0" fontId="0" fillId="0" borderId="52"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3" fillId="4" borderId="71" xfId="0" applyFont="1" applyFill="1" applyBorder="1" applyAlignment="1">
      <alignment horizontal="center" vertical="center"/>
    </xf>
    <xf numFmtId="0" fontId="3" fillId="4" borderId="72" xfId="0" applyFont="1" applyFill="1" applyBorder="1" applyAlignment="1">
      <alignment horizontal="center" vertical="center"/>
    </xf>
    <xf numFmtId="2" fontId="3" fillId="4" borderId="72" xfId="0" applyNumberFormat="1" applyFont="1" applyFill="1" applyBorder="1" applyAlignment="1">
      <alignment horizontal="center" vertical="center"/>
    </xf>
    <xf numFmtId="2" fontId="3" fillId="4" borderId="73" xfId="0" applyNumberFormat="1" applyFont="1" applyFill="1" applyBorder="1" applyAlignment="1">
      <alignment horizontal="center" vertical="center"/>
    </xf>
    <xf numFmtId="0" fontId="0" fillId="0" borderId="10" xfId="0" applyBorder="1" applyAlignment="1">
      <alignment vertical="center" wrapText="1"/>
    </xf>
    <xf numFmtId="0" fontId="2" fillId="11" borderId="20" xfId="0" applyFont="1" applyFill="1" applyBorder="1" applyAlignment="1">
      <alignment vertical="center" wrapText="1"/>
    </xf>
    <xf numFmtId="0" fontId="0" fillId="10" borderId="10" xfId="0" applyFill="1" applyBorder="1" applyAlignment="1">
      <alignment vertical="center" wrapText="1"/>
    </xf>
    <xf numFmtId="0" fontId="0" fillId="4" borderId="10" xfId="0" applyFill="1" applyBorder="1" applyAlignment="1">
      <alignment vertical="center" wrapText="1"/>
    </xf>
    <xf numFmtId="0" fontId="0" fillId="4" borderId="74" xfId="0" applyFill="1" applyBorder="1" applyAlignment="1">
      <alignment vertical="center" wrapText="1"/>
    </xf>
    <xf numFmtId="0" fontId="0" fillId="4" borderId="75" xfId="0" applyFill="1" applyBorder="1" applyAlignment="1">
      <alignment vertical="center" wrapText="1"/>
    </xf>
    <xf numFmtId="0" fontId="0" fillId="4" borderId="76" xfId="0" applyFill="1" applyBorder="1" applyAlignment="1">
      <alignment vertical="center" wrapText="1"/>
    </xf>
    <xf numFmtId="0" fontId="0" fillId="0" borderId="74" xfId="0" applyBorder="1" applyAlignment="1">
      <alignment vertical="center" wrapText="1"/>
    </xf>
    <xf numFmtId="0" fontId="0" fillId="0" borderId="75" xfId="0" applyBorder="1" applyAlignment="1">
      <alignment vertical="center" wrapText="1"/>
    </xf>
    <xf numFmtId="0" fontId="0" fillId="0" borderId="76" xfId="0" applyBorder="1" applyAlignment="1">
      <alignment vertical="center" wrapText="1"/>
    </xf>
    <xf numFmtId="0" fontId="31" fillId="0" borderId="0" xfId="2"/>
    <xf numFmtId="0" fontId="0" fillId="4" borderId="26" xfId="0" applyFill="1" applyBorder="1" applyAlignment="1">
      <alignment horizontal="center" vertical="center" wrapText="1"/>
    </xf>
    <xf numFmtId="0" fontId="0" fillId="4" borderId="74" xfId="0" applyFont="1" applyFill="1" applyBorder="1" applyAlignment="1">
      <alignment vertical="center" wrapText="1"/>
    </xf>
    <xf numFmtId="0" fontId="0" fillId="4" borderId="75" xfId="0" applyFont="1" applyFill="1" applyBorder="1" applyAlignment="1">
      <alignment vertical="center" wrapText="1"/>
    </xf>
    <xf numFmtId="0" fontId="0" fillId="4" borderId="76" xfId="0" applyFont="1" applyFill="1" applyBorder="1" applyAlignment="1">
      <alignment vertical="center" wrapText="1"/>
    </xf>
    <xf numFmtId="0" fontId="0" fillId="0" borderId="26" xfId="0" applyBorder="1" applyAlignment="1">
      <alignment horizontal="center" vertical="center" wrapText="1"/>
    </xf>
    <xf numFmtId="0" fontId="0" fillId="10" borderId="74" xfId="0" applyFill="1" applyBorder="1" applyAlignment="1">
      <alignment vertical="center" wrapText="1"/>
    </xf>
    <xf numFmtId="0" fontId="0" fillId="10" borderId="75" xfId="0" applyFill="1" applyBorder="1" applyAlignment="1">
      <alignment vertical="center" wrapText="1"/>
    </xf>
    <xf numFmtId="0" fontId="0" fillId="10" borderId="76" xfId="0" applyFill="1" applyBorder="1" applyAlignment="1">
      <alignment vertical="center" wrapText="1"/>
    </xf>
    <xf numFmtId="0" fontId="0" fillId="10" borderId="77" xfId="0" applyFill="1" applyBorder="1" applyAlignment="1">
      <alignment vertical="center" wrapText="1"/>
    </xf>
    <xf numFmtId="0" fontId="0" fillId="10" borderId="78" xfId="0" applyFill="1" applyBorder="1" applyAlignment="1">
      <alignment vertical="center" wrapText="1"/>
    </xf>
    <xf numFmtId="0" fontId="2" fillId="11" borderId="23" xfId="0" applyFont="1" applyFill="1" applyBorder="1" applyAlignment="1">
      <alignment horizontal="center" vertical="center" wrapText="1"/>
    </xf>
    <xf numFmtId="0" fontId="0" fillId="10" borderId="26" xfId="0" applyFill="1" applyBorder="1" applyAlignment="1">
      <alignment horizontal="center" vertical="center" wrapText="1"/>
    </xf>
    <xf numFmtId="0" fontId="32" fillId="0" borderId="0" xfId="0" applyFont="1" applyAlignment="1">
      <alignment horizontal="center"/>
    </xf>
    <xf numFmtId="0" fontId="3" fillId="5" borderId="0" xfId="0" applyFont="1" applyFill="1"/>
    <xf numFmtId="0" fontId="0" fillId="5" borderId="0" xfId="0" applyFill="1"/>
    <xf numFmtId="0" fontId="3" fillId="12" borderId="0" xfId="0" applyFont="1" applyFill="1"/>
    <xf numFmtId="0" fontId="0" fillId="12" borderId="0" xfId="0" applyFill="1"/>
    <xf numFmtId="0" fontId="0" fillId="0" borderId="0" xfId="0" applyAlignment="1">
      <alignment horizontal="center" vertical="center"/>
    </xf>
    <xf numFmtId="0" fontId="0" fillId="0" borderId="0" xfId="0" applyAlignment="1">
      <alignment horizontal="left" vertical="center"/>
    </xf>
    <xf numFmtId="10" fontId="0" fillId="0" borderId="0" xfId="1" applyNumberFormat="1" applyFont="1"/>
    <xf numFmtId="0" fontId="25" fillId="0" borderId="4" xfId="0" applyFont="1" applyBorder="1" applyAlignment="1">
      <alignment horizontal="center" vertical="center" wrapText="1"/>
    </xf>
    <xf numFmtId="0" fontId="0" fillId="5" borderId="25" xfId="0" applyFill="1" applyBorder="1" applyAlignment="1" applyProtection="1">
      <alignment horizontal="center" vertical="center"/>
    </xf>
    <xf numFmtId="0" fontId="0" fillId="5" borderId="25" xfId="0" applyFont="1" applyFill="1" applyBorder="1" applyAlignment="1" applyProtection="1">
      <alignment horizontal="center" vertical="center"/>
    </xf>
    <xf numFmtId="0" fontId="0" fillId="5" borderId="23" xfId="0" applyFont="1" applyFill="1" applyBorder="1" applyAlignment="1" applyProtection="1">
      <alignment horizontal="center" vertical="center"/>
    </xf>
    <xf numFmtId="9" fontId="3" fillId="5" borderId="23" xfId="0" applyNumberFormat="1" applyFont="1" applyFill="1" applyBorder="1" applyAlignment="1" applyProtection="1">
      <alignment horizontal="center"/>
      <protection locked="0"/>
    </xf>
    <xf numFmtId="0" fontId="0" fillId="5" borderId="60" xfId="0" applyFill="1" applyBorder="1" applyAlignment="1" applyProtection="1">
      <alignment horizontal="center" vertical="center"/>
    </xf>
    <xf numFmtId="0" fontId="24" fillId="0" borderId="4"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10" borderId="24" xfId="0" applyFill="1" applyBorder="1" applyAlignment="1">
      <alignment horizontal="center" vertical="center" wrapText="1"/>
    </xf>
    <xf numFmtId="0" fontId="0" fillId="10" borderId="26"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4" borderId="24" xfId="0" applyFont="1" applyFill="1" applyBorder="1" applyAlignment="1">
      <alignment horizontal="center" vertical="center" wrapText="1"/>
    </xf>
    <xf numFmtId="0" fontId="0" fillId="4" borderId="25" xfId="0" applyFont="1" applyFill="1" applyBorder="1" applyAlignment="1">
      <alignment horizontal="center" vertical="center" wrapText="1"/>
    </xf>
    <xf numFmtId="0" fontId="0" fillId="4" borderId="26"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74" xfId="0" applyFill="1" applyBorder="1" applyAlignment="1">
      <alignment horizontal="center" vertical="center" wrapText="1"/>
    </xf>
    <xf numFmtId="0" fontId="0" fillId="10" borderId="76" xfId="0" applyFill="1" applyBorder="1" applyAlignment="1">
      <alignment horizontal="center" vertical="center" wrapText="1"/>
    </xf>
    <xf numFmtId="0" fontId="3" fillId="5" borderId="18" xfId="0" applyFont="1" applyFill="1" applyBorder="1" applyAlignment="1">
      <alignment horizontal="right" vertical="center"/>
    </xf>
    <xf numFmtId="0" fontId="3" fillId="5" borderId="19" xfId="0" applyFont="1" applyFill="1" applyBorder="1" applyAlignment="1">
      <alignment horizontal="right" vertical="center"/>
    </xf>
    <xf numFmtId="0" fontId="3" fillId="5" borderId="20" xfId="0" applyFont="1" applyFill="1" applyBorder="1" applyAlignment="1">
      <alignment horizontal="right" vertical="center"/>
    </xf>
    <xf numFmtId="165" fontId="0" fillId="0" borderId="61" xfId="1" applyNumberFormat="1" applyFont="1" applyBorder="1" applyAlignment="1">
      <alignment horizontal="center" vertical="center"/>
    </xf>
    <xf numFmtId="165" fontId="0" fillId="0" borderId="62" xfId="1" applyNumberFormat="1" applyFont="1" applyBorder="1" applyAlignment="1">
      <alignment horizontal="center" vertical="center"/>
    </xf>
    <xf numFmtId="0" fontId="3" fillId="5" borderId="24"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0" fillId="0" borderId="3" xfId="0" applyBorder="1" applyAlignment="1">
      <alignment horizontal="center" vertical="center"/>
    </xf>
    <xf numFmtId="0" fontId="3" fillId="2" borderId="24" xfId="0" applyFont="1" applyFill="1" applyBorder="1"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0" fontId="9" fillId="2" borderId="24"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24" xfId="0" applyFont="1" applyFill="1" applyBorder="1" applyAlignment="1" applyProtection="1">
      <alignment horizontal="center" vertical="center" textRotation="90"/>
    </xf>
    <xf numFmtId="0" fontId="12" fillId="0" borderId="25" xfId="0" applyFont="1" applyBorder="1" applyAlignment="1" applyProtection="1">
      <alignment horizontal="center" vertical="center"/>
    </xf>
    <xf numFmtId="0" fontId="12" fillId="0" borderId="26"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5" xfId="0" applyFont="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15" fillId="3" borderId="24" xfId="0" applyFont="1" applyFill="1" applyBorder="1" applyAlignment="1" applyProtection="1">
      <alignment horizontal="center" textRotation="90" wrapText="1"/>
    </xf>
    <xf numFmtId="0" fontId="0" fillId="0" borderId="25" xfId="0" applyBorder="1" applyAlignment="1" applyProtection="1">
      <alignment horizontal="center" textRotation="90" wrapText="1"/>
    </xf>
    <xf numFmtId="0" fontId="0" fillId="0" borderId="26" xfId="0" applyBorder="1" applyAlignment="1" applyProtection="1">
      <alignment horizontal="center" textRotation="90" wrapText="1"/>
    </xf>
    <xf numFmtId="0" fontId="3" fillId="5" borderId="24"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5" borderId="26" xfId="0" applyFont="1" applyFill="1" applyBorder="1" applyAlignment="1" applyProtection="1">
      <alignment horizontal="center" vertical="center" wrapText="1"/>
    </xf>
    <xf numFmtId="0" fontId="9" fillId="2" borderId="24" xfId="0" applyFont="1" applyFill="1" applyBorder="1" applyAlignment="1" applyProtection="1">
      <alignment horizontal="center" vertical="center" wrapText="1"/>
    </xf>
    <xf numFmtId="0" fontId="9" fillId="2" borderId="25" xfId="0" applyFont="1" applyFill="1" applyBorder="1" applyAlignment="1" applyProtection="1">
      <alignment horizontal="center" vertical="center" wrapText="1"/>
    </xf>
    <xf numFmtId="0" fontId="9" fillId="2" borderId="26" xfId="0" applyFont="1" applyFill="1" applyBorder="1" applyAlignment="1" applyProtection="1">
      <alignment horizontal="center" vertical="center" wrapText="1"/>
    </xf>
    <xf numFmtId="165" fontId="0" fillId="0" borderId="4" xfId="1" applyNumberFormat="1" applyFont="1" applyBorder="1" applyAlignment="1" applyProtection="1">
      <alignment horizontal="center" vertical="center"/>
    </xf>
    <xf numFmtId="165" fontId="0" fillId="0" borderId="0" xfId="1" applyNumberFormat="1" applyFont="1" applyBorder="1" applyAlignment="1" applyProtection="1">
      <alignment horizontal="center" vertical="center"/>
    </xf>
    <xf numFmtId="165" fontId="0" fillId="0" borderId="5" xfId="1" applyNumberFormat="1" applyFont="1" applyBorder="1" applyAlignment="1" applyProtection="1">
      <alignment horizontal="center" vertical="center"/>
    </xf>
    <xf numFmtId="0" fontId="3" fillId="9" borderId="24" xfId="0" applyFont="1" applyFill="1" applyBorder="1" applyAlignment="1" applyProtection="1">
      <alignment horizontal="center" vertical="center" wrapText="1"/>
    </xf>
    <xf numFmtId="0" fontId="3" fillId="9" borderId="25" xfId="0" applyFont="1" applyFill="1" applyBorder="1" applyAlignment="1" applyProtection="1">
      <alignment horizontal="center" vertical="center" wrapText="1"/>
    </xf>
    <xf numFmtId="0" fontId="3" fillId="9" borderId="26" xfId="0" applyFont="1" applyFill="1" applyBorder="1" applyAlignment="1" applyProtection="1">
      <alignment horizontal="center" vertical="center" wrapText="1"/>
    </xf>
    <xf numFmtId="0" fontId="12" fillId="0" borderId="0" xfId="0" applyFont="1" applyBorder="1" applyAlignment="1" applyProtection="1">
      <alignment horizontal="center" vertical="center"/>
    </xf>
    <xf numFmtId="0" fontId="29" fillId="10" borderId="1" xfId="0" applyFont="1" applyFill="1" applyBorder="1" applyAlignment="1" applyProtection="1">
      <alignment horizontal="center" vertical="center"/>
    </xf>
    <xf numFmtId="0" fontId="29" fillId="10" borderId="2" xfId="0" applyFont="1" applyFill="1" applyBorder="1" applyAlignment="1" applyProtection="1">
      <alignment horizontal="center" vertical="center"/>
    </xf>
    <xf numFmtId="0" fontId="29" fillId="10" borderId="3" xfId="0" applyFont="1" applyFill="1" applyBorder="1" applyAlignment="1" applyProtection="1">
      <alignment horizontal="center" vertical="center"/>
    </xf>
    <xf numFmtId="0" fontId="29" fillId="10" borderId="8" xfId="0" applyFont="1" applyFill="1" applyBorder="1" applyAlignment="1" applyProtection="1">
      <alignment horizontal="center" vertical="center"/>
    </xf>
    <xf numFmtId="0" fontId="29" fillId="10" borderId="9" xfId="0" applyFont="1" applyFill="1" applyBorder="1" applyAlignment="1" applyProtection="1">
      <alignment horizontal="center" vertical="center"/>
    </xf>
    <xf numFmtId="0" fontId="29" fillId="10" borderId="10" xfId="0" applyFont="1" applyFill="1" applyBorder="1" applyAlignment="1" applyProtection="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4" xfId="0" applyFont="1" applyFill="1" applyBorder="1" applyAlignment="1">
      <alignment horizontal="center" vertical="center" textRotation="90"/>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5" fillId="3" borderId="24" xfId="0" applyFont="1" applyFill="1" applyBorder="1" applyAlignment="1">
      <alignment horizontal="center" textRotation="90" wrapText="1"/>
    </xf>
    <xf numFmtId="0" fontId="0" fillId="0" borderId="25" xfId="0" applyBorder="1" applyAlignment="1">
      <alignment horizontal="center" textRotation="90" wrapText="1"/>
    </xf>
    <xf numFmtId="0" fontId="0" fillId="0" borderId="26" xfId="0" applyBorder="1" applyAlignment="1">
      <alignment horizontal="center" textRotation="90" wrapText="1"/>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9" fillId="2" borderId="5" xfId="0" applyFont="1" applyFill="1" applyBorder="1" applyAlignment="1">
      <alignment horizontal="center" vertical="center"/>
    </xf>
    <xf numFmtId="0" fontId="12" fillId="0" borderId="0" xfId="0" applyFont="1" applyAlignment="1">
      <alignment horizontal="center" vertical="center"/>
    </xf>
    <xf numFmtId="0" fontId="2" fillId="3" borderId="24" xfId="0" applyFont="1" applyFill="1" applyBorder="1" applyAlignment="1">
      <alignment horizontal="center" wrapText="1"/>
    </xf>
    <xf numFmtId="0" fontId="2" fillId="3" borderId="25" xfId="0" applyFont="1" applyFill="1" applyBorder="1" applyAlignment="1">
      <alignment horizontal="center" wrapText="1"/>
    </xf>
    <xf numFmtId="0" fontId="2" fillId="3" borderId="26" xfId="0" applyFont="1" applyFill="1" applyBorder="1" applyAlignment="1">
      <alignment horizontal="center" wrapText="1"/>
    </xf>
    <xf numFmtId="0" fontId="3" fillId="2" borderId="1" xfId="0" applyFont="1" applyFill="1"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6" fillId="6" borderId="27" xfId="0" applyFont="1" applyFill="1" applyBorder="1" applyAlignment="1">
      <alignment horizontal="center" vertical="center" wrapText="1" readingOrder="1"/>
    </xf>
    <xf numFmtId="0" fontId="17" fillId="0" borderId="32" xfId="0" applyFont="1" applyBorder="1" applyAlignment="1">
      <alignment vertical="center"/>
    </xf>
    <xf numFmtId="0" fontId="16" fillId="6" borderId="28" xfId="0" applyFont="1" applyFill="1" applyBorder="1" applyAlignment="1">
      <alignment horizontal="center" vertical="center" wrapText="1" readingOrder="1"/>
    </xf>
    <xf numFmtId="0" fontId="17" fillId="0" borderId="29" xfId="0" applyFont="1" applyBorder="1" applyAlignment="1">
      <alignment vertical="center" readingOrder="1"/>
    </xf>
    <xf numFmtId="0" fontId="17" fillId="0" borderId="30" xfId="0" applyFont="1" applyBorder="1" applyAlignment="1">
      <alignment vertical="center" readingOrder="1"/>
    </xf>
    <xf numFmtId="0" fontId="17" fillId="0" borderId="29" xfId="0" applyFont="1" applyBorder="1" applyAlignment="1">
      <alignment vertical="center"/>
    </xf>
    <xf numFmtId="0" fontId="16" fillId="6" borderId="31" xfId="0" applyFont="1" applyFill="1" applyBorder="1" applyAlignment="1">
      <alignment horizontal="center" vertical="center" wrapText="1" readingOrder="1"/>
    </xf>
    <xf numFmtId="0" fontId="17" fillId="0" borderId="39" xfId="0" applyFont="1" applyBorder="1" applyAlignment="1">
      <alignment vertical="center"/>
    </xf>
    <xf numFmtId="0" fontId="3" fillId="2" borderId="24" xfId="0" applyFont="1" applyFill="1" applyBorder="1" applyAlignment="1">
      <alignment horizontal="center" vertical="center" textRotation="90"/>
    </xf>
    <xf numFmtId="0" fontId="0" fillId="0" borderId="25" xfId="0"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3" fillId="2" borderId="0" xfId="0" applyFont="1" applyFill="1" applyBorder="1" applyAlignment="1">
      <alignment horizontal="center" vertical="center"/>
    </xf>
    <xf numFmtId="0" fontId="23" fillId="7" borderId="4" xfId="0" applyFont="1" applyFill="1" applyBorder="1" applyAlignment="1">
      <alignment horizontal="center" vertical="center"/>
    </xf>
    <xf numFmtId="0" fontId="23" fillId="7" borderId="8" xfId="0" applyFont="1" applyFill="1" applyBorder="1" applyAlignment="1">
      <alignment horizontal="center" vertical="center"/>
    </xf>
    <xf numFmtId="0" fontId="23" fillId="7" borderId="5" xfId="0" applyFont="1" applyFill="1" applyBorder="1" applyAlignment="1">
      <alignment horizontal="center" vertical="center" wrapText="1"/>
    </xf>
    <xf numFmtId="0" fontId="23" fillId="7" borderId="10" xfId="0" applyFont="1" applyFill="1" applyBorder="1" applyAlignment="1">
      <alignment horizontal="center" vertical="center" wrapText="1"/>
    </xf>
    <xf numFmtId="10" fontId="23" fillId="7" borderId="4" xfId="1" applyNumberFormat="1" applyFont="1" applyFill="1" applyBorder="1" applyAlignment="1">
      <alignment horizontal="center" vertical="center"/>
    </xf>
    <xf numFmtId="10" fontId="23" fillId="7" borderId="8" xfId="1" applyNumberFormat="1" applyFont="1" applyFill="1" applyBorder="1" applyAlignment="1">
      <alignment horizontal="center" vertical="center"/>
    </xf>
    <xf numFmtId="10" fontId="23" fillId="7" borderId="0" xfId="1" applyNumberFormat="1" applyFont="1" applyFill="1" applyAlignment="1">
      <alignment horizontal="center" vertical="center" wrapText="1"/>
    </xf>
    <xf numFmtId="10" fontId="23" fillId="7" borderId="9" xfId="1" applyNumberFormat="1" applyFont="1" applyFill="1" applyBorder="1" applyAlignment="1">
      <alignment horizontal="center" vertical="center" wrapText="1"/>
    </xf>
    <xf numFmtId="0" fontId="23" fillId="7" borderId="0" xfId="0" applyFont="1" applyFill="1" applyAlignment="1">
      <alignment horizontal="center" vertical="center" wrapText="1"/>
    </xf>
    <xf numFmtId="0" fontId="23" fillId="7" borderId="9" xfId="0" applyFont="1" applyFill="1" applyBorder="1" applyAlignment="1">
      <alignment horizontal="center" vertical="center" wrapText="1"/>
    </xf>
    <xf numFmtId="0" fontId="8" fillId="7" borderId="3" xfId="0" applyFont="1" applyFill="1" applyBorder="1" applyAlignment="1">
      <alignment vertical="center" wrapText="1"/>
    </xf>
    <xf numFmtId="0" fontId="8" fillId="7" borderId="5" xfId="0" applyFont="1" applyFill="1" applyBorder="1" applyAlignment="1">
      <alignment vertical="center" wrapText="1"/>
    </xf>
    <xf numFmtId="0" fontId="23" fillId="7" borderId="1"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56"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0" xfId="0" applyFont="1" applyFill="1" applyBorder="1" applyAlignment="1">
      <alignment horizontal="center" vertical="center" wrapText="1"/>
    </xf>
    <xf numFmtId="0" fontId="23" fillId="7" borderId="57" xfId="0" applyFont="1" applyFill="1" applyBorder="1" applyAlignment="1">
      <alignment horizontal="center" vertical="center" wrapText="1"/>
    </xf>
    <xf numFmtId="0" fontId="23" fillId="7" borderId="58" xfId="0" applyFont="1" applyFill="1" applyBorder="1" applyAlignment="1">
      <alignment horizontal="center" vertical="center" wrapText="1"/>
    </xf>
    <xf numFmtId="0" fontId="23" fillId="7" borderId="59" xfId="0" applyFont="1" applyFill="1" applyBorder="1" applyAlignment="1">
      <alignment horizontal="center" vertical="center" wrapText="1"/>
    </xf>
    <xf numFmtId="0" fontId="0" fillId="13" borderId="0" xfId="0" applyFill="1" applyAlignment="1">
      <alignment vertical="center"/>
    </xf>
    <xf numFmtId="0" fontId="3" fillId="13" borderId="54" xfId="0" applyFont="1" applyFill="1" applyBorder="1" applyAlignment="1">
      <alignment horizontal="center" vertical="center"/>
    </xf>
    <xf numFmtId="0" fontId="5" fillId="13" borderId="0" xfId="0" applyFont="1" applyFill="1" applyAlignment="1">
      <alignment vertical="center"/>
    </xf>
    <xf numFmtId="0" fontId="36" fillId="0" borderId="0" xfId="0" applyFont="1"/>
  </cellXfs>
  <cellStyles count="3">
    <cellStyle name="Hyperlink" xfId="2" builtinId="8"/>
    <cellStyle name="Normal" xfId="0" builtinId="0"/>
    <cellStyle name="Percent"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Speckled Hind</c:v>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Recommends'!$H$3:$H$27</c:f>
              <c:numCache>
                <c:formatCode>0.0%</c:formatCode>
                <c:ptCount val="25"/>
                <c:pt idx="0">
                  <c:v>7.375244404305926E-3</c:v>
                </c:pt>
                <c:pt idx="1">
                  <c:v>1.3833083750653401E-3</c:v>
                </c:pt>
                <c:pt idx="2">
                  <c:v>1.0713643031712045E-2</c:v>
                </c:pt>
                <c:pt idx="3">
                  <c:v>0</c:v>
                </c:pt>
                <c:pt idx="4">
                  <c:v>1.6917032615144462E-2</c:v>
                </c:pt>
                <c:pt idx="5">
                  <c:v>2.964646822264598E-2</c:v>
                </c:pt>
                <c:pt idx="6">
                  <c:v>9.8511084128178709E-3</c:v>
                </c:pt>
                <c:pt idx="7">
                  <c:v>1.4632249990999728E-2</c:v>
                </c:pt>
                <c:pt idx="8">
                  <c:v>2.1711207803920183E-3</c:v>
                </c:pt>
                <c:pt idx="9">
                  <c:v>0</c:v>
                </c:pt>
                <c:pt idx="10">
                  <c:v>2.3778391701593557E-2</c:v>
                </c:pt>
                <c:pt idx="11">
                  <c:v>1.5658991777844546E-2</c:v>
                </c:pt>
                <c:pt idx="12">
                  <c:v>1.0884256497758748E-2</c:v>
                </c:pt>
                <c:pt idx="13">
                  <c:v>2.4623359797757861E-2</c:v>
                </c:pt>
                <c:pt idx="14">
                  <c:v>1.857982415763211E-2</c:v>
                </c:pt>
                <c:pt idx="15">
                  <c:v>3.0695862095502815E-2</c:v>
                </c:pt>
                <c:pt idx="16">
                  <c:v>#N/A</c:v>
                </c:pt>
                <c:pt idx="17">
                  <c:v>3.1910452068070951E-2</c:v>
                </c:pt>
                <c:pt idx="18">
                  <c:v>7.5757611770023167E-3</c:v>
                </c:pt>
                <c:pt idx="19">
                  <c:v>3.0566865639211171E-3</c:v>
                </c:pt>
                <c:pt idx="20">
                  <c:v>6.5851433844833504E-3</c:v>
                </c:pt>
                <c:pt idx="21">
                  <c:v>0</c:v>
                </c:pt>
                <c:pt idx="22">
                  <c:v>2.7398028980772744E-3</c:v>
                </c:pt>
                <c:pt idx="23">
                  <c:v>1.9027105896028676E-3</c:v>
                </c:pt>
                <c:pt idx="24">
                  <c:v>0</c:v>
                </c:pt>
              </c:numCache>
            </c:numRef>
          </c:val>
        </c:ser>
        <c:ser>
          <c:idx val="1"/>
          <c:order val="1"/>
          <c:tx>
            <c:v>Warsaw Grouper</c:v>
          </c:tx>
          <c:invertIfNegative val="0"/>
          <c:val>
            <c:numRef>
              <c:f>'EWG Recommends'!$L$3:$L$27</c:f>
              <c:numCache>
                <c:formatCode>0.0%</c:formatCode>
                <c:ptCount val="25"/>
                <c:pt idx="0">
                  <c:v>7.5276630954452467E-3</c:v>
                </c:pt>
                <c:pt idx="1">
                  <c:v>1.4118961804872761E-3</c:v>
                </c:pt>
                <c:pt idx="2">
                  <c:v>1.0246417234873509E-2</c:v>
                </c:pt>
                <c:pt idx="3">
                  <c:v>0</c:v>
                </c:pt>
                <c:pt idx="4">
                  <c:v>1.726664434701549E-2</c:v>
                </c:pt>
                <c:pt idx="5">
                  <c:v>2.4488808689957196E-2</c:v>
                </c:pt>
                <c:pt idx="6">
                  <c:v>9.9407085792971878E-3</c:v>
                </c:pt>
                <c:pt idx="7">
                  <c:v>1.3562029794945335E-2</c:v>
                </c:pt>
                <c:pt idx="8">
                  <c:v>1.0345890642951376E-3</c:v>
                </c:pt>
                <c:pt idx="9">
                  <c:v>0</c:v>
                </c:pt>
                <c:pt idx="10">
                  <c:v>2.3210393296356588E-2</c:v>
                </c:pt>
                <c:pt idx="11">
                  <c:v>1.5982604515335251E-2</c:v>
                </c:pt>
                <c:pt idx="12">
                  <c:v>9.7696768478264407E-3</c:v>
                </c:pt>
                <c:pt idx="13">
                  <c:v>2.565485528054039E-2</c:v>
                </c:pt>
                <c:pt idx="14">
                  <c:v>1.880574040099885E-2</c:v>
                </c:pt>
                <c:pt idx="15">
                  <c:v>3.1290196221300748E-2</c:v>
                </c:pt>
                <c:pt idx="16">
                  <c:v>#N/A</c:v>
                </c:pt>
                <c:pt idx="17">
                  <c:v>3.2569921649179302E-2</c:v>
                </c:pt>
                <c:pt idx="18">
                  <c:v>7.0378290763373286E-3</c:v>
                </c:pt>
                <c:pt idx="19">
                  <c:v>3.1198568318818645E-3</c:v>
                </c:pt>
                <c:pt idx="20">
                  <c:v>6.1568585278571827E-3</c:v>
                </c:pt>
                <c:pt idx="21">
                  <c:v>5.7526496444790175E-5</c:v>
                </c:pt>
                <c:pt idx="22">
                  <c:v>3.031077875465448E-3</c:v>
                </c:pt>
                <c:pt idx="23">
                  <c:v>2.0488472345375798E-3</c:v>
                </c:pt>
                <c:pt idx="24">
                  <c:v>3.2653169433025819E-4</c:v>
                </c:pt>
              </c:numCache>
            </c:numRef>
          </c:val>
        </c:ser>
        <c:dLbls>
          <c:showLegendKey val="0"/>
          <c:showVal val="0"/>
          <c:showCatName val="0"/>
          <c:showSerName val="0"/>
          <c:showPercent val="0"/>
          <c:showBubbleSize val="0"/>
        </c:dLbls>
        <c:gapWidth val="150"/>
        <c:axId val="557428224"/>
        <c:axId val="551406400"/>
      </c:barChart>
      <c:catAx>
        <c:axId val="557428224"/>
        <c:scaling>
          <c:orientation val="minMax"/>
        </c:scaling>
        <c:delete val="0"/>
        <c:axPos val="l"/>
        <c:majorTickMark val="out"/>
        <c:minorTickMark val="none"/>
        <c:tickLblPos val="nextTo"/>
        <c:crossAx val="551406400"/>
        <c:crosses val="autoZero"/>
        <c:auto val="1"/>
        <c:lblAlgn val="ctr"/>
        <c:lblOffset val="100"/>
        <c:noMultiLvlLbl val="0"/>
      </c:catAx>
      <c:valAx>
        <c:axId val="551406400"/>
        <c:scaling>
          <c:orientation val="minMax"/>
        </c:scaling>
        <c:delete val="0"/>
        <c:axPos val="b"/>
        <c:majorGridlines/>
        <c:title>
          <c:tx>
            <c:rich>
              <a:bodyPr/>
              <a:lstStyle/>
              <a:p>
                <a:pPr>
                  <a:defRPr/>
                </a:pPr>
                <a:r>
                  <a:rPr lang="en-US"/>
                  <a:t>Known and Probable Habitat</a:t>
                </a:r>
              </a:p>
            </c:rich>
          </c:tx>
          <c:overlay val="0"/>
        </c:title>
        <c:numFmt formatCode="0.0%" sourceLinked="1"/>
        <c:majorTickMark val="out"/>
        <c:minorTickMark val="none"/>
        <c:tickLblPos val="nextTo"/>
        <c:crossAx val="557428224"/>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Speckled Hind</c:v>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Recommends'!$J$3:$J$27</c:f>
              <c:numCache>
                <c:formatCode>0.0%</c:formatCode>
                <c:ptCount val="25"/>
                <c:pt idx="0">
                  <c:v>3.5999999999999999E-3</c:v>
                </c:pt>
                <c:pt idx="1">
                  <c:v>5.0000000000000001E-4</c:v>
                </c:pt>
                <c:pt idx="2">
                  <c:v>1.4E-2</c:v>
                </c:pt>
                <c:pt idx="3">
                  <c:v>0</c:v>
                </c:pt>
                <c:pt idx="4">
                  <c:v>1.6799999999999999E-2</c:v>
                </c:pt>
                <c:pt idx="5">
                  <c:v>4.0300000000000002E-2</c:v>
                </c:pt>
                <c:pt idx="6">
                  <c:v>8.8000000000000005E-3</c:v>
                </c:pt>
                <c:pt idx="7">
                  <c:v>1.9900000000000001E-2</c:v>
                </c:pt>
                <c:pt idx="8">
                  <c:v>2.8E-3</c:v>
                </c:pt>
                <c:pt idx="9">
                  <c:v>0</c:v>
                </c:pt>
                <c:pt idx="10">
                  <c:v>3.4099999999999998E-2</c:v>
                </c:pt>
                <c:pt idx="11">
                  <c:v>3.3099999999999997E-2</c:v>
                </c:pt>
                <c:pt idx="12">
                  <c:v>1.4500000000000001E-2</c:v>
                </c:pt>
                <c:pt idx="13">
                  <c:v>1.1299999999999999E-2</c:v>
                </c:pt>
                <c:pt idx="14">
                  <c:v>9.5999999999999992E-3</c:v>
                </c:pt>
                <c:pt idx="15">
                  <c:v>7.953621000000001E-3</c:v>
                </c:pt>
                <c:pt idx="16">
                  <c:v>#N/A</c:v>
                </c:pt>
                <c:pt idx="17">
                  <c:v>2.8E-3</c:v>
                </c:pt>
                <c:pt idx="18">
                  <c:v>1.1999999999999999E-3</c:v>
                </c:pt>
                <c:pt idx="19">
                  <c:v>8.0000000000000004E-4</c:v>
                </c:pt>
                <c:pt idx="20">
                  <c:v>4.4999999999999997E-3</c:v>
                </c:pt>
                <c:pt idx="21">
                  <c:v>0</c:v>
                </c:pt>
                <c:pt idx="22">
                  <c:v>1E-4</c:v>
                </c:pt>
                <c:pt idx="23">
                  <c:v>4.0000000000000002E-4</c:v>
                </c:pt>
                <c:pt idx="24">
                  <c:v>0</c:v>
                </c:pt>
              </c:numCache>
            </c:numRef>
          </c:val>
        </c:ser>
        <c:ser>
          <c:idx val="1"/>
          <c:order val="1"/>
          <c:tx>
            <c:v>Warsaw Grouper</c:v>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Recommends'!$M$3:$M$27</c:f>
              <c:numCache>
                <c:formatCode>0.0%</c:formatCode>
                <c:ptCount val="25"/>
                <c:pt idx="0">
                  <c:v>4.6279841458284864E-3</c:v>
                </c:pt>
                <c:pt idx="1">
                  <c:v>5.3328961042034887E-4</c:v>
                </c:pt>
                <c:pt idx="2">
                  <c:v>2.6180577762546335E-3</c:v>
                </c:pt>
                <c:pt idx="3">
                  <c:v>0</c:v>
                </c:pt>
                <c:pt idx="4">
                  <c:v>3.4189332957627098E-3</c:v>
                </c:pt>
                <c:pt idx="5">
                  <c:v>9.3388820765534942E-3</c:v>
                </c:pt>
                <c:pt idx="6">
                  <c:v>2.595398859148387E-3</c:v>
                </c:pt>
                <c:pt idx="7">
                  <c:v>7.6183292914212292E-3</c:v>
                </c:pt>
                <c:pt idx="8">
                  <c:v>7.8199009565607593E-4</c:v>
                </c:pt>
                <c:pt idx="9">
                  <c:v>0</c:v>
                </c:pt>
                <c:pt idx="10">
                  <c:v>1.8741869765455901E-2</c:v>
                </c:pt>
                <c:pt idx="11">
                  <c:v>1.9524154971885456E-2</c:v>
                </c:pt>
                <c:pt idx="12">
                  <c:v>9.6200842217047527E-3</c:v>
                </c:pt>
                <c:pt idx="13">
                  <c:v>2.7987620096284454E-2</c:v>
                </c:pt>
                <c:pt idx="14">
                  <c:v>2.5583333035143086E-2</c:v>
                </c:pt>
                <c:pt idx="15">
                  <c:v>1.0747253702014323E-2</c:v>
                </c:pt>
                <c:pt idx="16">
                  <c:v>#N/A</c:v>
                </c:pt>
                <c:pt idx="17">
                  <c:v>0</c:v>
                </c:pt>
                <c:pt idx="18">
                  <c:v>5.5096031027057442E-3</c:v>
                </c:pt>
                <c:pt idx="19">
                  <c:v>2.159889493265608E-3</c:v>
                </c:pt>
                <c:pt idx="20">
                  <c:v>1.0458699993903453E-2</c:v>
                </c:pt>
                <c:pt idx="21">
                  <c:v>0</c:v>
                </c:pt>
                <c:pt idx="22">
                  <c:v>0</c:v>
                </c:pt>
                <c:pt idx="23">
                  <c:v>0</c:v>
                </c:pt>
                <c:pt idx="24">
                  <c:v>0</c:v>
                </c:pt>
              </c:numCache>
            </c:numRef>
          </c:val>
        </c:ser>
        <c:dLbls>
          <c:showLegendKey val="0"/>
          <c:showVal val="0"/>
          <c:showCatName val="0"/>
          <c:showSerName val="0"/>
          <c:showPercent val="0"/>
          <c:showBubbleSize val="0"/>
        </c:dLbls>
        <c:gapWidth val="150"/>
        <c:axId val="559534592"/>
        <c:axId val="551408128"/>
      </c:barChart>
      <c:catAx>
        <c:axId val="559534592"/>
        <c:scaling>
          <c:orientation val="minMax"/>
        </c:scaling>
        <c:delete val="0"/>
        <c:axPos val="l"/>
        <c:majorTickMark val="out"/>
        <c:minorTickMark val="none"/>
        <c:tickLblPos val="nextTo"/>
        <c:crossAx val="551408128"/>
        <c:crosses val="autoZero"/>
        <c:auto val="1"/>
        <c:lblAlgn val="ctr"/>
        <c:lblOffset val="100"/>
        <c:noMultiLvlLbl val="0"/>
      </c:catAx>
      <c:valAx>
        <c:axId val="551408128"/>
        <c:scaling>
          <c:orientation val="minMax"/>
        </c:scaling>
        <c:delete val="0"/>
        <c:axPos val="b"/>
        <c:majorGridlines/>
        <c:title>
          <c:tx>
            <c:rich>
              <a:bodyPr/>
              <a:lstStyle/>
              <a:p>
                <a:pPr>
                  <a:defRPr/>
                </a:pPr>
                <a:r>
                  <a:rPr lang="en-US"/>
                  <a:t>Stock</a:t>
                </a:r>
                <a:r>
                  <a:rPr lang="en-US" baseline="0"/>
                  <a:t> Protected</a:t>
                </a:r>
                <a:endParaRPr lang="en-US"/>
              </a:p>
            </c:rich>
          </c:tx>
          <c:overlay val="0"/>
        </c:title>
        <c:numFmt formatCode="0.0%" sourceLinked="1"/>
        <c:majorTickMark val="out"/>
        <c:minorTickMark val="none"/>
        <c:tickLblPos val="nextTo"/>
        <c:crossAx val="559534592"/>
        <c:crosses val="autoZero"/>
        <c:crossBetween val="between"/>
      </c:valAx>
    </c:plotArea>
    <c:legend>
      <c:legendPos val="tr"/>
      <c:overlay val="1"/>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'EWG Recommends'!$N$2</c:f>
              <c:strCache>
                <c:ptCount val="1"/>
                <c:pt idx="0">
                  <c:v>Red Porgy</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Recommends'!$N$3:$N$27</c:f>
              <c:numCache>
                <c:formatCode>0.0%</c:formatCode>
                <c:ptCount val="25"/>
                <c:pt idx="0">
                  <c:v>0</c:v>
                </c:pt>
                <c:pt idx="1">
                  <c:v>0</c:v>
                </c:pt>
                <c:pt idx="2">
                  <c:v>6.0003428461820572E-3</c:v>
                </c:pt>
                <c:pt idx="3">
                  <c:v>0</c:v>
                </c:pt>
                <c:pt idx="4">
                  <c:v>2.8782714398642841E-4</c:v>
                </c:pt>
                <c:pt idx="5">
                  <c:v>3.912479555523804E-3</c:v>
                </c:pt>
                <c:pt idx="6">
                  <c:v>1.4460085115993659E-3</c:v>
                </c:pt>
                <c:pt idx="7">
                  <c:v>0</c:v>
                </c:pt>
                <c:pt idx="8">
                  <c:v>2.3280976243524306E-4</c:v>
                </c:pt>
                <c:pt idx="9">
                  <c:v>0</c:v>
                </c:pt>
                <c:pt idx="10">
                  <c:v>4.2034387880113124E-5</c:v>
                </c:pt>
                <c:pt idx="11">
                  <c:v>2.1100738662613698E-10</c:v>
                </c:pt>
                <c:pt idx="12">
                  <c:v>0</c:v>
                </c:pt>
                <c:pt idx="13">
                  <c:v>0</c:v>
                </c:pt>
                <c:pt idx="14">
                  <c:v>0</c:v>
                </c:pt>
                <c:pt idx="15">
                  <c:v>0</c:v>
                </c:pt>
                <c:pt idx="16">
                  <c:v>5.4769576844117457E-6</c:v>
                </c:pt>
                <c:pt idx="17">
                  <c:v>0</c:v>
                </c:pt>
                <c:pt idx="18">
                  <c:v>0</c:v>
                </c:pt>
                <c:pt idx="19">
                  <c:v>0</c:v>
                </c:pt>
                <c:pt idx="20">
                  <c:v>0</c:v>
                </c:pt>
                <c:pt idx="21">
                  <c:v>0</c:v>
                </c:pt>
                <c:pt idx="22">
                  <c:v>0</c:v>
                </c:pt>
                <c:pt idx="23">
                  <c:v>0</c:v>
                </c:pt>
                <c:pt idx="24">
                  <c:v>0</c:v>
                </c:pt>
              </c:numCache>
            </c:numRef>
          </c:val>
        </c:ser>
        <c:ser>
          <c:idx val="1"/>
          <c:order val="1"/>
          <c:tx>
            <c:strRef>
              <c:f>'EWG Recommends'!$O$2</c:f>
              <c:strCache>
                <c:ptCount val="1"/>
                <c:pt idx="0">
                  <c:v>Vermilion</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Recommends'!$O$3:$O$27</c:f>
              <c:numCache>
                <c:formatCode>0.0%</c:formatCode>
                <c:ptCount val="25"/>
                <c:pt idx="0">
                  <c:v>0</c:v>
                </c:pt>
                <c:pt idx="1">
                  <c:v>6.1899999999999987E-4</c:v>
                </c:pt>
                <c:pt idx="2">
                  <c:v>4.2114933726788897E-3</c:v>
                </c:pt>
                <c:pt idx="3">
                  <c:v>0</c:v>
                </c:pt>
                <c:pt idx="4">
                  <c:v>2.8118281770888345E-4</c:v>
                </c:pt>
                <c:pt idx="5">
                  <c:v>6.9218917184550263E-4</c:v>
                </c:pt>
                <c:pt idx="6">
                  <c:v>1.3891281767862457E-3</c:v>
                </c:pt>
                <c:pt idx="7">
                  <c:v>0</c:v>
                </c:pt>
                <c:pt idx="8">
                  <c:v>3.0283332655701951E-4</c:v>
                </c:pt>
                <c:pt idx="9">
                  <c:v>0</c:v>
                </c:pt>
                <c:pt idx="10">
                  <c:v>6.746093381150537E-5</c:v>
                </c:pt>
                <c:pt idx="11">
                  <c:v>4.1143121432379953E-6</c:v>
                </c:pt>
                <c:pt idx="12">
                  <c:v>0</c:v>
                </c:pt>
                <c:pt idx="13">
                  <c:v>7.3218195163591085E-4</c:v>
                </c:pt>
                <c:pt idx="14">
                  <c:v>0</c:v>
                </c:pt>
                <c:pt idx="15">
                  <c:v>0</c:v>
                </c:pt>
                <c:pt idx="16">
                  <c:v>2.6231064549352433E-4</c:v>
                </c:pt>
                <c:pt idx="17">
                  <c:v>0</c:v>
                </c:pt>
                <c:pt idx="18">
                  <c:v>4.6713805398627935E-5</c:v>
                </c:pt>
                <c:pt idx="19">
                  <c:v>3.5654224910055025E-5</c:v>
                </c:pt>
                <c:pt idx="20">
                  <c:v>0</c:v>
                </c:pt>
                <c:pt idx="21">
                  <c:v>1.3310567449033118E-5</c:v>
                </c:pt>
                <c:pt idx="22">
                  <c:v>0</c:v>
                </c:pt>
                <c:pt idx="23">
                  <c:v>0</c:v>
                </c:pt>
                <c:pt idx="24">
                  <c:v>0</c:v>
                </c:pt>
              </c:numCache>
            </c:numRef>
          </c:val>
        </c:ser>
        <c:ser>
          <c:idx val="2"/>
          <c:order val="2"/>
          <c:tx>
            <c:strRef>
              <c:f>'EWG Recommends'!$P$2</c:f>
              <c:strCache>
                <c:ptCount val="1"/>
                <c:pt idx="0">
                  <c:v>Scamp</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Recommends'!$P$3:$P$27</c:f>
              <c:numCache>
                <c:formatCode>0.0%</c:formatCode>
                <c:ptCount val="25"/>
                <c:pt idx="0">
                  <c:v>0</c:v>
                </c:pt>
                <c:pt idx="1">
                  <c:v>1.12E-4</c:v>
                </c:pt>
                <c:pt idx="2">
                  <c:v>1.9834449888090897E-3</c:v>
                </c:pt>
                <c:pt idx="3">
                  <c:v>0</c:v>
                </c:pt>
                <c:pt idx="4">
                  <c:v>1.8269016771778801E-4</c:v>
                </c:pt>
                <c:pt idx="5">
                  <c:v>4.9385844238086733E-3</c:v>
                </c:pt>
                <c:pt idx="6">
                  <c:v>1.0767903382807826E-2</c:v>
                </c:pt>
                <c:pt idx="7">
                  <c:v>0</c:v>
                </c:pt>
                <c:pt idx="8">
                  <c:v>3.1112647531112895E-4</c:v>
                </c:pt>
                <c:pt idx="9">
                  <c:v>0</c:v>
                </c:pt>
                <c:pt idx="10">
                  <c:v>1.2206605967899155E-4</c:v>
                </c:pt>
                <c:pt idx="11">
                  <c:v>7.9280226931150239E-6</c:v>
                </c:pt>
                <c:pt idx="12">
                  <c:v>0</c:v>
                </c:pt>
                <c:pt idx="13">
                  <c:v>1.7661257467511862E-4</c:v>
                </c:pt>
                <c:pt idx="14">
                  <c:v>0</c:v>
                </c:pt>
                <c:pt idx="15">
                  <c:v>0</c:v>
                </c:pt>
                <c:pt idx="16">
                  <c:v>1.235380506894213E-4</c:v>
                </c:pt>
                <c:pt idx="17">
                  <c:v>0</c:v>
                </c:pt>
                <c:pt idx="18">
                  <c:v>0</c:v>
                </c:pt>
                <c:pt idx="19">
                  <c:v>8.2702146939506622E-6</c:v>
                </c:pt>
                <c:pt idx="20">
                  <c:v>0</c:v>
                </c:pt>
                <c:pt idx="21">
                  <c:v>0</c:v>
                </c:pt>
                <c:pt idx="22">
                  <c:v>0</c:v>
                </c:pt>
                <c:pt idx="23">
                  <c:v>0</c:v>
                </c:pt>
                <c:pt idx="24">
                  <c:v>0</c:v>
                </c:pt>
              </c:numCache>
            </c:numRef>
          </c:val>
        </c:ser>
        <c:ser>
          <c:idx val="3"/>
          <c:order val="3"/>
          <c:tx>
            <c:strRef>
              <c:f>'EWG Recommends'!$Q$2</c:f>
              <c:strCache>
                <c:ptCount val="1"/>
                <c:pt idx="0">
                  <c:v>Amberjack</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Recommends'!$Q$3:$Q$27</c:f>
              <c:numCache>
                <c:formatCode>0.0%</c:formatCode>
                <c:ptCount val="25"/>
                <c:pt idx="0">
                  <c:v>0</c:v>
                </c:pt>
                <c:pt idx="1">
                  <c:v>0</c:v>
                </c:pt>
                <c:pt idx="2">
                  <c:v>1.1947108725105986E-3</c:v>
                </c:pt>
                <c:pt idx="3">
                  <c:v>0</c:v>
                </c:pt>
                <c:pt idx="4">
                  <c:v>2.2082022068914268E-4</c:v>
                </c:pt>
                <c:pt idx="5">
                  <c:v>2.1954833266963946E-3</c:v>
                </c:pt>
                <c:pt idx="6">
                  <c:v>1.1676068728516044E-3</c:v>
                </c:pt>
                <c:pt idx="7">
                  <c:v>0</c:v>
                </c:pt>
                <c:pt idx="8">
                  <c:v>5.9995142615029587E-4</c:v>
                </c:pt>
                <c:pt idx="9">
                  <c:v>0</c:v>
                </c:pt>
                <c:pt idx="10">
                  <c:v>3.4312017831983346E-5</c:v>
                </c:pt>
                <c:pt idx="11">
                  <c:v>2.4915656461385876E-5</c:v>
                </c:pt>
                <c:pt idx="12">
                  <c:v>0</c:v>
                </c:pt>
                <c:pt idx="13">
                  <c:v>2.2493477779657869E-3</c:v>
                </c:pt>
                <c:pt idx="14">
                  <c:v>0</c:v>
                </c:pt>
                <c:pt idx="15">
                  <c:v>0</c:v>
                </c:pt>
                <c:pt idx="16">
                  <c:v>4.0900834297394253E-4</c:v>
                </c:pt>
                <c:pt idx="17">
                  <c:v>0</c:v>
                </c:pt>
                <c:pt idx="18">
                  <c:v>0</c:v>
                </c:pt>
                <c:pt idx="19">
                  <c:v>8.3167286823959439E-5</c:v>
                </c:pt>
                <c:pt idx="20">
                  <c:v>0</c:v>
                </c:pt>
                <c:pt idx="21">
                  <c:v>0</c:v>
                </c:pt>
                <c:pt idx="22">
                  <c:v>0</c:v>
                </c:pt>
                <c:pt idx="23">
                  <c:v>0</c:v>
                </c:pt>
                <c:pt idx="24">
                  <c:v>0</c:v>
                </c:pt>
              </c:numCache>
            </c:numRef>
          </c:val>
        </c:ser>
        <c:ser>
          <c:idx val="4"/>
          <c:order val="4"/>
          <c:tx>
            <c:strRef>
              <c:f>'EWG Recommends'!$R$2</c:f>
              <c:strCache>
                <c:ptCount val="1"/>
                <c:pt idx="0">
                  <c:v>Blueline</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Recommends'!$R$3:$R$27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er>
        <c:ser>
          <c:idx val="5"/>
          <c:order val="5"/>
          <c:tx>
            <c:strRef>
              <c:f>'EWG Recommends'!$S$2</c:f>
              <c:strCache>
                <c:ptCount val="1"/>
                <c:pt idx="0">
                  <c:v>Gag</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Recommends'!$S$3:$S$27</c:f>
              <c:numCache>
                <c:formatCode>0.0%</c:formatCode>
                <c:ptCount val="25"/>
                <c:pt idx="0">
                  <c:v>0</c:v>
                </c:pt>
                <c:pt idx="1">
                  <c:v>4.3100000000000001E-4</c:v>
                </c:pt>
                <c:pt idx="2">
                  <c:v>2.7847245607540319E-3</c:v>
                </c:pt>
                <c:pt idx="3">
                  <c:v>0</c:v>
                </c:pt>
                <c:pt idx="4">
                  <c:v>0</c:v>
                </c:pt>
                <c:pt idx="5">
                  <c:v>2.5178191523184189E-3</c:v>
                </c:pt>
                <c:pt idx="6">
                  <c:v>3.048497944287991E-3</c:v>
                </c:pt>
                <c:pt idx="7">
                  <c:v>0</c:v>
                </c:pt>
                <c:pt idx="8">
                  <c:v>4.5758383208903531E-5</c:v>
                </c:pt>
                <c:pt idx="9">
                  <c:v>0</c:v>
                </c:pt>
                <c:pt idx="10">
                  <c:v>2.5299585746080823E-5</c:v>
                </c:pt>
                <c:pt idx="11">
                  <c:v>5.985399549562686E-6</c:v>
                </c:pt>
                <c:pt idx="12">
                  <c:v>0</c:v>
                </c:pt>
                <c:pt idx="13">
                  <c:v>7.3150391660328393E-4</c:v>
                </c:pt>
                <c:pt idx="14">
                  <c:v>0</c:v>
                </c:pt>
                <c:pt idx="15">
                  <c:v>0</c:v>
                </c:pt>
                <c:pt idx="16">
                  <c:v>3.0390734690183084E-4</c:v>
                </c:pt>
                <c:pt idx="17">
                  <c:v>0</c:v>
                </c:pt>
                <c:pt idx="18">
                  <c:v>4.5244565472050367E-6</c:v>
                </c:pt>
                <c:pt idx="19">
                  <c:v>4.7442546399185863E-5</c:v>
                </c:pt>
                <c:pt idx="20">
                  <c:v>0</c:v>
                </c:pt>
                <c:pt idx="21">
                  <c:v>6.9557295956318502E-6</c:v>
                </c:pt>
                <c:pt idx="22">
                  <c:v>0</c:v>
                </c:pt>
                <c:pt idx="23">
                  <c:v>0</c:v>
                </c:pt>
                <c:pt idx="24">
                  <c:v>0</c:v>
                </c:pt>
              </c:numCache>
            </c:numRef>
          </c:val>
        </c:ser>
        <c:ser>
          <c:idx val="6"/>
          <c:order val="6"/>
          <c:tx>
            <c:strRef>
              <c:f>'EWG Recommends'!$T$2</c:f>
              <c:strCache>
                <c:ptCount val="1"/>
                <c:pt idx="0">
                  <c:v>Red Gpr</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Recommends'!$T$3:$T$27</c:f>
              <c:numCache>
                <c:formatCode>0.0%</c:formatCode>
                <c:ptCount val="25"/>
                <c:pt idx="0">
                  <c:v>0</c:v>
                </c:pt>
                <c:pt idx="1">
                  <c:v>0</c:v>
                </c:pt>
                <c:pt idx="2">
                  <c:v>7.0500029372698178E-3</c:v>
                </c:pt>
                <c:pt idx="3">
                  <c:v>0</c:v>
                </c:pt>
                <c:pt idx="4">
                  <c:v>0</c:v>
                </c:pt>
                <c:pt idx="5">
                  <c:v>1.1611798991394051E-4</c:v>
                </c:pt>
                <c:pt idx="6">
                  <c:v>3.5736210353053209E-4</c:v>
                </c:pt>
                <c:pt idx="7">
                  <c:v>0</c:v>
                </c:pt>
                <c:pt idx="8">
                  <c:v>0</c:v>
                </c:pt>
                <c:pt idx="9">
                  <c:v>0</c:v>
                </c:pt>
                <c:pt idx="10">
                  <c:v>0</c:v>
                </c:pt>
                <c:pt idx="11">
                  <c:v>0</c:v>
                </c:pt>
                <c:pt idx="12">
                  <c:v>0</c:v>
                </c:pt>
                <c:pt idx="13">
                  <c:v>4.1392705506087618E-5</c:v>
                </c:pt>
                <c:pt idx="14">
                  <c:v>0</c:v>
                </c:pt>
                <c:pt idx="15">
                  <c:v>0</c:v>
                </c:pt>
                <c:pt idx="16">
                  <c:v>0</c:v>
                </c:pt>
                <c:pt idx="17">
                  <c:v>0</c:v>
                </c:pt>
                <c:pt idx="18">
                  <c:v>0</c:v>
                </c:pt>
                <c:pt idx="19">
                  <c:v>0</c:v>
                </c:pt>
                <c:pt idx="20">
                  <c:v>0</c:v>
                </c:pt>
                <c:pt idx="21">
                  <c:v>0</c:v>
                </c:pt>
                <c:pt idx="22">
                  <c:v>0</c:v>
                </c:pt>
                <c:pt idx="23">
                  <c:v>0</c:v>
                </c:pt>
                <c:pt idx="24">
                  <c:v>0</c:v>
                </c:pt>
              </c:numCache>
            </c:numRef>
          </c:val>
        </c:ser>
        <c:dLbls>
          <c:showLegendKey val="0"/>
          <c:showVal val="0"/>
          <c:showCatName val="0"/>
          <c:showSerName val="0"/>
          <c:showPercent val="0"/>
          <c:showBubbleSize val="0"/>
        </c:dLbls>
        <c:gapWidth val="150"/>
        <c:overlap val="100"/>
        <c:axId val="559536128"/>
        <c:axId val="551409856"/>
      </c:barChart>
      <c:catAx>
        <c:axId val="559536128"/>
        <c:scaling>
          <c:orientation val="minMax"/>
        </c:scaling>
        <c:delete val="0"/>
        <c:axPos val="l"/>
        <c:majorTickMark val="out"/>
        <c:minorTickMark val="none"/>
        <c:tickLblPos val="nextTo"/>
        <c:crossAx val="551409856"/>
        <c:crosses val="autoZero"/>
        <c:auto val="1"/>
        <c:lblAlgn val="ctr"/>
        <c:lblOffset val="100"/>
        <c:noMultiLvlLbl val="0"/>
      </c:catAx>
      <c:valAx>
        <c:axId val="551409856"/>
        <c:scaling>
          <c:orientation val="minMax"/>
        </c:scaling>
        <c:delete val="0"/>
        <c:axPos val="b"/>
        <c:majorGridlines/>
        <c:title>
          <c:tx>
            <c:rich>
              <a:bodyPr/>
              <a:lstStyle/>
              <a:p>
                <a:pPr>
                  <a:defRPr/>
                </a:pPr>
                <a:r>
                  <a:rPr lang="en-US"/>
                  <a:t>Reduced Harvest (Headboat)</a:t>
                </a:r>
              </a:p>
            </c:rich>
          </c:tx>
          <c:overlay val="0"/>
        </c:title>
        <c:numFmt formatCode="0.0%" sourceLinked="1"/>
        <c:majorTickMark val="out"/>
        <c:minorTickMark val="none"/>
        <c:tickLblPos val="nextTo"/>
        <c:crossAx val="559536128"/>
        <c:crosses val="autoZero"/>
        <c:crossBetween val="between"/>
      </c:valAx>
    </c:plotArea>
    <c:legend>
      <c:legendPos val="r"/>
      <c:overlay val="0"/>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'EWG Recommends'!$U$2</c:f>
              <c:strCache>
                <c:ptCount val="1"/>
                <c:pt idx="0">
                  <c:v>Red Porgy</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Recommends'!$U$3:$U$27</c:f>
              <c:numCache>
                <c:formatCode>0.0%</c:formatCode>
                <c:ptCount val="25"/>
                <c:pt idx="0">
                  <c:v>8.3141979940185715E-5</c:v>
                </c:pt>
                <c:pt idx="1">
                  <c:v>2.1799478263706472E-4</c:v>
                </c:pt>
                <c:pt idx="2">
                  <c:v>3.5323352944959343E-4</c:v>
                </c:pt>
                <c:pt idx="3">
                  <c:v>0</c:v>
                </c:pt>
                <c:pt idx="4">
                  <c:v>4.4279639579741245E-3</c:v>
                </c:pt>
                <c:pt idx="5">
                  <c:v>5.362074199240785E-3</c:v>
                </c:pt>
                <c:pt idx="6">
                  <c:v>6.8593347283572E-3</c:v>
                </c:pt>
                <c:pt idx="7">
                  <c:v>0</c:v>
                </c:pt>
                <c:pt idx="8">
                  <c:v>1.901653238681729E-3</c:v>
                </c:pt>
                <c:pt idx="9">
                  <c:v>0</c:v>
                </c:pt>
                <c:pt idx="10">
                  <c:v>2.4889716890145529E-3</c:v>
                </c:pt>
                <c:pt idx="11">
                  <c:v>1.3826704872066636E-3</c:v>
                </c:pt>
                <c:pt idx="12">
                  <c:v>3.1042726884657904E-3</c:v>
                </c:pt>
                <c:pt idx="13">
                  <c:v>2.2151030190055163E-3</c:v>
                </c:pt>
                <c:pt idx="14">
                  <c:v>0</c:v>
                </c:pt>
                <c:pt idx="15">
                  <c:v>0</c:v>
                </c:pt>
                <c:pt idx="16">
                  <c:v>3.8460945477362906E-5</c:v>
                </c:pt>
                <c:pt idx="17">
                  <c:v>0</c:v>
                </c:pt>
                <c:pt idx="18">
                  <c:v>5.5979299856661627E-7</c:v>
                </c:pt>
                <c:pt idx="19">
                  <c:v>1.8487999222885877E-7</c:v>
                </c:pt>
                <c:pt idx="20">
                  <c:v>7.9450256701903631E-4</c:v>
                </c:pt>
                <c:pt idx="21">
                  <c:v>3.4495884532313292E-8</c:v>
                </c:pt>
                <c:pt idx="22">
                  <c:v>3.2394998057067057E-8</c:v>
                </c:pt>
                <c:pt idx="23">
                  <c:v>0</c:v>
                </c:pt>
                <c:pt idx="24">
                  <c:v>0</c:v>
                </c:pt>
              </c:numCache>
            </c:numRef>
          </c:val>
        </c:ser>
        <c:ser>
          <c:idx val="1"/>
          <c:order val="1"/>
          <c:tx>
            <c:strRef>
              <c:f>'EWG Recommends'!$V$2</c:f>
              <c:strCache>
                <c:ptCount val="1"/>
                <c:pt idx="0">
                  <c:v>Vermilion</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Recommends'!$V$3:$V$27</c:f>
              <c:numCache>
                <c:formatCode>0.0%</c:formatCode>
                <c:ptCount val="25"/>
                <c:pt idx="0">
                  <c:v>9.8586787394160718E-5</c:v>
                </c:pt>
                <c:pt idx="1">
                  <c:v>2.1680439160428979E-4</c:v>
                </c:pt>
                <c:pt idx="2">
                  <c:v>8.9638076359388496E-5</c:v>
                </c:pt>
                <c:pt idx="3">
                  <c:v>0</c:v>
                </c:pt>
                <c:pt idx="4">
                  <c:v>2.7954784980329175E-3</c:v>
                </c:pt>
                <c:pt idx="5">
                  <c:v>5.8044364608171731E-3</c:v>
                </c:pt>
                <c:pt idx="6">
                  <c:v>7.7636209168669163E-3</c:v>
                </c:pt>
                <c:pt idx="7">
                  <c:v>0</c:v>
                </c:pt>
                <c:pt idx="8">
                  <c:v>1.3401738322140712E-3</c:v>
                </c:pt>
                <c:pt idx="9">
                  <c:v>0</c:v>
                </c:pt>
                <c:pt idx="10">
                  <c:v>2.8456527823219539E-3</c:v>
                </c:pt>
                <c:pt idx="11">
                  <c:v>8.510061856489197E-4</c:v>
                </c:pt>
                <c:pt idx="12">
                  <c:v>5.216509879874597E-3</c:v>
                </c:pt>
                <c:pt idx="13">
                  <c:v>2.7355718376715151E-3</c:v>
                </c:pt>
                <c:pt idx="14">
                  <c:v>0</c:v>
                </c:pt>
                <c:pt idx="15">
                  <c:v>0</c:v>
                </c:pt>
                <c:pt idx="16">
                  <c:v>4.0209554403330042E-5</c:v>
                </c:pt>
                <c:pt idx="17">
                  <c:v>0</c:v>
                </c:pt>
                <c:pt idx="18">
                  <c:v>4.4617969372386121E-7</c:v>
                </c:pt>
                <c:pt idx="19">
                  <c:v>1.6870742079365538E-7</c:v>
                </c:pt>
                <c:pt idx="20">
                  <c:v>9.3103700762460159E-4</c:v>
                </c:pt>
                <c:pt idx="21">
                  <c:v>3.706444674252506E-8</c:v>
                </c:pt>
                <c:pt idx="22">
                  <c:v>1.60795369688128E-6</c:v>
                </c:pt>
                <c:pt idx="23">
                  <c:v>0</c:v>
                </c:pt>
                <c:pt idx="24">
                  <c:v>9.2213403270302123E-8</c:v>
                </c:pt>
              </c:numCache>
            </c:numRef>
          </c:val>
        </c:ser>
        <c:ser>
          <c:idx val="2"/>
          <c:order val="2"/>
          <c:tx>
            <c:strRef>
              <c:f>'EWG Recommends'!$W$2</c:f>
              <c:strCache>
                <c:ptCount val="1"/>
                <c:pt idx="0">
                  <c:v>Scamp</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Recommends'!$W$3:$W$27</c:f>
              <c:numCache>
                <c:formatCode>0.0%</c:formatCode>
                <c:ptCount val="25"/>
                <c:pt idx="0">
                  <c:v>1.7576162805018794E-5</c:v>
                </c:pt>
                <c:pt idx="1">
                  <c:v>3.0785593420321824E-5</c:v>
                </c:pt>
                <c:pt idx="2">
                  <c:v>1.1141242827834658E-4</c:v>
                </c:pt>
                <c:pt idx="3">
                  <c:v>0</c:v>
                </c:pt>
                <c:pt idx="4">
                  <c:v>7.0271363160634972E-3</c:v>
                </c:pt>
                <c:pt idx="5">
                  <c:v>8.899946817006418E-3</c:v>
                </c:pt>
                <c:pt idx="6">
                  <c:v>8.3508727014654435E-3</c:v>
                </c:pt>
                <c:pt idx="7">
                  <c:v>0</c:v>
                </c:pt>
                <c:pt idx="8">
                  <c:v>2.8277906005956923E-3</c:v>
                </c:pt>
                <c:pt idx="9">
                  <c:v>0</c:v>
                </c:pt>
                <c:pt idx="10">
                  <c:v>3.3611843934125579E-3</c:v>
                </c:pt>
                <c:pt idx="11">
                  <c:v>1.9024091333003331E-3</c:v>
                </c:pt>
                <c:pt idx="12">
                  <c:v>4.8662513677134112E-3</c:v>
                </c:pt>
                <c:pt idx="13">
                  <c:v>1.2758749019533507E-3</c:v>
                </c:pt>
                <c:pt idx="14">
                  <c:v>0</c:v>
                </c:pt>
                <c:pt idx="15">
                  <c:v>0</c:v>
                </c:pt>
                <c:pt idx="16">
                  <c:v>1.4800453878964085E-3</c:v>
                </c:pt>
                <c:pt idx="17">
                  <c:v>0</c:v>
                </c:pt>
                <c:pt idx="18">
                  <c:v>3.1909988467566142E-5</c:v>
                </c:pt>
                <c:pt idx="19">
                  <c:v>1.7469789130747369E-5</c:v>
                </c:pt>
                <c:pt idx="20">
                  <c:v>4.7230828212106729E-4</c:v>
                </c:pt>
                <c:pt idx="21">
                  <c:v>0</c:v>
                </c:pt>
                <c:pt idx="22">
                  <c:v>0</c:v>
                </c:pt>
                <c:pt idx="23">
                  <c:v>0</c:v>
                </c:pt>
                <c:pt idx="24">
                  <c:v>4.9686875520921599E-7</c:v>
                </c:pt>
              </c:numCache>
            </c:numRef>
          </c:val>
        </c:ser>
        <c:ser>
          <c:idx val="3"/>
          <c:order val="3"/>
          <c:tx>
            <c:strRef>
              <c:f>'EWG Recommends'!$X$2</c:f>
              <c:strCache>
                <c:ptCount val="1"/>
                <c:pt idx="0">
                  <c:v>Amberjack</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Recommends'!$X$3:$X$27</c:f>
              <c:numCache>
                <c:formatCode>0.0%</c:formatCode>
                <c:ptCount val="25"/>
                <c:pt idx="0">
                  <c:v>9.4127446857543429E-6</c:v>
                </c:pt>
                <c:pt idx="1">
                  <c:v>8.2085645010181582E-6</c:v>
                </c:pt>
                <c:pt idx="2">
                  <c:v>3.4766004441866389E-5</c:v>
                </c:pt>
                <c:pt idx="3">
                  <c:v>0</c:v>
                </c:pt>
                <c:pt idx="4">
                  <c:v>8.713238226915243E-4</c:v>
                </c:pt>
                <c:pt idx="5">
                  <c:v>3.3374701773531473E-3</c:v>
                </c:pt>
                <c:pt idx="6">
                  <c:v>1.5914410300340389E-3</c:v>
                </c:pt>
                <c:pt idx="7">
                  <c:v>0</c:v>
                </c:pt>
                <c:pt idx="8">
                  <c:v>6.4902106030272392E-4</c:v>
                </c:pt>
                <c:pt idx="9">
                  <c:v>0</c:v>
                </c:pt>
                <c:pt idx="10">
                  <c:v>1.0042906715771343E-3</c:v>
                </c:pt>
                <c:pt idx="11">
                  <c:v>2.2064170591540731E-4</c:v>
                </c:pt>
                <c:pt idx="12">
                  <c:v>1.9402673358207983E-3</c:v>
                </c:pt>
                <c:pt idx="13">
                  <c:v>1.2109959800641989E-3</c:v>
                </c:pt>
                <c:pt idx="14">
                  <c:v>0</c:v>
                </c:pt>
                <c:pt idx="15">
                  <c:v>0</c:v>
                </c:pt>
                <c:pt idx="16">
                  <c:v>3.5627937339580543E-2</c:v>
                </c:pt>
                <c:pt idx="17">
                  <c:v>0</c:v>
                </c:pt>
                <c:pt idx="18">
                  <c:v>1.0895369221981537E-3</c:v>
                </c:pt>
                <c:pt idx="19">
                  <c:v>4.8474732723400297E-4</c:v>
                </c:pt>
                <c:pt idx="20">
                  <c:v>7.3732352747529328E-4</c:v>
                </c:pt>
                <c:pt idx="21">
                  <c:v>1.5913324069575471E-5</c:v>
                </c:pt>
                <c:pt idx="22">
                  <c:v>1.9505534222340942E-5</c:v>
                </c:pt>
                <c:pt idx="23">
                  <c:v>0</c:v>
                </c:pt>
                <c:pt idx="24">
                  <c:v>6.1005634289325682E-7</c:v>
                </c:pt>
              </c:numCache>
            </c:numRef>
          </c:val>
        </c:ser>
        <c:ser>
          <c:idx val="4"/>
          <c:order val="4"/>
          <c:tx>
            <c:strRef>
              <c:f>'EWG Recommends'!$Y$2</c:f>
              <c:strCache>
                <c:ptCount val="1"/>
                <c:pt idx="0">
                  <c:v>Blueline</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Recommends'!$Y$3:$Y$27</c:f>
              <c:numCache>
                <c:formatCode>0.0%</c:formatCode>
                <c:ptCount val="25"/>
                <c:pt idx="0">
                  <c:v>6.0624276822017621E-5</c:v>
                </c:pt>
                <c:pt idx="1">
                  <c:v>1.0149573959700067E-5</c:v>
                </c:pt>
                <c:pt idx="2">
                  <c:v>9.2332711798483771E-5</c:v>
                </c:pt>
                <c:pt idx="3">
                  <c:v>0</c:v>
                </c:pt>
                <c:pt idx="4">
                  <c:v>2.2847939643964072E-3</c:v>
                </c:pt>
                <c:pt idx="5">
                  <c:v>2.2775250370560404E-3</c:v>
                </c:pt>
                <c:pt idx="6">
                  <c:v>3.983515909391969E-4</c:v>
                </c:pt>
                <c:pt idx="7">
                  <c:v>0</c:v>
                </c:pt>
                <c:pt idx="8">
                  <c:v>5.3846459872641372E-4</c:v>
                </c:pt>
                <c:pt idx="9">
                  <c:v>0</c:v>
                </c:pt>
                <c:pt idx="10">
                  <c:v>9.7763465264833578E-4</c:v>
                </c:pt>
                <c:pt idx="11">
                  <c:v>1.9978784922113096E-4</c:v>
                </c:pt>
                <c:pt idx="12">
                  <c:v>2.1219194429062363E-3</c:v>
                </c:pt>
                <c:pt idx="13">
                  <c:v>1.368056485100469E-3</c:v>
                </c:pt>
                <c:pt idx="14">
                  <c:v>0</c:v>
                </c:pt>
                <c:pt idx="15">
                  <c:v>0</c:v>
                </c:pt>
                <c:pt idx="16">
                  <c:v>4.1379126153085216E-5</c:v>
                </c:pt>
                <c:pt idx="17">
                  <c:v>0</c:v>
                </c:pt>
                <c:pt idx="18">
                  <c:v>3.3879325919507012E-5</c:v>
                </c:pt>
                <c:pt idx="19">
                  <c:v>1.3341853808987373E-5</c:v>
                </c:pt>
                <c:pt idx="20">
                  <c:v>5.2428676533091388E-4</c:v>
                </c:pt>
                <c:pt idx="21">
                  <c:v>1.1695916138751027E-6</c:v>
                </c:pt>
                <c:pt idx="22">
                  <c:v>3.0682568954833973E-7</c:v>
                </c:pt>
                <c:pt idx="23">
                  <c:v>0</c:v>
                </c:pt>
                <c:pt idx="24">
                  <c:v>0</c:v>
                </c:pt>
              </c:numCache>
            </c:numRef>
          </c:val>
        </c:ser>
        <c:ser>
          <c:idx val="5"/>
          <c:order val="5"/>
          <c:tx>
            <c:strRef>
              <c:f>'EWG Recommends'!$Z$2</c:f>
              <c:strCache>
                <c:ptCount val="1"/>
                <c:pt idx="0">
                  <c:v>Gag</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Recommends'!$Z$3:$Z$27</c:f>
              <c:numCache>
                <c:formatCode>0.0%</c:formatCode>
                <c:ptCount val="25"/>
                <c:pt idx="0">
                  <c:v>1.0126726696731411E-5</c:v>
                </c:pt>
                <c:pt idx="1">
                  <c:v>4.7318182848889008E-5</c:v>
                </c:pt>
                <c:pt idx="2">
                  <c:v>5.7822425569002594E-5</c:v>
                </c:pt>
                <c:pt idx="3">
                  <c:v>0</c:v>
                </c:pt>
                <c:pt idx="4">
                  <c:v>1.9327011404680536E-3</c:v>
                </c:pt>
                <c:pt idx="5">
                  <c:v>3.1764124371436086E-3</c:v>
                </c:pt>
                <c:pt idx="6">
                  <c:v>4.5938180960971246E-3</c:v>
                </c:pt>
                <c:pt idx="7">
                  <c:v>0</c:v>
                </c:pt>
                <c:pt idx="8">
                  <c:v>9.9256555171485712E-4</c:v>
                </c:pt>
                <c:pt idx="9">
                  <c:v>0</c:v>
                </c:pt>
                <c:pt idx="10">
                  <c:v>1.0632181241194091E-3</c:v>
                </c:pt>
                <c:pt idx="11">
                  <c:v>3.835433115763895E-4</c:v>
                </c:pt>
                <c:pt idx="12">
                  <c:v>1.8185580187810365E-3</c:v>
                </c:pt>
                <c:pt idx="13">
                  <c:v>3.2471279542482145E-4</c:v>
                </c:pt>
                <c:pt idx="14">
                  <c:v>0</c:v>
                </c:pt>
                <c:pt idx="15">
                  <c:v>0</c:v>
                </c:pt>
                <c:pt idx="16">
                  <c:v>1.1200876221298956E-3</c:v>
                </c:pt>
                <c:pt idx="17">
                  <c:v>0</c:v>
                </c:pt>
                <c:pt idx="18">
                  <c:v>1.9656010757284125E-5</c:v>
                </c:pt>
                <c:pt idx="19">
                  <c:v>9.3045953463722791E-6</c:v>
                </c:pt>
                <c:pt idx="20">
                  <c:v>1.1669075079947466E-4</c:v>
                </c:pt>
                <c:pt idx="21">
                  <c:v>3.2938496506504361E-8</c:v>
                </c:pt>
                <c:pt idx="22">
                  <c:v>5.608167190109097E-8</c:v>
                </c:pt>
                <c:pt idx="23">
                  <c:v>0</c:v>
                </c:pt>
                <c:pt idx="24">
                  <c:v>0</c:v>
                </c:pt>
              </c:numCache>
            </c:numRef>
          </c:val>
        </c:ser>
        <c:ser>
          <c:idx val="6"/>
          <c:order val="6"/>
          <c:tx>
            <c:strRef>
              <c:f>'EWG Recommends'!$AA$2</c:f>
              <c:strCache>
                <c:ptCount val="1"/>
                <c:pt idx="0">
                  <c:v>Red Gpr</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Recommends'!$AA$3:$AA$27</c:f>
              <c:numCache>
                <c:formatCode>0.0%</c:formatCode>
                <c:ptCount val="25"/>
                <c:pt idx="0">
                  <c:v>6.0936189030176299E-5</c:v>
                </c:pt>
                <c:pt idx="1">
                  <c:v>1.3560765332511695E-4</c:v>
                </c:pt>
                <c:pt idx="2">
                  <c:v>4.945383972110492E-4</c:v>
                </c:pt>
                <c:pt idx="3">
                  <c:v>0</c:v>
                </c:pt>
                <c:pt idx="4">
                  <c:v>1.1628937240355375E-2</c:v>
                </c:pt>
                <c:pt idx="5">
                  <c:v>2.1270125862505643E-3</c:v>
                </c:pt>
                <c:pt idx="6">
                  <c:v>4.60156093361526E-3</c:v>
                </c:pt>
                <c:pt idx="7">
                  <c:v>0</c:v>
                </c:pt>
                <c:pt idx="8">
                  <c:v>9.3133348079817732E-4</c:v>
                </c:pt>
                <c:pt idx="9">
                  <c:v>0</c:v>
                </c:pt>
                <c:pt idx="10">
                  <c:v>1.9768506970231528E-3</c:v>
                </c:pt>
                <c:pt idx="11">
                  <c:v>8.3416237911864018E-4</c:v>
                </c:pt>
                <c:pt idx="12">
                  <c:v>1.6378028900158263E-3</c:v>
                </c:pt>
                <c:pt idx="13">
                  <c:v>2.1744258450579114E-4</c:v>
                </c:pt>
                <c:pt idx="14">
                  <c:v>0</c:v>
                </c:pt>
                <c:pt idx="15">
                  <c:v>0</c:v>
                </c:pt>
                <c:pt idx="16">
                  <c:v>2.7246832801358893E-5</c:v>
                </c:pt>
                <c:pt idx="17">
                  <c:v>0</c:v>
                </c:pt>
                <c:pt idx="18">
                  <c:v>5.7215313768130211E-7</c:v>
                </c:pt>
                <c:pt idx="19">
                  <c:v>1.0754293773155371E-7</c:v>
                </c:pt>
                <c:pt idx="20">
                  <c:v>8.6869411000702396E-5</c:v>
                </c:pt>
                <c:pt idx="21">
                  <c:v>0</c:v>
                </c:pt>
                <c:pt idx="22">
                  <c:v>0</c:v>
                </c:pt>
                <c:pt idx="23">
                  <c:v>0</c:v>
                </c:pt>
                <c:pt idx="24">
                  <c:v>0</c:v>
                </c:pt>
              </c:numCache>
            </c:numRef>
          </c:val>
        </c:ser>
        <c:dLbls>
          <c:showLegendKey val="0"/>
          <c:showVal val="0"/>
          <c:showCatName val="0"/>
          <c:showSerName val="0"/>
          <c:showPercent val="0"/>
          <c:showBubbleSize val="0"/>
        </c:dLbls>
        <c:gapWidth val="150"/>
        <c:overlap val="100"/>
        <c:axId val="559537152"/>
        <c:axId val="553837120"/>
      </c:barChart>
      <c:catAx>
        <c:axId val="559537152"/>
        <c:scaling>
          <c:orientation val="minMax"/>
        </c:scaling>
        <c:delete val="0"/>
        <c:axPos val="l"/>
        <c:majorTickMark val="out"/>
        <c:minorTickMark val="none"/>
        <c:tickLblPos val="nextTo"/>
        <c:crossAx val="553837120"/>
        <c:crosses val="autoZero"/>
        <c:auto val="1"/>
        <c:lblAlgn val="ctr"/>
        <c:lblOffset val="100"/>
        <c:noMultiLvlLbl val="0"/>
      </c:catAx>
      <c:valAx>
        <c:axId val="553837120"/>
        <c:scaling>
          <c:orientation val="minMax"/>
        </c:scaling>
        <c:delete val="0"/>
        <c:axPos val="b"/>
        <c:majorGridlines/>
        <c:title>
          <c:tx>
            <c:rich>
              <a:bodyPr/>
              <a:lstStyle/>
              <a:p>
                <a:pPr>
                  <a:defRPr/>
                </a:pPr>
                <a:r>
                  <a:rPr lang="en-US"/>
                  <a:t>Reduced Harvest (Commercial)</a:t>
                </a:r>
              </a:p>
            </c:rich>
          </c:tx>
          <c:overlay val="0"/>
        </c:title>
        <c:numFmt formatCode="0.0%" sourceLinked="1"/>
        <c:majorTickMark val="out"/>
        <c:minorTickMark val="none"/>
        <c:tickLblPos val="nextTo"/>
        <c:crossAx val="559537152"/>
        <c:crosses val="autoZero"/>
        <c:crossBetween val="between"/>
      </c:valAx>
    </c:plotArea>
    <c:legend>
      <c:legendPos val="r"/>
      <c:overlay val="0"/>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'EWG Recommends'!$AB$2</c:f>
              <c:strCache>
                <c:ptCount val="1"/>
                <c:pt idx="0">
                  <c:v>Speckled Hind</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Recommends'!$AB$3:$AB$27</c:f>
              <c:numCache>
                <c:formatCode>0.00%</c:formatCode>
                <c:ptCount val="25"/>
                <c:pt idx="0">
                  <c:v>1.6387923874154763E-4</c:v>
                </c:pt>
                <c:pt idx="1">
                  <c:v>2.0264524295133952E-4</c:v>
                </c:pt>
                <c:pt idx="2">
                  <c:v>1.9338449134842799E-4</c:v>
                </c:pt>
                <c:pt idx="3">
                  <c:v>0</c:v>
                </c:pt>
                <c:pt idx="4">
                  <c:v>1.893018583738741E-4</c:v>
                </c:pt>
                <c:pt idx="5">
                  <c:v>5.0008230876684163E-4</c:v>
                </c:pt>
                <c:pt idx="6">
                  <c:v>3.2819331708595353E-4</c:v>
                </c:pt>
                <c:pt idx="7">
                  <c:v>2.9759572306654804E-4</c:v>
                </c:pt>
                <c:pt idx="8">
                  <c:v>2.233496877064559E-4</c:v>
                </c:pt>
                <c:pt idx="9">
                  <c:v>0</c:v>
                </c:pt>
                <c:pt idx="10">
                  <c:v>4.3154611626637158E-4</c:v>
                </c:pt>
                <c:pt idx="11">
                  <c:v>4.4527803738158151E-4</c:v>
                </c:pt>
                <c:pt idx="12">
                  <c:v>3.1987329933630773E-4</c:v>
                </c:pt>
                <c:pt idx="13">
                  <c:v>1.3235972298357375E-4</c:v>
                </c:pt>
                <c:pt idx="14">
                  <c:v>7.0061134859434525E-5</c:v>
                </c:pt>
                <c:pt idx="15">
                  <c:v>8.5978160621443472E-6</c:v>
                </c:pt>
                <c:pt idx="16">
                  <c:v>#N/A</c:v>
                </c:pt>
                <c:pt idx="17">
                  <c:v>2.597512724045399E-5</c:v>
                </c:pt>
                <c:pt idx="18">
                  <c:v>4.512328241195963E-5</c:v>
                </c:pt>
                <c:pt idx="19">
                  <c:v>7.3022744194368286E-5</c:v>
                </c:pt>
                <c:pt idx="20">
                  <c:v>1.4025885342454765E-4</c:v>
                </c:pt>
                <c:pt idx="21">
                  <c:v>0</c:v>
                </c:pt>
                <c:pt idx="22">
                  <c:v>1.0618262476866521E-5</c:v>
                </c:pt>
                <c:pt idx="23">
                  <c:v>4.2449328181269012E-5</c:v>
                </c:pt>
                <c:pt idx="24">
                  <c:v>0</c:v>
                </c:pt>
              </c:numCache>
            </c:numRef>
          </c:val>
        </c:ser>
        <c:ser>
          <c:idx val="1"/>
          <c:order val="1"/>
          <c:tx>
            <c:strRef>
              <c:f>'EWG Recommends'!$AC$2</c:f>
              <c:strCache>
                <c:ptCount val="1"/>
                <c:pt idx="0">
                  <c:v>Warsaw Grouper</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Recommends'!$AC$3:$AC$27</c:f>
              <c:numCache>
                <c:formatCode>0.00%</c:formatCode>
                <c:ptCount val="25"/>
                <c:pt idx="0">
                  <c:v>2.1067514409064554E-4</c:v>
                </c:pt>
                <c:pt idx="1">
                  <c:v>2.161372053341136E-4</c:v>
                </c:pt>
                <c:pt idx="2">
                  <c:v>3.6163697955842772E-5</c:v>
                </c:pt>
                <c:pt idx="3">
                  <c:v>0</c:v>
                </c:pt>
                <c:pt idx="4">
                  <c:v>3.8524430151440189E-5</c:v>
                </c:pt>
                <c:pt idx="5">
                  <c:v>1.1588609702590937E-4</c:v>
                </c:pt>
                <c:pt idx="6">
                  <c:v>9.6794609175569169E-5</c:v>
                </c:pt>
                <c:pt idx="7">
                  <c:v>1.1392875447434991E-4</c:v>
                </c:pt>
                <c:pt idx="8">
                  <c:v>6.2377587019402193E-5</c:v>
                </c:pt>
                <c:pt idx="9">
                  <c:v>0</c:v>
                </c:pt>
                <c:pt idx="10">
                  <c:v>2.3718419674054623E-4</c:v>
                </c:pt>
                <c:pt idx="11">
                  <c:v>2.6264886427235657E-4</c:v>
                </c:pt>
                <c:pt idx="12">
                  <c:v>2.122212468889555E-4</c:v>
                </c:pt>
                <c:pt idx="13">
                  <c:v>3.2782598609855862E-4</c:v>
                </c:pt>
                <c:pt idx="14">
                  <c:v>1.8670805686760275E-4</c:v>
                </c:pt>
                <c:pt idx="15">
                  <c:v>1.1617716069588811E-5</c:v>
                </c:pt>
                <c:pt idx="16">
                  <c:v>#N/A</c:v>
                </c:pt>
                <c:pt idx="17">
                  <c:v>0</c:v>
                </c:pt>
                <c:pt idx="18">
                  <c:v>2.0717614731766693E-4</c:v>
                </c:pt>
                <c:pt idx="19">
                  <c:v>1.9715132244354776E-4</c:v>
                </c:pt>
                <c:pt idx="20">
                  <c:v>3.2598339321249372E-4</c:v>
                </c:pt>
                <c:pt idx="21">
                  <c:v>0</c:v>
                </c:pt>
                <c:pt idx="22">
                  <c:v>0</c:v>
                </c:pt>
                <c:pt idx="23">
                  <c:v>0</c:v>
                </c:pt>
                <c:pt idx="24">
                  <c:v>0</c:v>
                </c:pt>
              </c:numCache>
            </c:numRef>
          </c:val>
        </c:ser>
        <c:dLbls>
          <c:showLegendKey val="0"/>
          <c:showVal val="0"/>
          <c:showCatName val="0"/>
          <c:showSerName val="0"/>
          <c:showPercent val="0"/>
          <c:showBubbleSize val="0"/>
        </c:dLbls>
        <c:gapWidth val="150"/>
        <c:overlap val="100"/>
        <c:axId val="559537664"/>
        <c:axId val="553839424"/>
      </c:barChart>
      <c:catAx>
        <c:axId val="559537664"/>
        <c:scaling>
          <c:orientation val="minMax"/>
        </c:scaling>
        <c:delete val="0"/>
        <c:axPos val="l"/>
        <c:majorTickMark val="out"/>
        <c:minorTickMark val="none"/>
        <c:tickLblPos val="nextTo"/>
        <c:crossAx val="553839424"/>
        <c:crosses val="autoZero"/>
        <c:auto val="1"/>
        <c:lblAlgn val="ctr"/>
        <c:lblOffset val="100"/>
        <c:noMultiLvlLbl val="0"/>
      </c:catAx>
      <c:valAx>
        <c:axId val="553839424"/>
        <c:scaling>
          <c:orientation val="minMax"/>
        </c:scaling>
        <c:delete val="0"/>
        <c:axPos val="b"/>
        <c:majorGridlines/>
        <c:title>
          <c:tx>
            <c:rich>
              <a:bodyPr/>
              <a:lstStyle/>
              <a:p>
                <a:pPr>
                  <a:defRPr/>
                </a:pPr>
                <a:r>
                  <a:rPr lang="en-US"/>
                  <a:t>Stock Protected per Square KM</a:t>
                </a:r>
              </a:p>
            </c:rich>
          </c:tx>
          <c:overlay val="0"/>
        </c:title>
        <c:numFmt formatCode="0.00%" sourceLinked="1"/>
        <c:majorTickMark val="out"/>
        <c:minorTickMark val="none"/>
        <c:tickLblPos val="nextTo"/>
        <c:crossAx val="559537664"/>
        <c:crosses val="autoZero"/>
        <c:crossBetween val="between"/>
      </c:valAx>
    </c:plotArea>
    <c:legend>
      <c:legendPos val="tr"/>
      <c:overlay val="1"/>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'EWG Recommends'!$AD$2</c:f>
              <c:strCache>
                <c:ptCount val="1"/>
                <c:pt idx="0">
                  <c:v>Speckled Hind</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Recommends'!$AD$3:$AD$27</c:f>
              <c:numCache>
                <c:formatCode>0.00%</c:formatCode>
                <c:ptCount val="25"/>
                <c:pt idx="0">
                  <c:v>3.3573595514180949E-4</c:v>
                </c:pt>
                <c:pt idx="1">
                  <c:v>5.6064172348347708E-4</c:v>
                </c:pt>
                <c:pt idx="2">
                  <c:v>1.4798945772687597E-4</c:v>
                </c:pt>
                <c:pt idx="3">
                  <c:v>0</c:v>
                </c:pt>
                <c:pt idx="4">
                  <c:v>1.9062057810823133E-4</c:v>
                </c:pt>
                <c:pt idx="5">
                  <c:v>3.6788273636634256E-4</c:v>
                </c:pt>
                <c:pt idx="6">
                  <c:v>3.6739408488364091E-4</c:v>
                </c:pt>
                <c:pt idx="7">
                  <c:v>2.188188450332691E-4</c:v>
                </c:pt>
                <c:pt idx="8">
                  <c:v>1.731854100976979E-4</c:v>
                </c:pt>
                <c:pt idx="9">
                  <c:v>0</c:v>
                </c:pt>
                <c:pt idx="10">
                  <c:v>3.0092294984994774E-4</c:v>
                </c:pt>
                <c:pt idx="11">
                  <c:v>2.1065272284631246E-4</c:v>
                </c:pt>
                <c:pt idx="12">
                  <c:v>2.4010917494901625E-4</c:v>
                </c:pt>
                <c:pt idx="13">
                  <c:v>2.8841956475717672E-4</c:v>
                </c:pt>
                <c:pt idx="14">
                  <c:v>1.3559620478879614E-4</c:v>
                </c:pt>
                <c:pt idx="15">
                  <c:v>3.3182040754278067E-5</c:v>
                </c:pt>
                <c:pt idx="16">
                  <c:v>#N/A</c:v>
                </c:pt>
                <c:pt idx="17">
                  <c:v>2.9602787598876826E-4</c:v>
                </c:pt>
                <c:pt idx="18">
                  <c:v>2.8486934256286272E-4</c:v>
                </c:pt>
                <c:pt idx="19">
                  <c:v>2.7900955129946787E-4</c:v>
                </c:pt>
                <c:pt idx="20">
                  <c:v>2.0524992460975108E-4</c:v>
                </c:pt>
                <c:pt idx="21">
                  <c:v>0</c:v>
                </c:pt>
                <c:pt idx="22">
                  <c:v>2.9091946306664069E-4</c:v>
                </c:pt>
                <c:pt idx="23">
                  <c:v>2.0192196563006994E-4</c:v>
                </c:pt>
                <c:pt idx="24">
                  <c:v>0</c:v>
                </c:pt>
              </c:numCache>
            </c:numRef>
          </c:val>
        </c:ser>
        <c:ser>
          <c:idx val="1"/>
          <c:order val="1"/>
          <c:tx>
            <c:strRef>
              <c:f>'EWG Recommends'!$AE$2</c:f>
              <c:strCache>
                <c:ptCount val="1"/>
                <c:pt idx="0">
                  <c:v>Warsaw Grouper</c:v>
                </c:pt>
              </c:strCache>
            </c:strRef>
          </c:tx>
          <c:invertIfNegative val="0"/>
          <c:cat>
            <c:strRef>
              <c:f>'EWG Recommends'!$A$3:$A$27</c:f>
              <c:strCache>
                <c:ptCount val="25"/>
                <c:pt idx="0">
                  <c:v>780 BOTTOM</c:v>
                </c:pt>
                <c:pt idx="1">
                  <c:v>MALCHACE WRECK</c:v>
                </c:pt>
                <c:pt idx="2">
                  <c:v>S CAPE LOOKOUT NC</c:v>
                </c:pt>
                <c:pt idx="3">
                  <c:v>SNOWY WRECK RECONFIG</c:v>
                </c:pt>
                <c:pt idx="4">
                  <c:v>SOUTHERN NC</c:v>
                </c:pt>
                <c:pt idx="5">
                  <c:v>EDISTO RECONFIG 3</c:v>
                </c:pt>
                <c:pt idx="6">
                  <c:v>DEVILS HOLE 3</c:v>
                </c:pt>
                <c:pt idx="7">
                  <c:v>Northern SC</c:v>
                </c:pt>
                <c:pt idx="8">
                  <c:v>NORTHERN SC EXT</c:v>
                </c:pt>
                <c:pt idx="9">
                  <c:v>Georgia</c:v>
                </c:pt>
                <c:pt idx="10">
                  <c:v>GEORGIA MPA RECONFIG</c:v>
                </c:pt>
                <c:pt idx="11">
                  <c:v>GEORGIA RECONFIG N2</c:v>
                </c:pt>
                <c:pt idx="12">
                  <c:v>ST SIMONS EXT2</c:v>
                </c:pt>
                <c:pt idx="13">
                  <c:v>FERNANDINA MPA</c:v>
                </c:pt>
                <c:pt idx="14">
                  <c:v>North Florida</c:v>
                </c:pt>
                <c:pt idx="15">
                  <c:v>Oculina Bank CHAPC*</c:v>
                </c:pt>
                <c:pt idx="16">
                  <c:v>OCULINA BANK CHAPC EXT*</c:v>
                </c:pt>
                <c:pt idx="17">
                  <c:v>Oculina ECA</c:v>
                </c:pt>
                <c:pt idx="18">
                  <c:v>DAYTONA STEEPLES</c:v>
                </c:pt>
                <c:pt idx="19">
                  <c:v>DAYTONA LEDGE</c:v>
                </c:pt>
                <c:pt idx="20">
                  <c:v>ST AUGUSTINE 2</c:v>
                </c:pt>
                <c:pt idx="21">
                  <c:v>JUNO BEACH MPA</c:v>
                </c:pt>
                <c:pt idx="22">
                  <c:v>PUSH BUTTON HILL</c:v>
                </c:pt>
                <c:pt idx="23">
                  <c:v>St. Lucie Hump</c:v>
                </c:pt>
                <c:pt idx="24">
                  <c:v>WARSAW HOLE 4</c:v>
                </c:pt>
              </c:strCache>
            </c:strRef>
          </c:cat>
          <c:val>
            <c:numRef>
              <c:f>'EWG Recommends'!$AE$3:$AE$27</c:f>
              <c:numCache>
                <c:formatCode>0.00%</c:formatCode>
                <c:ptCount val="25"/>
                <c:pt idx="0">
                  <c:v>3.4267436044011363E-4</c:v>
                </c:pt>
                <c:pt idx="1">
                  <c:v>5.7222808903382473E-4</c:v>
                </c:pt>
                <c:pt idx="2">
                  <c:v>1.4153558465069852E-4</c:v>
                </c:pt>
                <c:pt idx="3">
                  <c:v>0</c:v>
                </c:pt>
                <c:pt idx="4">
                  <c:v>1.9455999183159409E-4</c:v>
                </c:pt>
                <c:pt idx="5">
                  <c:v>3.0388138929586327E-4</c:v>
                </c:pt>
                <c:pt idx="6">
                  <c:v>3.7073569577549323E-4</c:v>
                </c:pt>
                <c:pt idx="7">
                  <c:v>2.0281417402396107E-4</c:v>
                </c:pt>
                <c:pt idx="8">
                  <c:v>8.252683729101193E-5</c:v>
                </c:pt>
                <c:pt idx="9">
                  <c:v>0</c:v>
                </c:pt>
                <c:pt idx="10">
                  <c:v>2.9373475319817335E-4</c:v>
                </c:pt>
                <c:pt idx="11">
                  <c:v>2.1500612600708412E-4</c:v>
                </c:pt>
                <c:pt idx="12">
                  <c:v>2.1552129425957118E-4</c:v>
                </c:pt>
                <c:pt idx="13">
                  <c:v>3.0050172903681421E-4</c:v>
                </c:pt>
                <c:pt idx="14">
                  <c:v>1.3724494941311428E-4</c:v>
                </c:pt>
                <c:pt idx="15">
                  <c:v>3.3824512339618376E-5</c:v>
                </c:pt>
                <c:pt idx="16">
                  <c:v>#N/A</c:v>
                </c:pt>
                <c:pt idx="17">
                  <c:v>3.0214566394608911E-4</c:v>
                </c:pt>
                <c:pt idx="18">
                  <c:v>2.6464162414889189E-4</c:v>
                </c:pt>
                <c:pt idx="19">
                  <c:v>2.8477563419695203E-4</c:v>
                </c:pt>
                <c:pt idx="20">
                  <c:v>1.919008706254215E-4</c:v>
                </c:pt>
                <c:pt idx="21">
                  <c:v>1.6245066982079376E-5</c:v>
                </c:pt>
                <c:pt idx="22">
                  <c:v>3.2184780469515057E-4</c:v>
                </c:pt>
                <c:pt idx="23">
                  <c:v>2.1743047163042792E-4</c:v>
                </c:pt>
                <c:pt idx="24">
                  <c:v>1.3549929458759528E-4</c:v>
                </c:pt>
              </c:numCache>
            </c:numRef>
          </c:val>
        </c:ser>
        <c:dLbls>
          <c:showLegendKey val="0"/>
          <c:showVal val="0"/>
          <c:showCatName val="0"/>
          <c:showSerName val="0"/>
          <c:showPercent val="0"/>
          <c:showBubbleSize val="0"/>
        </c:dLbls>
        <c:gapWidth val="150"/>
        <c:overlap val="100"/>
        <c:axId val="533499392"/>
        <c:axId val="553841728"/>
      </c:barChart>
      <c:catAx>
        <c:axId val="533499392"/>
        <c:scaling>
          <c:orientation val="minMax"/>
        </c:scaling>
        <c:delete val="0"/>
        <c:axPos val="l"/>
        <c:majorTickMark val="out"/>
        <c:minorTickMark val="none"/>
        <c:tickLblPos val="nextTo"/>
        <c:crossAx val="553841728"/>
        <c:crosses val="autoZero"/>
        <c:auto val="1"/>
        <c:lblAlgn val="ctr"/>
        <c:lblOffset val="100"/>
        <c:noMultiLvlLbl val="0"/>
      </c:catAx>
      <c:valAx>
        <c:axId val="553841728"/>
        <c:scaling>
          <c:orientation val="minMax"/>
        </c:scaling>
        <c:delete val="0"/>
        <c:axPos val="b"/>
        <c:majorGridlines/>
        <c:title>
          <c:tx>
            <c:rich>
              <a:bodyPr/>
              <a:lstStyle/>
              <a:p>
                <a:pPr>
                  <a:defRPr/>
                </a:pPr>
                <a:r>
                  <a:rPr lang="en-US"/>
                  <a:t>Habitat Protected per Square KM</a:t>
                </a:r>
              </a:p>
            </c:rich>
          </c:tx>
          <c:overlay val="0"/>
        </c:title>
        <c:numFmt formatCode="0.00%" sourceLinked="1"/>
        <c:majorTickMark val="out"/>
        <c:minorTickMark val="none"/>
        <c:tickLblPos val="nextTo"/>
        <c:crossAx val="533499392"/>
        <c:crosses val="autoZero"/>
        <c:crossBetween val="between"/>
      </c:valAx>
    </c:plotArea>
    <c:legend>
      <c:legendPos val="tr"/>
      <c:overlay val="1"/>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png"/><Relationship Id="rId7" Type="http://schemas.openxmlformats.org/officeDocument/2006/relationships/image" Target="../media/image23.jpe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5" Type="http://schemas.openxmlformats.org/officeDocument/2006/relationships/image" Target="../media/image21.png"/><Relationship Id="rId10" Type="http://schemas.openxmlformats.org/officeDocument/2006/relationships/image" Target="../media/image26.png"/><Relationship Id="rId4" Type="http://schemas.openxmlformats.org/officeDocument/2006/relationships/image" Target="../media/image20.png"/><Relationship Id="rId9" Type="http://schemas.openxmlformats.org/officeDocument/2006/relationships/image" Target="../media/image25.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4.png"/><Relationship Id="rId13" Type="http://schemas.openxmlformats.org/officeDocument/2006/relationships/image" Target="../media/image39.png"/><Relationship Id="rId3" Type="http://schemas.openxmlformats.org/officeDocument/2006/relationships/image" Target="../media/image29.png"/><Relationship Id="rId7" Type="http://schemas.openxmlformats.org/officeDocument/2006/relationships/image" Target="../media/image33.png"/><Relationship Id="rId12" Type="http://schemas.openxmlformats.org/officeDocument/2006/relationships/image" Target="../media/image38.png"/><Relationship Id="rId2" Type="http://schemas.openxmlformats.org/officeDocument/2006/relationships/image" Target="../media/image28.png"/><Relationship Id="rId1" Type="http://schemas.openxmlformats.org/officeDocument/2006/relationships/image" Target="../media/image27.png"/><Relationship Id="rId6" Type="http://schemas.openxmlformats.org/officeDocument/2006/relationships/image" Target="../media/image32.png"/><Relationship Id="rId11" Type="http://schemas.openxmlformats.org/officeDocument/2006/relationships/image" Target="../media/image37.png"/><Relationship Id="rId5" Type="http://schemas.openxmlformats.org/officeDocument/2006/relationships/image" Target="../media/image31.png"/><Relationship Id="rId10" Type="http://schemas.openxmlformats.org/officeDocument/2006/relationships/image" Target="../media/image36.jpeg"/><Relationship Id="rId4" Type="http://schemas.openxmlformats.org/officeDocument/2006/relationships/image" Target="../media/image30.png"/><Relationship Id="rId9" Type="http://schemas.openxmlformats.org/officeDocument/2006/relationships/image" Target="../media/image35.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png"/><Relationship Id="rId6" Type="http://schemas.openxmlformats.org/officeDocument/2006/relationships/image" Target="../media/image45.png"/><Relationship Id="rId5" Type="http://schemas.openxmlformats.org/officeDocument/2006/relationships/image" Target="../media/image44.png"/><Relationship Id="rId4" Type="http://schemas.openxmlformats.org/officeDocument/2006/relationships/image" Target="../media/image4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3.png"/><Relationship Id="rId3" Type="http://schemas.openxmlformats.org/officeDocument/2006/relationships/image" Target="../media/image48.png"/><Relationship Id="rId7" Type="http://schemas.openxmlformats.org/officeDocument/2006/relationships/image" Target="../media/image52.png"/><Relationship Id="rId2" Type="http://schemas.openxmlformats.org/officeDocument/2006/relationships/image" Target="../media/image47.png"/><Relationship Id="rId1" Type="http://schemas.openxmlformats.org/officeDocument/2006/relationships/image" Target="../media/image46.png"/><Relationship Id="rId6" Type="http://schemas.openxmlformats.org/officeDocument/2006/relationships/image" Target="../media/image51.png"/><Relationship Id="rId5" Type="http://schemas.openxmlformats.org/officeDocument/2006/relationships/image" Target="../media/image50.png"/><Relationship Id="rId4" Type="http://schemas.openxmlformats.org/officeDocument/2006/relationships/image" Target="../media/image49.png"/><Relationship Id="rId9" Type="http://schemas.openxmlformats.org/officeDocument/2006/relationships/image" Target="../media/image5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7.png"/><Relationship Id="rId7" Type="http://schemas.openxmlformats.org/officeDocument/2006/relationships/image" Target="../media/image61.png"/><Relationship Id="rId2" Type="http://schemas.openxmlformats.org/officeDocument/2006/relationships/image" Target="../media/image56.png"/><Relationship Id="rId1" Type="http://schemas.openxmlformats.org/officeDocument/2006/relationships/image" Target="../media/image55.png"/><Relationship Id="rId6" Type="http://schemas.openxmlformats.org/officeDocument/2006/relationships/image" Target="../media/image60.png"/><Relationship Id="rId5" Type="http://schemas.openxmlformats.org/officeDocument/2006/relationships/image" Target="../media/image59.jpeg"/><Relationship Id="rId4" Type="http://schemas.openxmlformats.org/officeDocument/2006/relationships/image" Target="../media/image58.png"/></Relationships>
</file>

<file path=xl/drawings/_rels/drawing15.xml.rels><?xml version="1.0" encoding="UTF-8" standalone="yes"?>
<Relationships xmlns="http://schemas.openxmlformats.org/package/2006/relationships"><Relationship Id="rId8" Type="http://schemas.openxmlformats.org/officeDocument/2006/relationships/image" Target="../media/image69.tiff"/><Relationship Id="rId3" Type="http://schemas.openxmlformats.org/officeDocument/2006/relationships/image" Target="../media/image64.png"/><Relationship Id="rId7" Type="http://schemas.openxmlformats.org/officeDocument/2006/relationships/image" Target="../media/image68.tiff"/><Relationship Id="rId2" Type="http://schemas.openxmlformats.org/officeDocument/2006/relationships/image" Target="../media/image63.png"/><Relationship Id="rId1" Type="http://schemas.openxmlformats.org/officeDocument/2006/relationships/image" Target="../media/image62.png"/><Relationship Id="rId6" Type="http://schemas.openxmlformats.org/officeDocument/2006/relationships/image" Target="../media/image67.png"/><Relationship Id="rId5" Type="http://schemas.openxmlformats.org/officeDocument/2006/relationships/image" Target="../media/image66.png"/><Relationship Id="rId4" Type="http://schemas.openxmlformats.org/officeDocument/2006/relationships/image" Target="../media/image65.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122</xdr:row>
      <xdr:rowOff>71437</xdr:rowOff>
    </xdr:from>
    <xdr:to>
      <xdr:col>16</xdr:col>
      <xdr:colOff>304800</xdr:colOff>
      <xdr:row>161</xdr:row>
      <xdr:rowOff>9525</xdr:rowOff>
    </xdr:to>
    <xdr:pic>
      <xdr:nvPicPr>
        <xdr:cNvPr id="2" name="Picture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3312437"/>
          <a:ext cx="10210800" cy="7772400"/>
        </a:xfrm>
        <a:prstGeom prst="rect">
          <a:avLst/>
        </a:prstGeom>
      </xdr:spPr>
    </xdr:pic>
    <xdr:clientData/>
  </xdr:twoCellAnchor>
  <xdr:twoCellAnchor editAs="oneCell">
    <xdr:from>
      <xdr:col>0</xdr:col>
      <xdr:colOff>0</xdr:colOff>
      <xdr:row>81</xdr:row>
      <xdr:rowOff>54750</xdr:rowOff>
    </xdr:from>
    <xdr:to>
      <xdr:col>16</xdr:col>
      <xdr:colOff>304800</xdr:colOff>
      <xdr:row>119</xdr:row>
      <xdr:rowOff>183337</xdr:rowOff>
    </xdr:to>
    <xdr:pic>
      <xdr:nvPicPr>
        <xdr:cNvPr id="3" name="Picture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0" y="15485250"/>
          <a:ext cx="10210800" cy="7772400"/>
        </a:xfrm>
        <a:prstGeom prst="rect">
          <a:avLst/>
        </a:prstGeom>
      </xdr:spPr>
    </xdr:pic>
    <xdr:clientData/>
  </xdr:twoCellAnchor>
  <xdr:twoCellAnchor editAs="oneCell">
    <xdr:from>
      <xdr:col>0</xdr:col>
      <xdr:colOff>0</xdr:colOff>
      <xdr:row>163</xdr:row>
      <xdr:rowOff>14250</xdr:rowOff>
    </xdr:from>
    <xdr:to>
      <xdr:col>16</xdr:col>
      <xdr:colOff>304800</xdr:colOff>
      <xdr:row>201</xdr:row>
      <xdr:rowOff>142837</xdr:rowOff>
    </xdr:to>
    <xdr:pic>
      <xdr:nvPicPr>
        <xdr:cNvPr id="4" name="Picture 3"/>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0" y="31065750"/>
          <a:ext cx="10210800" cy="7772400"/>
        </a:xfrm>
        <a:prstGeom prst="rect">
          <a:avLst/>
        </a:prstGeom>
      </xdr:spPr>
    </xdr:pic>
    <xdr:clientData/>
  </xdr:twoCellAnchor>
  <xdr:twoCellAnchor editAs="oneCell">
    <xdr:from>
      <xdr:col>0</xdr:col>
      <xdr:colOff>0</xdr:colOff>
      <xdr:row>0</xdr:row>
      <xdr:rowOff>0</xdr:rowOff>
    </xdr:from>
    <xdr:to>
      <xdr:col>16</xdr:col>
      <xdr:colOff>314325</xdr:colOff>
      <xdr:row>38</xdr:row>
      <xdr:rowOff>128587</xdr:rowOff>
    </xdr:to>
    <xdr:pic>
      <xdr:nvPicPr>
        <xdr:cNvPr id="6" name="Picture 5"/>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0" y="0"/>
          <a:ext cx="10220325" cy="7772400"/>
        </a:xfrm>
        <a:prstGeom prst="rect">
          <a:avLst/>
        </a:prstGeom>
      </xdr:spPr>
    </xdr:pic>
    <xdr:clientData/>
  </xdr:twoCellAnchor>
  <xdr:twoCellAnchor editAs="oneCell">
    <xdr:from>
      <xdr:col>0</xdr:col>
      <xdr:colOff>0</xdr:colOff>
      <xdr:row>40</xdr:row>
      <xdr:rowOff>95251</xdr:rowOff>
    </xdr:from>
    <xdr:to>
      <xdr:col>16</xdr:col>
      <xdr:colOff>304800</xdr:colOff>
      <xdr:row>79</xdr:row>
      <xdr:rowOff>33339</xdr:rowOff>
    </xdr:to>
    <xdr:pic>
      <xdr:nvPicPr>
        <xdr:cNvPr id="7" name="Picture 6"/>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0" y="7715251"/>
          <a:ext cx="10210800" cy="7772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32</xdr:col>
      <xdr:colOff>305290</xdr:colOff>
      <xdr:row>0</xdr:row>
      <xdr:rowOff>19240</xdr:rowOff>
    </xdr:from>
    <xdr:to>
      <xdr:col>49</xdr:col>
      <xdr:colOff>0</xdr:colOff>
      <xdr:row>40</xdr:row>
      <xdr:rowOff>171261</xdr:rowOff>
    </xdr:to>
    <xdr:pic>
      <xdr:nvPicPr>
        <xdr:cNvPr id="2" name="Picture 1" descr="sa_EWG_SouthernNC_pts.png"/>
        <xdr:cNvPicPr>
          <a:picLocks noChangeAspect="1"/>
        </xdr:cNvPicPr>
      </xdr:nvPicPr>
      <xdr:blipFill>
        <a:blip xmlns:r="http://schemas.openxmlformats.org/officeDocument/2006/relationships" r:embed="rId1" cstate="email"/>
        <a:stretch>
          <a:fillRect/>
        </a:stretch>
      </xdr:blipFill>
      <xdr:spPr>
        <a:xfrm>
          <a:off x="19812490" y="19240"/>
          <a:ext cx="10057910" cy="7772021"/>
        </a:xfrm>
        <a:prstGeom prst="rect">
          <a:avLst/>
        </a:prstGeom>
      </xdr:spPr>
    </xdr:pic>
    <xdr:clientData/>
  </xdr:twoCellAnchor>
  <xdr:twoCellAnchor editAs="oneCell">
    <xdr:from>
      <xdr:col>0</xdr:col>
      <xdr:colOff>0</xdr:colOff>
      <xdr:row>41</xdr:row>
      <xdr:rowOff>0</xdr:rowOff>
    </xdr:from>
    <xdr:to>
      <xdr:col>16</xdr:col>
      <xdr:colOff>304310</xdr:colOff>
      <xdr:row>81</xdr:row>
      <xdr:rowOff>152021</xdr:rowOff>
    </xdr:to>
    <xdr:pic>
      <xdr:nvPicPr>
        <xdr:cNvPr id="3" name="Picture 2" descr="sa_EWG_780Bottom_marmap.png"/>
        <xdr:cNvPicPr>
          <a:picLocks noChangeAspect="1"/>
        </xdr:cNvPicPr>
      </xdr:nvPicPr>
      <xdr:blipFill>
        <a:blip xmlns:r="http://schemas.openxmlformats.org/officeDocument/2006/relationships" r:embed="rId2" cstate="email"/>
        <a:stretch>
          <a:fillRect/>
        </a:stretch>
      </xdr:blipFill>
      <xdr:spPr>
        <a:xfrm>
          <a:off x="0" y="23050500"/>
          <a:ext cx="10002492" cy="7772021"/>
        </a:xfrm>
        <a:prstGeom prst="rect">
          <a:avLst/>
        </a:prstGeom>
      </xdr:spPr>
    </xdr:pic>
    <xdr:clientData/>
  </xdr:twoCellAnchor>
  <xdr:twoCellAnchor editAs="oneCell">
    <xdr:from>
      <xdr:col>0</xdr:col>
      <xdr:colOff>0</xdr:colOff>
      <xdr:row>0</xdr:row>
      <xdr:rowOff>38479</xdr:rowOff>
    </xdr:from>
    <xdr:to>
      <xdr:col>16</xdr:col>
      <xdr:colOff>304310</xdr:colOff>
      <xdr:row>41</xdr:row>
      <xdr:rowOff>0</xdr:rowOff>
    </xdr:to>
    <xdr:pic>
      <xdr:nvPicPr>
        <xdr:cNvPr id="5" name="Picture 4" descr="sa_EWG_780Bottom_pts.png"/>
        <xdr:cNvPicPr>
          <a:picLocks noChangeAspect="1"/>
        </xdr:cNvPicPr>
      </xdr:nvPicPr>
      <xdr:blipFill>
        <a:blip xmlns:r="http://schemas.openxmlformats.org/officeDocument/2006/relationships" r:embed="rId3" cstate="email"/>
        <a:stretch>
          <a:fillRect/>
        </a:stretch>
      </xdr:blipFill>
      <xdr:spPr>
        <a:xfrm>
          <a:off x="0" y="38479"/>
          <a:ext cx="10057910" cy="7772021"/>
        </a:xfrm>
        <a:prstGeom prst="rect">
          <a:avLst/>
        </a:prstGeom>
      </xdr:spPr>
    </xdr:pic>
    <xdr:clientData/>
  </xdr:twoCellAnchor>
  <xdr:twoCellAnchor editAs="oneCell">
    <xdr:from>
      <xdr:col>16</xdr:col>
      <xdr:colOff>222562</xdr:colOff>
      <xdr:row>41</xdr:row>
      <xdr:rowOff>0</xdr:rowOff>
    </xdr:from>
    <xdr:to>
      <xdr:col>32</xdr:col>
      <xdr:colOff>526872</xdr:colOff>
      <xdr:row>81</xdr:row>
      <xdr:rowOff>152021</xdr:rowOff>
    </xdr:to>
    <xdr:pic>
      <xdr:nvPicPr>
        <xdr:cNvPr id="7" name="Picture 6" descr="sa_EWG_CapeLookout_marmap.png"/>
        <xdr:cNvPicPr>
          <a:picLocks noChangeAspect="1"/>
        </xdr:cNvPicPr>
      </xdr:nvPicPr>
      <xdr:blipFill>
        <a:blip xmlns:r="http://schemas.openxmlformats.org/officeDocument/2006/relationships" r:embed="rId4" cstate="email"/>
        <a:stretch>
          <a:fillRect/>
        </a:stretch>
      </xdr:blipFill>
      <xdr:spPr>
        <a:xfrm>
          <a:off x="9920744" y="23050500"/>
          <a:ext cx="10002492" cy="7772021"/>
        </a:xfrm>
        <a:prstGeom prst="rect">
          <a:avLst/>
        </a:prstGeom>
      </xdr:spPr>
    </xdr:pic>
    <xdr:clientData/>
  </xdr:twoCellAnchor>
  <xdr:twoCellAnchor editAs="oneCell">
    <xdr:from>
      <xdr:col>16</xdr:col>
      <xdr:colOff>152645</xdr:colOff>
      <xdr:row>0</xdr:row>
      <xdr:rowOff>0</xdr:rowOff>
    </xdr:from>
    <xdr:to>
      <xdr:col>32</xdr:col>
      <xdr:colOff>456955</xdr:colOff>
      <xdr:row>40</xdr:row>
      <xdr:rowOff>152021</xdr:rowOff>
    </xdr:to>
    <xdr:pic>
      <xdr:nvPicPr>
        <xdr:cNvPr id="9" name="Picture 8" descr="sa_EWG_CapeLookout_pts.png"/>
        <xdr:cNvPicPr>
          <a:picLocks noChangeAspect="1"/>
        </xdr:cNvPicPr>
      </xdr:nvPicPr>
      <xdr:blipFill>
        <a:blip xmlns:r="http://schemas.openxmlformats.org/officeDocument/2006/relationships" r:embed="rId5" cstate="email"/>
        <a:stretch>
          <a:fillRect/>
        </a:stretch>
      </xdr:blipFill>
      <xdr:spPr>
        <a:xfrm>
          <a:off x="9906245" y="0"/>
          <a:ext cx="10057910" cy="7772021"/>
        </a:xfrm>
        <a:prstGeom prst="rect">
          <a:avLst/>
        </a:prstGeom>
      </xdr:spPr>
    </xdr:pic>
    <xdr:clientData/>
  </xdr:twoCellAnchor>
  <xdr:twoCellAnchor editAs="oneCell">
    <xdr:from>
      <xdr:col>32</xdr:col>
      <xdr:colOff>445125</xdr:colOff>
      <xdr:row>41</xdr:row>
      <xdr:rowOff>37721</xdr:rowOff>
    </xdr:from>
    <xdr:to>
      <xdr:col>49</xdr:col>
      <xdr:colOff>130310</xdr:colOff>
      <xdr:row>81</xdr:row>
      <xdr:rowOff>189742</xdr:rowOff>
    </xdr:to>
    <xdr:pic>
      <xdr:nvPicPr>
        <xdr:cNvPr id="11" name="Picture 10" descr="sa_EWG_SnowyWreck_marmap.png"/>
        <xdr:cNvPicPr>
          <a:picLocks noChangeAspect="1"/>
        </xdr:cNvPicPr>
      </xdr:nvPicPr>
      <xdr:blipFill>
        <a:blip xmlns:r="http://schemas.openxmlformats.org/officeDocument/2006/relationships" r:embed="rId6" cstate="email"/>
        <a:stretch>
          <a:fillRect/>
        </a:stretch>
      </xdr:blipFill>
      <xdr:spPr>
        <a:xfrm>
          <a:off x="19841489" y="23088221"/>
          <a:ext cx="9989503" cy="7772021"/>
        </a:xfrm>
        <a:prstGeom prst="rect">
          <a:avLst/>
        </a:prstGeom>
      </xdr:spPr>
    </xdr:pic>
    <xdr:clientData/>
  </xdr:twoCellAnchor>
  <xdr:twoCellAnchor editAs="oneCell">
    <xdr:from>
      <xdr:col>0</xdr:col>
      <xdr:colOff>0</xdr:colOff>
      <xdr:row>82</xdr:row>
      <xdr:rowOff>0</xdr:rowOff>
    </xdr:from>
    <xdr:to>
      <xdr:col>26</xdr:col>
      <xdr:colOff>575830</xdr:colOff>
      <xdr:row>132</xdr:row>
      <xdr:rowOff>133350</xdr:rowOff>
    </xdr:to>
    <xdr:pic>
      <xdr:nvPicPr>
        <xdr:cNvPr id="14" name="Picture 13" descr="780 Bottom.jpg"/>
        <xdr:cNvPicPr>
          <a:picLocks noChangeAspect="1"/>
        </xdr:cNvPicPr>
      </xdr:nvPicPr>
      <xdr:blipFill>
        <a:blip xmlns:r="http://schemas.openxmlformats.org/officeDocument/2006/relationships" r:embed="rId7" cstate="email"/>
        <a:stretch>
          <a:fillRect/>
        </a:stretch>
      </xdr:blipFill>
      <xdr:spPr>
        <a:xfrm>
          <a:off x="0" y="30861000"/>
          <a:ext cx="16335375" cy="9658350"/>
        </a:xfrm>
        <a:prstGeom prst="rect">
          <a:avLst/>
        </a:prstGeom>
      </xdr:spPr>
    </xdr:pic>
    <xdr:clientData/>
  </xdr:twoCellAnchor>
  <xdr:twoCellAnchor>
    <xdr:from>
      <xdr:col>19</xdr:col>
      <xdr:colOff>0</xdr:colOff>
      <xdr:row>85</xdr:row>
      <xdr:rowOff>0</xdr:rowOff>
    </xdr:from>
    <xdr:to>
      <xdr:col>25</xdr:col>
      <xdr:colOff>0</xdr:colOff>
      <xdr:row>89</xdr:row>
      <xdr:rowOff>0</xdr:rowOff>
    </xdr:to>
    <xdr:sp macro="" textlink="">
      <xdr:nvSpPr>
        <xdr:cNvPr id="15" name="TextBox 14"/>
        <xdr:cNvSpPr txBox="1"/>
      </xdr:nvSpPr>
      <xdr:spPr>
        <a:xfrm>
          <a:off x="11516591" y="31432500"/>
          <a:ext cx="3636818"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t>780 BOTTOM</a:t>
          </a:r>
        </a:p>
      </xdr:txBody>
    </xdr:sp>
    <xdr:clientData/>
  </xdr:twoCellAnchor>
  <xdr:twoCellAnchor editAs="oneCell">
    <xdr:from>
      <xdr:col>16</xdr:col>
      <xdr:colOff>519409</xdr:colOff>
      <xdr:row>132</xdr:row>
      <xdr:rowOff>121227</xdr:rowOff>
    </xdr:from>
    <xdr:to>
      <xdr:col>33</xdr:col>
      <xdr:colOff>273001</xdr:colOff>
      <xdr:row>173</xdr:row>
      <xdr:rowOff>82748</xdr:rowOff>
    </xdr:to>
    <xdr:pic>
      <xdr:nvPicPr>
        <xdr:cNvPr id="16" name="Picture 15" descr="sa_EWG_noaacharts_SnowyWreck.png"/>
        <xdr:cNvPicPr>
          <a:picLocks noChangeAspect="1"/>
        </xdr:cNvPicPr>
      </xdr:nvPicPr>
      <xdr:blipFill>
        <a:blip xmlns:r="http://schemas.openxmlformats.org/officeDocument/2006/relationships" r:embed="rId8" cstate="print"/>
        <a:stretch>
          <a:fillRect/>
        </a:stretch>
      </xdr:blipFill>
      <xdr:spPr>
        <a:xfrm>
          <a:off x="10217591" y="40507227"/>
          <a:ext cx="10057910" cy="7772021"/>
        </a:xfrm>
        <a:prstGeom prst="rect">
          <a:avLst/>
        </a:prstGeom>
      </xdr:spPr>
    </xdr:pic>
    <xdr:clientData/>
  </xdr:twoCellAnchor>
  <xdr:twoCellAnchor editAs="oneCell">
    <xdr:from>
      <xdr:col>0</xdr:col>
      <xdr:colOff>80727</xdr:colOff>
      <xdr:row>132</xdr:row>
      <xdr:rowOff>121227</xdr:rowOff>
    </xdr:from>
    <xdr:to>
      <xdr:col>16</xdr:col>
      <xdr:colOff>440455</xdr:colOff>
      <xdr:row>173</xdr:row>
      <xdr:rowOff>82748</xdr:rowOff>
    </xdr:to>
    <xdr:pic>
      <xdr:nvPicPr>
        <xdr:cNvPr id="17" name="Picture 16" descr="sa_EWG_noaacharts_780Bottom.png"/>
        <xdr:cNvPicPr>
          <a:picLocks noChangeAspect="1"/>
        </xdr:cNvPicPr>
      </xdr:nvPicPr>
      <xdr:blipFill>
        <a:blip xmlns:r="http://schemas.openxmlformats.org/officeDocument/2006/relationships" r:embed="rId9" cstate="print"/>
        <a:stretch>
          <a:fillRect/>
        </a:stretch>
      </xdr:blipFill>
      <xdr:spPr>
        <a:xfrm>
          <a:off x="80727" y="40507227"/>
          <a:ext cx="10057910" cy="7772021"/>
        </a:xfrm>
        <a:prstGeom prst="rect">
          <a:avLst/>
        </a:prstGeom>
      </xdr:spPr>
    </xdr:pic>
    <xdr:clientData/>
  </xdr:twoCellAnchor>
  <xdr:twoCellAnchor editAs="oneCell">
    <xdr:from>
      <xdr:col>33</xdr:col>
      <xdr:colOff>351954</xdr:colOff>
      <xdr:row>132</xdr:row>
      <xdr:rowOff>121227</xdr:rowOff>
    </xdr:from>
    <xdr:to>
      <xdr:col>50</xdr:col>
      <xdr:colOff>105546</xdr:colOff>
      <xdr:row>173</xdr:row>
      <xdr:rowOff>82748</xdr:rowOff>
    </xdr:to>
    <xdr:pic>
      <xdr:nvPicPr>
        <xdr:cNvPr id="18" name="Picture 17" descr="sa_EWG_noaacharts_CapeLookout.png"/>
        <xdr:cNvPicPr>
          <a:picLocks noChangeAspect="1"/>
        </xdr:cNvPicPr>
      </xdr:nvPicPr>
      <xdr:blipFill>
        <a:blip xmlns:r="http://schemas.openxmlformats.org/officeDocument/2006/relationships" r:embed="rId10" cstate="print"/>
        <a:stretch>
          <a:fillRect/>
        </a:stretch>
      </xdr:blipFill>
      <xdr:spPr>
        <a:xfrm>
          <a:off x="20354454" y="40507227"/>
          <a:ext cx="10057910" cy="77720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32</xdr:col>
      <xdr:colOff>305290</xdr:colOff>
      <xdr:row>0</xdr:row>
      <xdr:rowOff>41990</xdr:rowOff>
    </xdr:from>
    <xdr:to>
      <xdr:col>49</xdr:col>
      <xdr:colOff>0</xdr:colOff>
      <xdr:row>40</xdr:row>
      <xdr:rowOff>148511</xdr:rowOff>
    </xdr:to>
    <xdr:pic>
      <xdr:nvPicPr>
        <xdr:cNvPr id="2" name="Picture 1" descr="sa_EWG_SouthernNC_pts.png"/>
        <xdr:cNvPicPr>
          <a:picLocks noChangeAspect="1"/>
        </xdr:cNvPicPr>
      </xdr:nvPicPr>
      <xdr:blipFill>
        <a:blip xmlns:r="http://schemas.openxmlformats.org/officeDocument/2006/relationships" r:embed="rId1" cstate="email"/>
        <a:stretch>
          <a:fillRect/>
        </a:stretch>
      </xdr:blipFill>
      <xdr:spPr>
        <a:xfrm>
          <a:off x="19701654" y="41990"/>
          <a:ext cx="9999028" cy="7726521"/>
        </a:xfrm>
        <a:prstGeom prst="rect">
          <a:avLst/>
        </a:prstGeom>
      </xdr:spPr>
    </xdr:pic>
    <xdr:clientData/>
  </xdr:twoCellAnchor>
  <xdr:twoCellAnchor editAs="oneCell">
    <xdr:from>
      <xdr:col>0</xdr:col>
      <xdr:colOff>0</xdr:colOff>
      <xdr:row>41</xdr:row>
      <xdr:rowOff>0</xdr:rowOff>
    </xdr:from>
    <xdr:to>
      <xdr:col>16</xdr:col>
      <xdr:colOff>304310</xdr:colOff>
      <xdr:row>81</xdr:row>
      <xdr:rowOff>109198</xdr:rowOff>
    </xdr:to>
    <xdr:pic>
      <xdr:nvPicPr>
        <xdr:cNvPr id="3" name="Picture 2" descr="sa_EWG_780Bottom_marmap.png"/>
        <xdr:cNvPicPr>
          <a:picLocks noChangeAspect="1"/>
        </xdr:cNvPicPr>
      </xdr:nvPicPr>
      <xdr:blipFill>
        <a:blip xmlns:r="http://schemas.openxmlformats.org/officeDocument/2006/relationships" r:embed="rId2" cstate="email"/>
        <a:stretch>
          <a:fillRect/>
        </a:stretch>
      </xdr:blipFill>
      <xdr:spPr>
        <a:xfrm>
          <a:off x="0" y="22860000"/>
          <a:ext cx="10002492" cy="7729198"/>
        </a:xfrm>
        <a:prstGeom prst="rect">
          <a:avLst/>
        </a:prstGeom>
      </xdr:spPr>
    </xdr:pic>
    <xdr:clientData/>
  </xdr:twoCellAnchor>
  <xdr:twoCellAnchor editAs="oneCell">
    <xdr:from>
      <xdr:col>0</xdr:col>
      <xdr:colOff>0</xdr:colOff>
      <xdr:row>0</xdr:row>
      <xdr:rowOff>59890</xdr:rowOff>
    </xdr:from>
    <xdr:to>
      <xdr:col>16</xdr:col>
      <xdr:colOff>304310</xdr:colOff>
      <xdr:row>40</xdr:row>
      <xdr:rowOff>169088</xdr:rowOff>
    </xdr:to>
    <xdr:pic>
      <xdr:nvPicPr>
        <xdr:cNvPr id="5" name="Picture 4" descr="sa_EWG_780Bottom_pts.png"/>
        <xdr:cNvPicPr>
          <a:picLocks noChangeAspect="1"/>
        </xdr:cNvPicPr>
      </xdr:nvPicPr>
      <xdr:blipFill>
        <a:blip xmlns:r="http://schemas.openxmlformats.org/officeDocument/2006/relationships" r:embed="rId3" cstate="email"/>
        <a:stretch>
          <a:fillRect/>
        </a:stretch>
      </xdr:blipFill>
      <xdr:spPr>
        <a:xfrm>
          <a:off x="0" y="59890"/>
          <a:ext cx="10002492" cy="7729198"/>
        </a:xfrm>
        <a:prstGeom prst="rect">
          <a:avLst/>
        </a:prstGeom>
      </xdr:spPr>
    </xdr:pic>
    <xdr:clientData/>
  </xdr:twoCellAnchor>
  <xdr:twoCellAnchor editAs="oneCell">
    <xdr:from>
      <xdr:col>16</xdr:col>
      <xdr:colOff>222562</xdr:colOff>
      <xdr:row>41</xdr:row>
      <xdr:rowOff>0</xdr:rowOff>
    </xdr:from>
    <xdr:to>
      <xdr:col>32</xdr:col>
      <xdr:colOff>526872</xdr:colOff>
      <xdr:row>81</xdr:row>
      <xdr:rowOff>109198</xdr:rowOff>
    </xdr:to>
    <xdr:pic>
      <xdr:nvPicPr>
        <xdr:cNvPr id="7" name="Picture 6" descr="sa_EWG_CapeLookout_marmap.png"/>
        <xdr:cNvPicPr>
          <a:picLocks noChangeAspect="1"/>
        </xdr:cNvPicPr>
      </xdr:nvPicPr>
      <xdr:blipFill>
        <a:blip xmlns:r="http://schemas.openxmlformats.org/officeDocument/2006/relationships" r:embed="rId4" cstate="email"/>
        <a:stretch>
          <a:fillRect/>
        </a:stretch>
      </xdr:blipFill>
      <xdr:spPr>
        <a:xfrm>
          <a:off x="9920744" y="22860000"/>
          <a:ext cx="10002492" cy="7729198"/>
        </a:xfrm>
        <a:prstGeom prst="rect">
          <a:avLst/>
        </a:prstGeom>
      </xdr:spPr>
    </xdr:pic>
    <xdr:clientData/>
  </xdr:twoCellAnchor>
  <xdr:twoCellAnchor editAs="oneCell">
    <xdr:from>
      <xdr:col>16</xdr:col>
      <xdr:colOff>152645</xdr:colOff>
      <xdr:row>0</xdr:row>
      <xdr:rowOff>21411</xdr:rowOff>
    </xdr:from>
    <xdr:to>
      <xdr:col>32</xdr:col>
      <xdr:colOff>456955</xdr:colOff>
      <xdr:row>40</xdr:row>
      <xdr:rowOff>130609</xdr:rowOff>
    </xdr:to>
    <xdr:pic>
      <xdr:nvPicPr>
        <xdr:cNvPr id="9" name="Picture 8" descr="sa_EWG_CapeLookout_pts.png"/>
        <xdr:cNvPicPr>
          <a:picLocks noChangeAspect="1"/>
        </xdr:cNvPicPr>
      </xdr:nvPicPr>
      <xdr:blipFill>
        <a:blip xmlns:r="http://schemas.openxmlformats.org/officeDocument/2006/relationships" r:embed="rId5" cstate="email"/>
        <a:stretch>
          <a:fillRect/>
        </a:stretch>
      </xdr:blipFill>
      <xdr:spPr>
        <a:xfrm>
          <a:off x="9850827" y="21411"/>
          <a:ext cx="10002492" cy="7729198"/>
        </a:xfrm>
        <a:prstGeom prst="rect">
          <a:avLst/>
        </a:prstGeom>
      </xdr:spPr>
    </xdr:pic>
    <xdr:clientData/>
  </xdr:twoCellAnchor>
  <xdr:twoCellAnchor editAs="oneCell">
    <xdr:from>
      <xdr:col>32</xdr:col>
      <xdr:colOff>381002</xdr:colOff>
      <xdr:row>41</xdr:row>
      <xdr:rowOff>42740</xdr:rowOff>
    </xdr:from>
    <xdr:to>
      <xdr:col>49</xdr:col>
      <xdr:colOff>66187</xdr:colOff>
      <xdr:row>81</xdr:row>
      <xdr:rowOff>141901</xdr:rowOff>
    </xdr:to>
    <xdr:pic>
      <xdr:nvPicPr>
        <xdr:cNvPr id="11" name="Picture 10" descr="sa_EWG_SnowyWreck_marmap.png"/>
        <xdr:cNvPicPr>
          <a:picLocks noChangeAspect="1"/>
        </xdr:cNvPicPr>
      </xdr:nvPicPr>
      <xdr:blipFill>
        <a:blip xmlns:r="http://schemas.openxmlformats.org/officeDocument/2006/relationships" r:embed="rId6" cstate="email"/>
        <a:stretch>
          <a:fillRect/>
        </a:stretch>
      </xdr:blipFill>
      <xdr:spPr>
        <a:xfrm>
          <a:off x="19777366" y="22902740"/>
          <a:ext cx="9989503" cy="7719161"/>
        </a:xfrm>
        <a:prstGeom prst="rect">
          <a:avLst/>
        </a:prstGeom>
      </xdr:spPr>
    </xdr:pic>
    <xdr:clientData/>
  </xdr:twoCellAnchor>
  <xdr:twoCellAnchor editAs="oneCell">
    <xdr:from>
      <xdr:col>0</xdr:col>
      <xdr:colOff>0</xdr:colOff>
      <xdr:row>81</xdr:row>
      <xdr:rowOff>130610</xdr:rowOff>
    </xdr:from>
    <xdr:to>
      <xdr:col>16</xdr:col>
      <xdr:colOff>304309</xdr:colOff>
      <xdr:row>122</xdr:row>
      <xdr:rowOff>49308</xdr:rowOff>
    </xdr:to>
    <xdr:pic>
      <xdr:nvPicPr>
        <xdr:cNvPr id="14" name="Picture 13" descr="sa_EWG_780Bottom_marmap.png"/>
        <xdr:cNvPicPr>
          <a:picLocks noChangeAspect="1"/>
        </xdr:cNvPicPr>
      </xdr:nvPicPr>
      <xdr:blipFill>
        <a:blip xmlns:r="http://schemas.openxmlformats.org/officeDocument/2006/relationships" r:embed="rId7" cstate="email"/>
        <a:stretch>
          <a:fillRect/>
        </a:stretch>
      </xdr:blipFill>
      <xdr:spPr>
        <a:xfrm>
          <a:off x="0" y="30610610"/>
          <a:ext cx="10002491" cy="7729198"/>
        </a:xfrm>
        <a:prstGeom prst="rect">
          <a:avLst/>
        </a:prstGeom>
      </xdr:spPr>
    </xdr:pic>
    <xdr:clientData/>
  </xdr:twoCellAnchor>
  <xdr:twoCellAnchor editAs="oneCell">
    <xdr:from>
      <xdr:col>16</xdr:col>
      <xdr:colOff>232554</xdr:colOff>
      <xdr:row>81</xdr:row>
      <xdr:rowOff>130610</xdr:rowOff>
    </xdr:from>
    <xdr:to>
      <xdr:col>32</xdr:col>
      <xdr:colOff>536863</xdr:colOff>
      <xdr:row>122</xdr:row>
      <xdr:rowOff>49308</xdr:rowOff>
    </xdr:to>
    <xdr:pic>
      <xdr:nvPicPr>
        <xdr:cNvPr id="15" name="Picture 14" descr="sa_EWG_CapeLookout_marmap.png"/>
        <xdr:cNvPicPr>
          <a:picLocks noChangeAspect="1"/>
        </xdr:cNvPicPr>
      </xdr:nvPicPr>
      <xdr:blipFill>
        <a:blip xmlns:r="http://schemas.openxmlformats.org/officeDocument/2006/relationships" r:embed="rId8" cstate="email"/>
        <a:stretch>
          <a:fillRect/>
        </a:stretch>
      </xdr:blipFill>
      <xdr:spPr>
        <a:xfrm>
          <a:off x="9930736" y="30610610"/>
          <a:ext cx="10002491" cy="7729198"/>
        </a:xfrm>
        <a:prstGeom prst="rect">
          <a:avLst/>
        </a:prstGeom>
      </xdr:spPr>
    </xdr:pic>
    <xdr:clientData/>
  </xdr:twoCellAnchor>
  <xdr:twoCellAnchor editAs="oneCell">
    <xdr:from>
      <xdr:col>0</xdr:col>
      <xdr:colOff>0</xdr:colOff>
      <xdr:row>123</xdr:row>
      <xdr:rowOff>0</xdr:rowOff>
    </xdr:from>
    <xdr:to>
      <xdr:col>26</xdr:col>
      <xdr:colOff>573741</xdr:colOff>
      <xdr:row>173</xdr:row>
      <xdr:rowOff>161925</xdr:rowOff>
    </xdr:to>
    <xdr:pic>
      <xdr:nvPicPr>
        <xdr:cNvPr id="16" name="Picture 15" descr="NorthernSCExt_3d.jpg"/>
        <xdr:cNvPicPr>
          <a:picLocks noChangeAspect="1"/>
        </xdr:cNvPicPr>
      </xdr:nvPicPr>
      <xdr:blipFill>
        <a:blip xmlns:r="http://schemas.openxmlformats.org/officeDocument/2006/relationships" r:embed="rId9" cstate="email"/>
        <a:stretch>
          <a:fillRect/>
        </a:stretch>
      </xdr:blipFill>
      <xdr:spPr>
        <a:xfrm>
          <a:off x="0" y="38481000"/>
          <a:ext cx="16306800" cy="9686925"/>
        </a:xfrm>
        <a:prstGeom prst="rect">
          <a:avLst/>
        </a:prstGeom>
      </xdr:spPr>
    </xdr:pic>
    <xdr:clientData/>
  </xdr:twoCellAnchor>
  <xdr:twoCellAnchor>
    <xdr:from>
      <xdr:col>21</xdr:col>
      <xdr:colOff>0</xdr:colOff>
      <xdr:row>123</xdr:row>
      <xdr:rowOff>0</xdr:rowOff>
    </xdr:from>
    <xdr:to>
      <xdr:col>27</xdr:col>
      <xdr:colOff>6113</xdr:colOff>
      <xdr:row>129</xdr:row>
      <xdr:rowOff>0</xdr:rowOff>
    </xdr:to>
    <xdr:sp macro="" textlink="">
      <xdr:nvSpPr>
        <xdr:cNvPr id="17" name="TextBox 16"/>
        <xdr:cNvSpPr txBox="1"/>
      </xdr:nvSpPr>
      <xdr:spPr>
        <a:xfrm>
          <a:off x="12707471" y="38481000"/>
          <a:ext cx="3636818"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t>NORTHERN</a:t>
          </a:r>
          <a:r>
            <a:rPr lang="en-US" sz="2400" b="1" baseline="0"/>
            <a:t> SC MPA + EXTENSION</a:t>
          </a:r>
          <a:endParaRPr lang="en-US" sz="2400" b="1"/>
        </a:p>
      </xdr:txBody>
    </xdr:sp>
    <xdr:clientData/>
  </xdr:twoCellAnchor>
  <xdr:twoCellAnchor editAs="oneCell">
    <xdr:from>
      <xdr:col>0</xdr:col>
      <xdr:colOff>0</xdr:colOff>
      <xdr:row>174</xdr:row>
      <xdr:rowOff>0</xdr:rowOff>
    </xdr:from>
    <xdr:to>
      <xdr:col>27</xdr:col>
      <xdr:colOff>16249</xdr:colOff>
      <xdr:row>224</xdr:row>
      <xdr:rowOff>180975</xdr:rowOff>
    </xdr:to>
    <xdr:pic>
      <xdr:nvPicPr>
        <xdr:cNvPr id="18" name="Picture 17" descr="DevilsHole3.jpg"/>
        <xdr:cNvPicPr>
          <a:picLocks noChangeAspect="1"/>
        </xdr:cNvPicPr>
      </xdr:nvPicPr>
      <xdr:blipFill>
        <a:blip xmlns:r="http://schemas.openxmlformats.org/officeDocument/2006/relationships" r:embed="rId10" cstate="email"/>
        <a:stretch>
          <a:fillRect/>
        </a:stretch>
      </xdr:blipFill>
      <xdr:spPr>
        <a:xfrm>
          <a:off x="0" y="48196500"/>
          <a:ext cx="16354425" cy="9705975"/>
        </a:xfrm>
        <a:prstGeom prst="rect">
          <a:avLst/>
        </a:prstGeom>
      </xdr:spPr>
    </xdr:pic>
    <xdr:clientData/>
  </xdr:twoCellAnchor>
  <xdr:twoCellAnchor>
    <xdr:from>
      <xdr:col>21</xdr:col>
      <xdr:colOff>0</xdr:colOff>
      <xdr:row>174</xdr:row>
      <xdr:rowOff>0</xdr:rowOff>
    </xdr:from>
    <xdr:to>
      <xdr:col>27</xdr:col>
      <xdr:colOff>6113</xdr:colOff>
      <xdr:row>180</xdr:row>
      <xdr:rowOff>0</xdr:rowOff>
    </xdr:to>
    <xdr:sp macro="" textlink="">
      <xdr:nvSpPr>
        <xdr:cNvPr id="19" name="TextBox 18"/>
        <xdr:cNvSpPr txBox="1"/>
      </xdr:nvSpPr>
      <xdr:spPr>
        <a:xfrm>
          <a:off x="12707471" y="48196500"/>
          <a:ext cx="3636818"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t>DEVIL'S</a:t>
          </a:r>
          <a:r>
            <a:rPr lang="en-US" sz="2400" b="1" baseline="0"/>
            <a:t> HOLE</a:t>
          </a:r>
          <a:endParaRPr lang="en-US" sz="2400" b="1"/>
        </a:p>
      </xdr:txBody>
    </xdr:sp>
    <xdr:clientData/>
  </xdr:twoCellAnchor>
  <xdr:twoCellAnchor editAs="oneCell">
    <xdr:from>
      <xdr:col>33</xdr:col>
      <xdr:colOff>190500</xdr:colOff>
      <xdr:row>225</xdr:row>
      <xdr:rowOff>91291</xdr:rowOff>
    </xdr:from>
    <xdr:to>
      <xdr:col>49</xdr:col>
      <xdr:colOff>566528</xdr:colOff>
      <xdr:row>266</xdr:row>
      <xdr:rowOff>52812</xdr:rowOff>
    </xdr:to>
    <xdr:pic>
      <xdr:nvPicPr>
        <xdr:cNvPr id="20" name="Picture 19" descr="sa_EWG_noaacharts_Edisto.png"/>
        <xdr:cNvPicPr>
          <a:picLocks noChangeAspect="1"/>
        </xdr:cNvPicPr>
      </xdr:nvPicPr>
      <xdr:blipFill>
        <a:blip xmlns:r="http://schemas.openxmlformats.org/officeDocument/2006/relationships" r:embed="rId11" cstate="print"/>
        <a:stretch>
          <a:fillRect/>
        </a:stretch>
      </xdr:blipFill>
      <xdr:spPr>
        <a:xfrm>
          <a:off x="20621625" y="58003291"/>
          <a:ext cx="10282028" cy="7772021"/>
        </a:xfrm>
        <a:prstGeom prst="rect">
          <a:avLst/>
        </a:prstGeom>
      </xdr:spPr>
    </xdr:pic>
    <xdr:clientData/>
  </xdr:twoCellAnchor>
  <xdr:twoCellAnchor editAs="oneCell">
    <xdr:from>
      <xdr:col>0</xdr:col>
      <xdr:colOff>102375</xdr:colOff>
      <xdr:row>225</xdr:row>
      <xdr:rowOff>91291</xdr:rowOff>
    </xdr:from>
    <xdr:to>
      <xdr:col>16</xdr:col>
      <xdr:colOff>478403</xdr:colOff>
      <xdr:row>266</xdr:row>
      <xdr:rowOff>52812</xdr:rowOff>
    </xdr:to>
    <xdr:pic>
      <xdr:nvPicPr>
        <xdr:cNvPr id="21" name="Picture 20" descr="sa_EWG_noaacharts_NorthernSC.png"/>
        <xdr:cNvPicPr>
          <a:picLocks noChangeAspect="1"/>
        </xdr:cNvPicPr>
      </xdr:nvPicPr>
      <xdr:blipFill>
        <a:blip xmlns:r="http://schemas.openxmlformats.org/officeDocument/2006/relationships" r:embed="rId12" cstate="print"/>
        <a:stretch>
          <a:fillRect/>
        </a:stretch>
      </xdr:blipFill>
      <xdr:spPr>
        <a:xfrm>
          <a:off x="102375" y="58003291"/>
          <a:ext cx="10282028" cy="7772021"/>
        </a:xfrm>
        <a:prstGeom prst="rect">
          <a:avLst/>
        </a:prstGeom>
      </xdr:spPr>
    </xdr:pic>
    <xdr:clientData/>
  </xdr:twoCellAnchor>
  <xdr:twoCellAnchor editAs="oneCell">
    <xdr:from>
      <xdr:col>16</xdr:col>
      <xdr:colOff>456000</xdr:colOff>
      <xdr:row>225</xdr:row>
      <xdr:rowOff>91291</xdr:rowOff>
    </xdr:from>
    <xdr:to>
      <xdr:col>33</xdr:col>
      <xdr:colOff>212903</xdr:colOff>
      <xdr:row>266</xdr:row>
      <xdr:rowOff>52812</xdr:rowOff>
    </xdr:to>
    <xdr:pic>
      <xdr:nvPicPr>
        <xdr:cNvPr id="22" name="Picture 21" descr="sa_EWG_noaacharts_DevilsHole.png"/>
        <xdr:cNvPicPr>
          <a:picLocks noChangeAspect="1"/>
        </xdr:cNvPicPr>
      </xdr:nvPicPr>
      <xdr:blipFill>
        <a:blip xmlns:r="http://schemas.openxmlformats.org/officeDocument/2006/relationships" r:embed="rId13" cstate="print"/>
        <a:stretch>
          <a:fillRect/>
        </a:stretch>
      </xdr:blipFill>
      <xdr:spPr>
        <a:xfrm>
          <a:off x="10362000" y="58003291"/>
          <a:ext cx="10282028" cy="77720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16</xdr:col>
      <xdr:colOff>304309</xdr:colOff>
      <xdr:row>81</xdr:row>
      <xdr:rowOff>109198</xdr:rowOff>
    </xdr:to>
    <xdr:pic>
      <xdr:nvPicPr>
        <xdr:cNvPr id="3" name="Picture 2" descr="sa_EWG_780Bottom_marmap.png"/>
        <xdr:cNvPicPr>
          <a:picLocks noChangeAspect="1"/>
        </xdr:cNvPicPr>
      </xdr:nvPicPr>
      <xdr:blipFill>
        <a:blip xmlns:r="http://schemas.openxmlformats.org/officeDocument/2006/relationships" r:embed="rId1" cstate="email"/>
        <a:stretch>
          <a:fillRect/>
        </a:stretch>
      </xdr:blipFill>
      <xdr:spPr>
        <a:xfrm>
          <a:off x="0" y="22860000"/>
          <a:ext cx="10101452" cy="7729198"/>
        </a:xfrm>
        <a:prstGeom prst="rect">
          <a:avLst/>
        </a:prstGeom>
      </xdr:spPr>
    </xdr:pic>
    <xdr:clientData/>
  </xdr:twoCellAnchor>
  <xdr:twoCellAnchor editAs="oneCell">
    <xdr:from>
      <xdr:col>0</xdr:col>
      <xdr:colOff>0</xdr:colOff>
      <xdr:row>0</xdr:row>
      <xdr:rowOff>59890</xdr:rowOff>
    </xdr:from>
    <xdr:to>
      <xdr:col>16</xdr:col>
      <xdr:colOff>304309</xdr:colOff>
      <xdr:row>40</xdr:row>
      <xdr:rowOff>169088</xdr:rowOff>
    </xdr:to>
    <xdr:pic>
      <xdr:nvPicPr>
        <xdr:cNvPr id="5" name="Picture 4" descr="sa_EWG_780Bottom_pts.png"/>
        <xdr:cNvPicPr>
          <a:picLocks noChangeAspect="1"/>
        </xdr:cNvPicPr>
      </xdr:nvPicPr>
      <xdr:blipFill>
        <a:blip xmlns:r="http://schemas.openxmlformats.org/officeDocument/2006/relationships" r:embed="rId2" cstate="email"/>
        <a:stretch>
          <a:fillRect/>
        </a:stretch>
      </xdr:blipFill>
      <xdr:spPr>
        <a:xfrm>
          <a:off x="0" y="59890"/>
          <a:ext cx="10002491" cy="7729198"/>
        </a:xfrm>
        <a:prstGeom prst="rect">
          <a:avLst/>
        </a:prstGeom>
      </xdr:spPr>
    </xdr:pic>
    <xdr:clientData/>
  </xdr:twoCellAnchor>
  <xdr:twoCellAnchor editAs="oneCell">
    <xdr:from>
      <xdr:col>16</xdr:col>
      <xdr:colOff>222562</xdr:colOff>
      <xdr:row>41</xdr:row>
      <xdr:rowOff>0</xdr:rowOff>
    </xdr:from>
    <xdr:to>
      <xdr:col>32</xdr:col>
      <xdr:colOff>526871</xdr:colOff>
      <xdr:row>81</xdr:row>
      <xdr:rowOff>109198</xdr:rowOff>
    </xdr:to>
    <xdr:pic>
      <xdr:nvPicPr>
        <xdr:cNvPr id="7" name="Picture 6" descr="sa_EWG_CapeLookout_marmap.png"/>
        <xdr:cNvPicPr>
          <a:picLocks noChangeAspect="1"/>
        </xdr:cNvPicPr>
      </xdr:nvPicPr>
      <xdr:blipFill>
        <a:blip xmlns:r="http://schemas.openxmlformats.org/officeDocument/2006/relationships" r:embed="rId3" cstate="email"/>
        <a:stretch>
          <a:fillRect/>
        </a:stretch>
      </xdr:blipFill>
      <xdr:spPr>
        <a:xfrm>
          <a:off x="10019705" y="22860000"/>
          <a:ext cx="10101452" cy="7729198"/>
        </a:xfrm>
        <a:prstGeom prst="rect">
          <a:avLst/>
        </a:prstGeom>
      </xdr:spPr>
    </xdr:pic>
    <xdr:clientData/>
  </xdr:twoCellAnchor>
  <xdr:twoCellAnchor editAs="oneCell">
    <xdr:from>
      <xdr:col>16</xdr:col>
      <xdr:colOff>152645</xdr:colOff>
      <xdr:row>0</xdr:row>
      <xdr:rowOff>21411</xdr:rowOff>
    </xdr:from>
    <xdr:to>
      <xdr:col>32</xdr:col>
      <xdr:colOff>456954</xdr:colOff>
      <xdr:row>40</xdr:row>
      <xdr:rowOff>130609</xdr:rowOff>
    </xdr:to>
    <xdr:pic>
      <xdr:nvPicPr>
        <xdr:cNvPr id="9" name="Picture 8" descr="sa_EWG_CapeLookout_pts.png"/>
        <xdr:cNvPicPr>
          <a:picLocks noChangeAspect="1"/>
        </xdr:cNvPicPr>
      </xdr:nvPicPr>
      <xdr:blipFill>
        <a:blip xmlns:r="http://schemas.openxmlformats.org/officeDocument/2006/relationships" r:embed="rId4" cstate="email"/>
        <a:stretch>
          <a:fillRect/>
        </a:stretch>
      </xdr:blipFill>
      <xdr:spPr>
        <a:xfrm>
          <a:off x="9850827" y="21411"/>
          <a:ext cx="10002491" cy="7729198"/>
        </a:xfrm>
        <a:prstGeom prst="rect">
          <a:avLst/>
        </a:prstGeom>
      </xdr:spPr>
    </xdr:pic>
    <xdr:clientData/>
  </xdr:twoCellAnchor>
  <xdr:twoCellAnchor editAs="oneCell">
    <xdr:from>
      <xdr:col>0</xdr:col>
      <xdr:colOff>0</xdr:colOff>
      <xdr:row>81</xdr:row>
      <xdr:rowOff>122786</xdr:rowOff>
    </xdr:from>
    <xdr:to>
      <xdr:col>16</xdr:col>
      <xdr:colOff>260767</xdr:colOff>
      <xdr:row>122</xdr:row>
      <xdr:rowOff>84307</xdr:rowOff>
    </xdr:to>
    <xdr:pic>
      <xdr:nvPicPr>
        <xdr:cNvPr id="11" name="Picture 10" descr="sa_EWG_noaacharts_Georgia.png"/>
        <xdr:cNvPicPr>
          <a:picLocks noChangeAspect="1"/>
        </xdr:cNvPicPr>
      </xdr:nvPicPr>
      <xdr:blipFill>
        <a:blip xmlns:r="http://schemas.openxmlformats.org/officeDocument/2006/relationships" r:embed="rId5" cstate="print"/>
        <a:stretch>
          <a:fillRect/>
        </a:stretch>
      </xdr:blipFill>
      <xdr:spPr>
        <a:xfrm>
          <a:off x="0" y="30602786"/>
          <a:ext cx="10057910" cy="7772021"/>
        </a:xfrm>
        <a:prstGeom prst="rect">
          <a:avLst/>
        </a:prstGeom>
      </xdr:spPr>
    </xdr:pic>
    <xdr:clientData/>
  </xdr:twoCellAnchor>
  <xdr:twoCellAnchor editAs="oneCell">
    <xdr:from>
      <xdr:col>16</xdr:col>
      <xdr:colOff>222562</xdr:colOff>
      <xdr:row>81</xdr:row>
      <xdr:rowOff>122786</xdr:rowOff>
    </xdr:from>
    <xdr:to>
      <xdr:col>32</xdr:col>
      <xdr:colOff>483329</xdr:colOff>
      <xdr:row>122</xdr:row>
      <xdr:rowOff>84307</xdr:rowOff>
    </xdr:to>
    <xdr:pic>
      <xdr:nvPicPr>
        <xdr:cNvPr id="12" name="Picture 11" descr="sa_EWG_noaacharts_StSimons.png"/>
        <xdr:cNvPicPr>
          <a:picLocks noChangeAspect="1"/>
        </xdr:cNvPicPr>
      </xdr:nvPicPr>
      <xdr:blipFill>
        <a:blip xmlns:r="http://schemas.openxmlformats.org/officeDocument/2006/relationships" r:embed="rId6" cstate="print"/>
        <a:stretch>
          <a:fillRect/>
        </a:stretch>
      </xdr:blipFill>
      <xdr:spPr>
        <a:xfrm>
          <a:off x="10019705" y="30602786"/>
          <a:ext cx="10057910" cy="77720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156205</xdr:colOff>
      <xdr:row>0</xdr:row>
      <xdr:rowOff>41990</xdr:rowOff>
    </xdr:from>
    <xdr:to>
      <xdr:col>32</xdr:col>
      <xdr:colOff>457050</xdr:colOff>
      <xdr:row>40</xdr:row>
      <xdr:rowOff>148511</xdr:rowOff>
    </xdr:to>
    <xdr:pic>
      <xdr:nvPicPr>
        <xdr:cNvPr id="2" name="Picture 1" descr="sa_EWG_SouthernNC_pts.png"/>
        <xdr:cNvPicPr>
          <a:picLocks noChangeAspect="1"/>
        </xdr:cNvPicPr>
      </xdr:nvPicPr>
      <xdr:blipFill>
        <a:blip xmlns:r="http://schemas.openxmlformats.org/officeDocument/2006/relationships" r:embed="rId1" cstate="email"/>
        <a:stretch>
          <a:fillRect/>
        </a:stretch>
      </xdr:blipFill>
      <xdr:spPr>
        <a:xfrm>
          <a:off x="9854387" y="41990"/>
          <a:ext cx="9999027" cy="7726521"/>
        </a:xfrm>
        <a:prstGeom prst="rect">
          <a:avLst/>
        </a:prstGeom>
      </xdr:spPr>
    </xdr:pic>
    <xdr:clientData/>
  </xdr:twoCellAnchor>
  <xdr:twoCellAnchor editAs="oneCell">
    <xdr:from>
      <xdr:col>0</xdr:col>
      <xdr:colOff>0</xdr:colOff>
      <xdr:row>41</xdr:row>
      <xdr:rowOff>0</xdr:rowOff>
    </xdr:from>
    <xdr:to>
      <xdr:col>16</xdr:col>
      <xdr:colOff>304309</xdr:colOff>
      <xdr:row>81</xdr:row>
      <xdr:rowOff>109198</xdr:rowOff>
    </xdr:to>
    <xdr:pic>
      <xdr:nvPicPr>
        <xdr:cNvPr id="3" name="Picture 2" descr="sa_EWG_780Bottom_marmap.png"/>
        <xdr:cNvPicPr>
          <a:picLocks noChangeAspect="1"/>
        </xdr:cNvPicPr>
      </xdr:nvPicPr>
      <xdr:blipFill>
        <a:blip xmlns:r="http://schemas.openxmlformats.org/officeDocument/2006/relationships" r:embed="rId2" cstate="email"/>
        <a:stretch>
          <a:fillRect/>
        </a:stretch>
      </xdr:blipFill>
      <xdr:spPr>
        <a:xfrm>
          <a:off x="0" y="22860000"/>
          <a:ext cx="9986191" cy="7729198"/>
        </a:xfrm>
        <a:prstGeom prst="rect">
          <a:avLst/>
        </a:prstGeom>
      </xdr:spPr>
    </xdr:pic>
    <xdr:clientData/>
  </xdr:twoCellAnchor>
  <xdr:twoCellAnchor editAs="oneCell">
    <xdr:from>
      <xdr:col>0</xdr:col>
      <xdr:colOff>0</xdr:colOff>
      <xdr:row>0</xdr:row>
      <xdr:rowOff>0</xdr:rowOff>
    </xdr:from>
    <xdr:to>
      <xdr:col>16</xdr:col>
      <xdr:colOff>304309</xdr:colOff>
      <xdr:row>40</xdr:row>
      <xdr:rowOff>109198</xdr:rowOff>
    </xdr:to>
    <xdr:pic>
      <xdr:nvPicPr>
        <xdr:cNvPr id="5" name="Picture 4" descr="sa_EWG_780Bottom_pts.png"/>
        <xdr:cNvPicPr>
          <a:picLocks noChangeAspect="1"/>
        </xdr:cNvPicPr>
      </xdr:nvPicPr>
      <xdr:blipFill>
        <a:blip xmlns:r="http://schemas.openxmlformats.org/officeDocument/2006/relationships" r:embed="rId3" cstate="email"/>
        <a:stretch>
          <a:fillRect/>
        </a:stretch>
      </xdr:blipFill>
      <xdr:spPr>
        <a:xfrm>
          <a:off x="0" y="0"/>
          <a:ext cx="10002491" cy="7729198"/>
        </a:xfrm>
        <a:prstGeom prst="rect">
          <a:avLst/>
        </a:prstGeom>
      </xdr:spPr>
    </xdr:pic>
    <xdr:clientData/>
  </xdr:twoCellAnchor>
  <xdr:twoCellAnchor editAs="oneCell">
    <xdr:from>
      <xdr:col>32</xdr:col>
      <xdr:colOff>197919</xdr:colOff>
      <xdr:row>41</xdr:row>
      <xdr:rowOff>0</xdr:rowOff>
    </xdr:from>
    <xdr:to>
      <xdr:col>48</xdr:col>
      <xdr:colOff>502229</xdr:colOff>
      <xdr:row>81</xdr:row>
      <xdr:rowOff>109198</xdr:rowOff>
    </xdr:to>
    <xdr:pic>
      <xdr:nvPicPr>
        <xdr:cNvPr id="7" name="Picture 6" descr="sa_EWG_CapeLookout_marmap.png"/>
        <xdr:cNvPicPr>
          <a:picLocks noChangeAspect="1"/>
        </xdr:cNvPicPr>
      </xdr:nvPicPr>
      <xdr:blipFill>
        <a:blip xmlns:r="http://schemas.openxmlformats.org/officeDocument/2006/relationships" r:embed="rId4" cstate="email"/>
        <a:stretch>
          <a:fillRect/>
        </a:stretch>
      </xdr:blipFill>
      <xdr:spPr>
        <a:xfrm>
          <a:off x="19561684" y="22860000"/>
          <a:ext cx="9986192" cy="7729198"/>
        </a:xfrm>
        <a:prstGeom prst="rect">
          <a:avLst/>
        </a:prstGeom>
      </xdr:spPr>
    </xdr:pic>
    <xdr:clientData/>
  </xdr:twoCellAnchor>
  <xdr:twoCellAnchor editAs="oneCell">
    <xdr:from>
      <xdr:col>32</xdr:col>
      <xdr:colOff>145320</xdr:colOff>
      <xdr:row>0</xdr:row>
      <xdr:rowOff>0</xdr:rowOff>
    </xdr:from>
    <xdr:to>
      <xdr:col>48</xdr:col>
      <xdr:colOff>449630</xdr:colOff>
      <xdr:row>40</xdr:row>
      <xdr:rowOff>109198</xdr:rowOff>
    </xdr:to>
    <xdr:pic>
      <xdr:nvPicPr>
        <xdr:cNvPr id="9" name="Picture 8" descr="sa_EWG_CapeLookout_pts.png"/>
        <xdr:cNvPicPr>
          <a:picLocks noChangeAspect="1"/>
        </xdr:cNvPicPr>
      </xdr:nvPicPr>
      <xdr:blipFill>
        <a:blip xmlns:r="http://schemas.openxmlformats.org/officeDocument/2006/relationships" r:embed="rId5" cstate="email"/>
        <a:stretch>
          <a:fillRect/>
        </a:stretch>
      </xdr:blipFill>
      <xdr:spPr>
        <a:xfrm>
          <a:off x="19541684" y="0"/>
          <a:ext cx="10002491" cy="7729198"/>
        </a:xfrm>
        <a:prstGeom prst="rect">
          <a:avLst/>
        </a:prstGeom>
      </xdr:spPr>
    </xdr:pic>
    <xdr:clientData/>
  </xdr:twoCellAnchor>
  <xdr:twoCellAnchor editAs="oneCell">
    <xdr:from>
      <xdr:col>16</xdr:col>
      <xdr:colOff>210353</xdr:colOff>
      <xdr:row>41</xdr:row>
      <xdr:rowOff>42740</xdr:rowOff>
    </xdr:from>
    <xdr:to>
      <xdr:col>32</xdr:col>
      <xdr:colOff>501673</xdr:colOff>
      <xdr:row>81</xdr:row>
      <xdr:rowOff>141901</xdr:rowOff>
    </xdr:to>
    <xdr:pic>
      <xdr:nvPicPr>
        <xdr:cNvPr id="11" name="Picture 10" descr="sa_EWG_SnowyWreck_marmap.png"/>
        <xdr:cNvPicPr>
          <a:picLocks noChangeAspect="1"/>
        </xdr:cNvPicPr>
      </xdr:nvPicPr>
      <xdr:blipFill>
        <a:blip xmlns:r="http://schemas.openxmlformats.org/officeDocument/2006/relationships" r:embed="rId6" cstate="email"/>
        <a:stretch>
          <a:fillRect/>
        </a:stretch>
      </xdr:blipFill>
      <xdr:spPr>
        <a:xfrm>
          <a:off x="9892235" y="22902740"/>
          <a:ext cx="9973203" cy="7719161"/>
        </a:xfrm>
        <a:prstGeom prst="rect">
          <a:avLst/>
        </a:prstGeom>
      </xdr:spPr>
    </xdr:pic>
    <xdr:clientData/>
  </xdr:twoCellAnchor>
  <xdr:twoCellAnchor editAs="oneCell">
    <xdr:from>
      <xdr:col>32</xdr:col>
      <xdr:colOff>197919</xdr:colOff>
      <xdr:row>80</xdr:row>
      <xdr:rowOff>127589</xdr:rowOff>
    </xdr:from>
    <xdr:to>
      <xdr:col>48</xdr:col>
      <xdr:colOff>573947</xdr:colOff>
      <xdr:row>121</xdr:row>
      <xdr:rowOff>89110</xdr:rowOff>
    </xdr:to>
    <xdr:pic>
      <xdr:nvPicPr>
        <xdr:cNvPr id="14" name="Picture 13" descr="sa_EWG_noaacharts_Daytona.png"/>
        <xdr:cNvPicPr>
          <a:picLocks noChangeAspect="1"/>
        </xdr:cNvPicPr>
      </xdr:nvPicPr>
      <xdr:blipFill>
        <a:blip xmlns:r="http://schemas.openxmlformats.org/officeDocument/2006/relationships" r:embed="rId7" cstate="print"/>
        <a:stretch>
          <a:fillRect/>
        </a:stretch>
      </xdr:blipFill>
      <xdr:spPr>
        <a:xfrm>
          <a:off x="19561684" y="30417089"/>
          <a:ext cx="10057910" cy="7772021"/>
        </a:xfrm>
        <a:prstGeom prst="rect">
          <a:avLst/>
        </a:prstGeom>
      </xdr:spPr>
    </xdr:pic>
    <xdr:clientData/>
  </xdr:twoCellAnchor>
  <xdr:twoCellAnchor editAs="oneCell">
    <xdr:from>
      <xdr:col>0</xdr:col>
      <xdr:colOff>0</xdr:colOff>
      <xdr:row>80</xdr:row>
      <xdr:rowOff>127589</xdr:rowOff>
    </xdr:from>
    <xdr:to>
      <xdr:col>16</xdr:col>
      <xdr:colOff>376028</xdr:colOff>
      <xdr:row>121</xdr:row>
      <xdr:rowOff>89110</xdr:rowOff>
    </xdr:to>
    <xdr:pic>
      <xdr:nvPicPr>
        <xdr:cNvPr id="15" name="Picture 14" descr="sa_EWG_noaacharts_NorthFlorida.png"/>
        <xdr:cNvPicPr>
          <a:picLocks noChangeAspect="1"/>
        </xdr:cNvPicPr>
      </xdr:nvPicPr>
      <xdr:blipFill>
        <a:blip xmlns:r="http://schemas.openxmlformats.org/officeDocument/2006/relationships" r:embed="rId8" cstate="print"/>
        <a:stretch>
          <a:fillRect/>
        </a:stretch>
      </xdr:blipFill>
      <xdr:spPr>
        <a:xfrm>
          <a:off x="0" y="30417089"/>
          <a:ext cx="10057910" cy="7772021"/>
        </a:xfrm>
        <a:prstGeom prst="rect">
          <a:avLst/>
        </a:prstGeom>
      </xdr:spPr>
    </xdr:pic>
    <xdr:clientData/>
  </xdr:twoCellAnchor>
  <xdr:twoCellAnchor editAs="oneCell">
    <xdr:from>
      <xdr:col>16</xdr:col>
      <xdr:colOff>210353</xdr:colOff>
      <xdr:row>80</xdr:row>
      <xdr:rowOff>127589</xdr:rowOff>
    </xdr:from>
    <xdr:to>
      <xdr:col>32</xdr:col>
      <xdr:colOff>586380</xdr:colOff>
      <xdr:row>121</xdr:row>
      <xdr:rowOff>89110</xdr:rowOff>
    </xdr:to>
    <xdr:pic>
      <xdr:nvPicPr>
        <xdr:cNvPr id="16" name="Picture 15" descr="sa_EWG_noaacharts_StAugustine.png"/>
        <xdr:cNvPicPr>
          <a:picLocks noChangeAspect="1"/>
        </xdr:cNvPicPr>
      </xdr:nvPicPr>
      <xdr:blipFill>
        <a:blip xmlns:r="http://schemas.openxmlformats.org/officeDocument/2006/relationships" r:embed="rId9" cstate="print"/>
        <a:stretch>
          <a:fillRect/>
        </a:stretch>
      </xdr:blipFill>
      <xdr:spPr>
        <a:xfrm>
          <a:off x="9892235" y="30417089"/>
          <a:ext cx="10057910" cy="77720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40</xdr:row>
      <xdr:rowOff>166687</xdr:rowOff>
    </xdr:from>
    <xdr:to>
      <xdr:col>16</xdr:col>
      <xdr:colOff>304309</xdr:colOff>
      <xdr:row>81</xdr:row>
      <xdr:rowOff>85385</xdr:rowOff>
    </xdr:to>
    <xdr:pic>
      <xdr:nvPicPr>
        <xdr:cNvPr id="3" name="Picture 2" descr="sa_EWG_780Bottom_marmap.png"/>
        <xdr:cNvPicPr>
          <a:picLocks noChangeAspect="1"/>
        </xdr:cNvPicPr>
      </xdr:nvPicPr>
      <xdr:blipFill>
        <a:blip xmlns:r="http://schemas.openxmlformats.org/officeDocument/2006/relationships" r:embed="rId1" cstate="email"/>
        <a:stretch>
          <a:fillRect/>
        </a:stretch>
      </xdr:blipFill>
      <xdr:spPr>
        <a:xfrm>
          <a:off x="0" y="7786687"/>
          <a:ext cx="10210309" cy="7729198"/>
        </a:xfrm>
        <a:prstGeom prst="rect">
          <a:avLst/>
        </a:prstGeom>
      </xdr:spPr>
    </xdr:pic>
    <xdr:clientData/>
  </xdr:twoCellAnchor>
  <xdr:twoCellAnchor editAs="oneCell">
    <xdr:from>
      <xdr:col>0</xdr:col>
      <xdr:colOff>0</xdr:colOff>
      <xdr:row>0</xdr:row>
      <xdr:rowOff>59890</xdr:rowOff>
    </xdr:from>
    <xdr:to>
      <xdr:col>16</xdr:col>
      <xdr:colOff>304309</xdr:colOff>
      <xdr:row>40</xdr:row>
      <xdr:rowOff>169088</xdr:rowOff>
    </xdr:to>
    <xdr:pic>
      <xdr:nvPicPr>
        <xdr:cNvPr id="5" name="Picture 4" descr="sa_EWG_780Bottom_pts.png"/>
        <xdr:cNvPicPr>
          <a:picLocks noChangeAspect="1"/>
        </xdr:cNvPicPr>
      </xdr:nvPicPr>
      <xdr:blipFill>
        <a:blip xmlns:r="http://schemas.openxmlformats.org/officeDocument/2006/relationships" r:embed="rId2" cstate="email"/>
        <a:stretch>
          <a:fillRect/>
        </a:stretch>
      </xdr:blipFill>
      <xdr:spPr>
        <a:xfrm>
          <a:off x="0" y="59890"/>
          <a:ext cx="10002491" cy="7729198"/>
        </a:xfrm>
        <a:prstGeom prst="rect">
          <a:avLst/>
        </a:prstGeom>
      </xdr:spPr>
    </xdr:pic>
    <xdr:clientData/>
  </xdr:twoCellAnchor>
  <xdr:twoCellAnchor editAs="oneCell">
    <xdr:from>
      <xdr:col>16</xdr:col>
      <xdr:colOff>202432</xdr:colOff>
      <xdr:row>40</xdr:row>
      <xdr:rowOff>21411</xdr:rowOff>
    </xdr:from>
    <xdr:to>
      <xdr:col>32</xdr:col>
      <xdr:colOff>506741</xdr:colOff>
      <xdr:row>80</xdr:row>
      <xdr:rowOff>130609</xdr:rowOff>
    </xdr:to>
    <xdr:pic>
      <xdr:nvPicPr>
        <xdr:cNvPr id="8" name="Picture 7" descr="sa_EWG_CapeLookout_pSH.png"/>
        <xdr:cNvPicPr>
          <a:picLocks noChangeAspect="1"/>
        </xdr:cNvPicPr>
      </xdr:nvPicPr>
      <xdr:blipFill>
        <a:blip xmlns:r="http://schemas.openxmlformats.org/officeDocument/2006/relationships" r:embed="rId3" cstate="email"/>
        <a:stretch>
          <a:fillRect/>
        </a:stretch>
      </xdr:blipFill>
      <xdr:spPr>
        <a:xfrm>
          <a:off x="9900614" y="7641411"/>
          <a:ext cx="10002491" cy="7729198"/>
        </a:xfrm>
        <a:prstGeom prst="rect">
          <a:avLst/>
        </a:prstGeom>
      </xdr:spPr>
    </xdr:pic>
    <xdr:clientData/>
  </xdr:twoCellAnchor>
  <xdr:twoCellAnchor editAs="oneCell">
    <xdr:from>
      <xdr:col>16</xdr:col>
      <xdr:colOff>152645</xdr:colOff>
      <xdr:row>0</xdr:row>
      <xdr:rowOff>21411</xdr:rowOff>
    </xdr:from>
    <xdr:to>
      <xdr:col>32</xdr:col>
      <xdr:colOff>456954</xdr:colOff>
      <xdr:row>40</xdr:row>
      <xdr:rowOff>130609</xdr:rowOff>
    </xdr:to>
    <xdr:pic>
      <xdr:nvPicPr>
        <xdr:cNvPr id="9" name="Picture 8" descr="sa_EWG_CapeLookout_pts.png"/>
        <xdr:cNvPicPr>
          <a:picLocks noChangeAspect="1"/>
        </xdr:cNvPicPr>
      </xdr:nvPicPr>
      <xdr:blipFill>
        <a:blip xmlns:r="http://schemas.openxmlformats.org/officeDocument/2006/relationships" r:embed="rId4" cstate="email"/>
        <a:stretch>
          <a:fillRect/>
        </a:stretch>
      </xdr:blipFill>
      <xdr:spPr>
        <a:xfrm>
          <a:off x="9850827" y="21411"/>
          <a:ext cx="10002491" cy="7729198"/>
        </a:xfrm>
        <a:prstGeom prst="rect">
          <a:avLst/>
        </a:prstGeom>
      </xdr:spPr>
    </xdr:pic>
    <xdr:clientData/>
  </xdr:twoCellAnchor>
  <xdr:twoCellAnchor editAs="oneCell">
    <xdr:from>
      <xdr:col>17</xdr:col>
      <xdr:colOff>0</xdr:colOff>
      <xdr:row>83</xdr:row>
      <xdr:rowOff>0</xdr:rowOff>
    </xdr:from>
    <xdr:to>
      <xdr:col>43</xdr:col>
      <xdr:colOff>592791</xdr:colOff>
      <xdr:row>133</xdr:row>
      <xdr:rowOff>133350</xdr:rowOff>
    </xdr:to>
    <xdr:pic>
      <xdr:nvPicPr>
        <xdr:cNvPr id="10" name="Picture 9" descr="PushBottonHill_3d_2.jpg"/>
        <xdr:cNvPicPr>
          <a:picLocks noChangeAspect="1"/>
        </xdr:cNvPicPr>
      </xdr:nvPicPr>
      <xdr:blipFill>
        <a:blip xmlns:r="http://schemas.openxmlformats.org/officeDocument/2006/relationships" r:embed="rId5" cstate="email"/>
        <a:stretch>
          <a:fillRect/>
        </a:stretch>
      </xdr:blipFill>
      <xdr:spPr>
        <a:xfrm>
          <a:off x="10287000" y="15811500"/>
          <a:ext cx="16325850" cy="9658350"/>
        </a:xfrm>
        <a:prstGeom prst="rect">
          <a:avLst/>
        </a:prstGeom>
      </xdr:spPr>
    </xdr:pic>
    <xdr:clientData/>
  </xdr:twoCellAnchor>
  <xdr:twoCellAnchor>
    <xdr:from>
      <xdr:col>23</xdr:col>
      <xdr:colOff>599005</xdr:colOff>
      <xdr:row>113</xdr:row>
      <xdr:rowOff>0</xdr:rowOff>
    </xdr:from>
    <xdr:to>
      <xdr:col>30</xdr:col>
      <xdr:colOff>0</xdr:colOff>
      <xdr:row>119</xdr:row>
      <xdr:rowOff>0</xdr:rowOff>
    </xdr:to>
    <xdr:sp macro="" textlink="">
      <xdr:nvSpPr>
        <xdr:cNvPr id="11" name="TextBox 10"/>
        <xdr:cNvSpPr txBox="1"/>
      </xdr:nvSpPr>
      <xdr:spPr>
        <a:xfrm>
          <a:off x="14516711" y="21526500"/>
          <a:ext cx="3636818"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2400" b="1"/>
            <a:t>PUSH BUTTON HILL</a:t>
          </a:r>
        </a:p>
      </xdr:txBody>
    </xdr:sp>
    <xdr:clientData/>
  </xdr:twoCellAnchor>
  <xdr:twoCellAnchor editAs="oneCell">
    <xdr:from>
      <xdr:col>0</xdr:col>
      <xdr:colOff>0</xdr:colOff>
      <xdr:row>82</xdr:row>
      <xdr:rowOff>4201</xdr:rowOff>
    </xdr:from>
    <xdr:to>
      <xdr:col>16</xdr:col>
      <xdr:colOff>376028</xdr:colOff>
      <xdr:row>122</xdr:row>
      <xdr:rowOff>156222</xdr:rowOff>
    </xdr:to>
    <xdr:pic>
      <xdr:nvPicPr>
        <xdr:cNvPr id="12" name="Picture 11" descr="sa_EWG_noaacharts_PushButtonHill.png"/>
        <xdr:cNvPicPr>
          <a:picLocks noChangeAspect="1"/>
        </xdr:cNvPicPr>
      </xdr:nvPicPr>
      <xdr:blipFill>
        <a:blip xmlns:r="http://schemas.openxmlformats.org/officeDocument/2006/relationships" r:embed="rId6" cstate="print"/>
        <a:stretch>
          <a:fillRect/>
        </a:stretch>
      </xdr:blipFill>
      <xdr:spPr>
        <a:xfrm>
          <a:off x="0" y="15625201"/>
          <a:ext cx="10282028" cy="7772021"/>
        </a:xfrm>
        <a:prstGeom prst="rect">
          <a:avLst/>
        </a:prstGeom>
      </xdr:spPr>
    </xdr:pic>
    <xdr:clientData/>
  </xdr:twoCellAnchor>
  <xdr:twoCellAnchor editAs="oneCell">
    <xdr:from>
      <xdr:col>0</xdr:col>
      <xdr:colOff>0</xdr:colOff>
      <xdr:row>122</xdr:row>
      <xdr:rowOff>170889</xdr:rowOff>
    </xdr:from>
    <xdr:to>
      <xdr:col>16</xdr:col>
      <xdr:colOff>390035</xdr:colOff>
      <xdr:row>163</xdr:row>
      <xdr:rowOff>132410</xdr:rowOff>
    </xdr:to>
    <xdr:pic>
      <xdr:nvPicPr>
        <xdr:cNvPr id="13" name="Picture 12" descr="sa_EWG_noaacharts_WarsawHole.png"/>
        <xdr:cNvPicPr>
          <a:picLocks noChangeAspect="1"/>
        </xdr:cNvPicPr>
      </xdr:nvPicPr>
      <xdr:blipFill>
        <a:blip xmlns:r="http://schemas.openxmlformats.org/officeDocument/2006/relationships" r:embed="rId7" cstate="print"/>
        <a:stretch>
          <a:fillRect/>
        </a:stretch>
      </xdr:blipFill>
      <xdr:spPr>
        <a:xfrm>
          <a:off x="0" y="23411889"/>
          <a:ext cx="10296035" cy="77720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284130</xdr:colOff>
      <xdr:row>2</xdr:row>
      <xdr:rowOff>38100</xdr:rowOff>
    </xdr:from>
    <xdr:to>
      <xdr:col>12</xdr:col>
      <xdr:colOff>594891</xdr:colOff>
      <xdr:row>54</xdr:row>
      <xdr:rowOff>43253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130" y="419100"/>
          <a:ext cx="7658618" cy="9911153"/>
        </a:xfrm>
        <a:prstGeom prst="rect">
          <a:avLst/>
        </a:prstGeom>
      </xdr:spPr>
    </xdr:pic>
    <xdr:clientData/>
  </xdr:twoCellAnchor>
  <xdr:twoCellAnchor editAs="oneCell">
    <xdr:from>
      <xdr:col>0</xdr:col>
      <xdr:colOff>327012</xdr:colOff>
      <xdr:row>55</xdr:row>
      <xdr:rowOff>38100</xdr:rowOff>
    </xdr:from>
    <xdr:to>
      <xdr:col>16</xdr:col>
      <xdr:colOff>188219</xdr:colOff>
      <xdr:row>89</xdr:row>
      <xdr:rowOff>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12" y="10515600"/>
          <a:ext cx="9658350" cy="6438900"/>
        </a:xfrm>
        <a:prstGeom prst="rect">
          <a:avLst/>
        </a:prstGeom>
      </xdr:spPr>
    </xdr:pic>
    <xdr:clientData/>
  </xdr:twoCellAnchor>
  <xdr:twoCellAnchor editAs="oneCell">
    <xdr:from>
      <xdr:col>0</xdr:col>
      <xdr:colOff>401894</xdr:colOff>
      <xdr:row>91</xdr:row>
      <xdr:rowOff>115824</xdr:rowOff>
    </xdr:from>
    <xdr:to>
      <xdr:col>15</xdr:col>
      <xdr:colOff>590552</xdr:colOff>
      <xdr:row>129</xdr:row>
      <xdr:rowOff>119967</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1894" y="17451324"/>
          <a:ext cx="9373479" cy="7243143"/>
        </a:xfrm>
        <a:prstGeom prst="rect">
          <a:avLst/>
        </a:prstGeom>
      </xdr:spPr>
    </xdr:pic>
    <xdr:clientData/>
  </xdr:twoCellAnchor>
  <xdr:twoCellAnchor editAs="oneCell">
    <xdr:from>
      <xdr:col>0</xdr:col>
      <xdr:colOff>401563</xdr:colOff>
      <xdr:row>132</xdr:row>
      <xdr:rowOff>114300</xdr:rowOff>
    </xdr:from>
    <xdr:to>
      <xdr:col>16</xdr:col>
      <xdr:colOff>589358</xdr:colOff>
      <xdr:row>167</xdr:row>
      <xdr:rowOff>103425</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1563" y="25260300"/>
          <a:ext cx="9984938" cy="6656625"/>
        </a:xfrm>
        <a:prstGeom prst="rect">
          <a:avLst/>
        </a:prstGeom>
      </xdr:spPr>
    </xdr:pic>
    <xdr:clientData/>
  </xdr:twoCellAnchor>
  <xdr:twoCellAnchor editAs="oneCell">
    <xdr:from>
      <xdr:col>22</xdr:col>
      <xdr:colOff>327932</xdr:colOff>
      <xdr:row>1</xdr:row>
      <xdr:rowOff>0</xdr:rowOff>
    </xdr:from>
    <xdr:to>
      <xdr:col>38</xdr:col>
      <xdr:colOff>589189</xdr:colOff>
      <xdr:row>36</xdr:row>
      <xdr:rowOff>38100</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799003" y="190500"/>
          <a:ext cx="10058400" cy="6705600"/>
        </a:xfrm>
        <a:prstGeom prst="rect">
          <a:avLst/>
        </a:prstGeom>
      </xdr:spPr>
    </xdr:pic>
    <xdr:clientData/>
  </xdr:twoCellAnchor>
  <xdr:twoCellAnchor editAs="oneCell">
    <xdr:from>
      <xdr:col>22</xdr:col>
      <xdr:colOff>327932</xdr:colOff>
      <xdr:row>36</xdr:row>
      <xdr:rowOff>152400</xdr:rowOff>
    </xdr:from>
    <xdr:to>
      <xdr:col>38</xdr:col>
      <xdr:colOff>589189</xdr:colOff>
      <xdr:row>72</xdr:row>
      <xdr:rowOff>0</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799003" y="7010400"/>
          <a:ext cx="10058400" cy="6705600"/>
        </a:xfrm>
        <a:prstGeom prst="rect">
          <a:avLst/>
        </a:prstGeom>
      </xdr:spPr>
    </xdr:pic>
    <xdr:clientData/>
  </xdr:twoCellAnchor>
  <xdr:twoCellAnchor editAs="oneCell">
    <xdr:from>
      <xdr:col>22</xdr:col>
      <xdr:colOff>208788</xdr:colOff>
      <xdr:row>117</xdr:row>
      <xdr:rowOff>185928</xdr:rowOff>
    </xdr:from>
    <xdr:to>
      <xdr:col>37</xdr:col>
      <xdr:colOff>0</xdr:colOff>
      <xdr:row>155</xdr:row>
      <xdr:rowOff>114300</xdr:rowOff>
    </xdr:to>
    <xdr:pic>
      <xdr:nvPicPr>
        <xdr:cNvPr id="9" name="Picture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679859" y="22474428"/>
          <a:ext cx="8976034" cy="7167372"/>
        </a:xfrm>
        <a:prstGeom prst="rect">
          <a:avLst/>
        </a:prstGeom>
      </xdr:spPr>
    </xdr:pic>
    <xdr:clientData/>
  </xdr:twoCellAnchor>
  <xdr:twoCellAnchor>
    <xdr:from>
      <xdr:col>14</xdr:col>
      <xdr:colOff>0</xdr:colOff>
      <xdr:row>6</xdr:row>
      <xdr:rowOff>0</xdr:rowOff>
    </xdr:from>
    <xdr:to>
      <xdr:col>20</xdr:col>
      <xdr:colOff>0</xdr:colOff>
      <xdr:row>14</xdr:row>
      <xdr:rowOff>95250</xdr:rowOff>
    </xdr:to>
    <xdr:sp macro="" textlink="">
      <xdr:nvSpPr>
        <xdr:cNvPr id="10" name="TextBox 9"/>
        <xdr:cNvSpPr txBox="1"/>
      </xdr:nvSpPr>
      <xdr:spPr>
        <a:xfrm>
          <a:off x="8572500" y="1143000"/>
          <a:ext cx="3673929"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Figure 1.</a:t>
          </a:r>
          <a:r>
            <a:rPr lang="en-US" sz="1400">
              <a:solidFill>
                <a:schemeClr val="dk1"/>
              </a:solidFill>
              <a:effectLst/>
              <a:latin typeface="+mn-lt"/>
              <a:ea typeface="+mn-ea"/>
              <a:cs typeface="+mn-cs"/>
            </a:rPr>
            <a:t> Existing (gray) marine protected areas  (MPAs) and MPA options (red) developed by the South Atlantic Fisheries Management Council’s MPA Expert Workgroup (SAFMC 2013).</a:t>
          </a:r>
        </a:p>
        <a:p>
          <a:endParaRPr lang="en-US" sz="1100"/>
        </a:p>
      </xdr:txBody>
    </xdr:sp>
    <xdr:clientData/>
  </xdr:twoCellAnchor>
  <xdr:twoCellAnchor>
    <xdr:from>
      <xdr:col>18</xdr:col>
      <xdr:colOff>0</xdr:colOff>
      <xdr:row>59</xdr:row>
      <xdr:rowOff>0</xdr:rowOff>
    </xdr:from>
    <xdr:to>
      <xdr:col>21</xdr:col>
      <xdr:colOff>0</xdr:colOff>
      <xdr:row>68</xdr:row>
      <xdr:rowOff>149679</xdr:rowOff>
    </xdr:to>
    <xdr:sp macro="" textlink="">
      <xdr:nvSpPr>
        <xdr:cNvPr id="11" name="TextBox 10"/>
        <xdr:cNvSpPr txBox="1"/>
      </xdr:nvSpPr>
      <xdr:spPr>
        <a:xfrm>
          <a:off x="11021786" y="11239500"/>
          <a:ext cx="1836964" cy="18641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Figure 2. </a:t>
          </a:r>
          <a:r>
            <a:rPr lang="en-US" sz="1400" b="0">
              <a:solidFill>
                <a:schemeClr val="dk1"/>
              </a:solidFill>
              <a:effectLst/>
              <a:latin typeface="+mn-lt"/>
              <a:ea typeface="+mn-ea"/>
              <a:cs typeface="+mn-cs"/>
            </a:rPr>
            <a:t>A) Speckled hind and B) warsaw grouper encounters reported by various data sources.  25 fathom (45.7 m) bathymetric line in blue.</a:t>
          </a:r>
          <a:endParaRPr lang="en-US" sz="1400" b="1">
            <a:solidFill>
              <a:schemeClr val="dk1"/>
            </a:solidFill>
            <a:effectLst/>
            <a:latin typeface="+mn-lt"/>
            <a:ea typeface="+mn-ea"/>
            <a:cs typeface="+mn-cs"/>
          </a:endParaRPr>
        </a:p>
        <a:p>
          <a:endParaRPr lang="en-US" sz="1100"/>
        </a:p>
      </xdr:txBody>
    </xdr:sp>
    <xdr:clientData/>
  </xdr:twoCellAnchor>
  <xdr:twoCellAnchor>
    <xdr:from>
      <xdr:col>17</xdr:col>
      <xdr:colOff>0</xdr:colOff>
      <xdr:row>99</xdr:row>
      <xdr:rowOff>0</xdr:rowOff>
    </xdr:from>
    <xdr:to>
      <xdr:col>21</xdr:col>
      <xdr:colOff>0</xdr:colOff>
      <xdr:row>109</xdr:row>
      <xdr:rowOff>149679</xdr:rowOff>
    </xdr:to>
    <xdr:sp macro="" textlink="">
      <xdr:nvSpPr>
        <xdr:cNvPr id="12" name="TextBox 11"/>
        <xdr:cNvSpPr txBox="1"/>
      </xdr:nvSpPr>
      <xdr:spPr>
        <a:xfrm>
          <a:off x="10409464" y="18859500"/>
          <a:ext cx="2449286" cy="20546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Figure 3. </a:t>
          </a:r>
          <a:r>
            <a:rPr lang="en-US" sz="1400" b="0">
              <a:solidFill>
                <a:schemeClr val="dk1"/>
              </a:solidFill>
              <a:effectLst/>
              <a:latin typeface="+mn-lt"/>
              <a:ea typeface="+mn-ea"/>
              <a:cs typeface="+mn-cs"/>
            </a:rPr>
            <a:t>Speckled hind (X) and warsaw grouper (+) encounters reported by various data sources versus habitat off Northeast Florida.  Habitat data courtesy U.S. Navy, NOAA, and USGS (Andy David, NOAA, pers. comm.).</a:t>
          </a:r>
          <a:endParaRPr lang="en-US" sz="1400" b="1">
            <a:solidFill>
              <a:schemeClr val="dk1"/>
            </a:solidFill>
            <a:effectLst/>
            <a:latin typeface="+mn-lt"/>
            <a:ea typeface="+mn-ea"/>
            <a:cs typeface="+mn-cs"/>
          </a:endParaRPr>
        </a:p>
        <a:p>
          <a:endParaRPr lang="en-US" sz="1100"/>
        </a:p>
      </xdr:txBody>
    </xdr:sp>
    <xdr:clientData/>
  </xdr:twoCellAnchor>
  <xdr:twoCellAnchor>
    <xdr:from>
      <xdr:col>17</xdr:col>
      <xdr:colOff>304800</xdr:colOff>
      <xdr:row>136</xdr:row>
      <xdr:rowOff>0</xdr:rowOff>
    </xdr:from>
    <xdr:to>
      <xdr:col>21</xdr:col>
      <xdr:colOff>0</xdr:colOff>
      <xdr:row>151</xdr:row>
      <xdr:rowOff>13607</xdr:rowOff>
    </xdr:to>
    <xdr:sp macro="" textlink="">
      <xdr:nvSpPr>
        <xdr:cNvPr id="13" name="TextBox 12"/>
        <xdr:cNvSpPr txBox="1"/>
      </xdr:nvSpPr>
      <xdr:spPr>
        <a:xfrm>
          <a:off x="10714264" y="25908000"/>
          <a:ext cx="2144486" cy="2871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Figure 4. A) </a:t>
          </a:r>
          <a:r>
            <a:rPr lang="en-US" sz="1400" b="0">
              <a:solidFill>
                <a:schemeClr val="dk1"/>
              </a:solidFill>
              <a:effectLst/>
              <a:latin typeface="+mn-lt"/>
              <a:ea typeface="+mn-ea"/>
              <a:cs typeface="+mn-cs"/>
            </a:rPr>
            <a:t>Speckled hind and </a:t>
          </a:r>
          <a:r>
            <a:rPr lang="en-US" sz="1400" b="1">
              <a:solidFill>
                <a:schemeClr val="dk1"/>
              </a:solidFill>
              <a:effectLst/>
              <a:latin typeface="+mn-lt"/>
              <a:ea typeface="+mn-ea"/>
              <a:cs typeface="+mn-cs"/>
            </a:rPr>
            <a:t>B)</a:t>
          </a:r>
          <a:r>
            <a:rPr lang="en-US" sz="1400" b="0">
              <a:solidFill>
                <a:schemeClr val="dk1"/>
              </a:solidFill>
              <a:effectLst/>
              <a:latin typeface="+mn-lt"/>
              <a:ea typeface="+mn-ea"/>
              <a:cs typeface="+mn-cs"/>
            </a:rPr>
            <a:t> warsaw grouper habitat classification model output (red: ‘known’, yellow: ‘probable’, green: ‘not suitable’) relative to existing (blue) and proposed (black) marine protected areas.  25 fathom (45.7 m) bathymetric line in blue.</a:t>
          </a:r>
          <a:endParaRPr lang="en-US" sz="1400" b="1">
            <a:solidFill>
              <a:schemeClr val="dk1"/>
            </a:solidFill>
            <a:effectLst/>
            <a:latin typeface="+mn-lt"/>
            <a:ea typeface="+mn-ea"/>
            <a:cs typeface="+mn-cs"/>
          </a:endParaRPr>
        </a:p>
        <a:p>
          <a:endParaRPr lang="en-US" sz="1100"/>
        </a:p>
      </xdr:txBody>
    </xdr:sp>
    <xdr:clientData/>
  </xdr:twoCellAnchor>
  <xdr:twoCellAnchor>
    <xdr:from>
      <xdr:col>39</xdr:col>
      <xdr:colOff>0</xdr:colOff>
      <xdr:row>6</xdr:row>
      <xdr:rowOff>0</xdr:rowOff>
    </xdr:from>
    <xdr:to>
      <xdr:col>47</xdr:col>
      <xdr:colOff>0</xdr:colOff>
      <xdr:row>12</xdr:row>
      <xdr:rowOff>0</xdr:rowOff>
    </xdr:to>
    <xdr:sp macro="" textlink="">
      <xdr:nvSpPr>
        <xdr:cNvPr id="14" name="TextBox 13"/>
        <xdr:cNvSpPr txBox="1"/>
      </xdr:nvSpPr>
      <xdr:spPr>
        <a:xfrm>
          <a:off x="23880536" y="1143000"/>
          <a:ext cx="4898571"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Figure 5. </a:t>
          </a:r>
          <a:r>
            <a:rPr lang="en-US" sz="1400" b="0">
              <a:solidFill>
                <a:schemeClr val="dk1"/>
              </a:solidFill>
              <a:effectLst/>
              <a:latin typeface="+mn-lt"/>
              <a:ea typeface="+mn-ea"/>
              <a:cs typeface="+mn-cs"/>
            </a:rPr>
            <a:t>Geographic distribution model predictions for probability of encounter with</a:t>
          </a:r>
          <a:r>
            <a:rPr lang="en-US" sz="1400" b="1">
              <a:solidFill>
                <a:schemeClr val="dk1"/>
              </a:solidFill>
              <a:effectLst/>
              <a:latin typeface="+mn-lt"/>
              <a:ea typeface="+mn-ea"/>
              <a:cs typeface="+mn-cs"/>
            </a:rPr>
            <a:t> A) </a:t>
          </a:r>
          <a:r>
            <a:rPr lang="en-US" sz="1400" b="0">
              <a:solidFill>
                <a:schemeClr val="dk1"/>
              </a:solidFill>
              <a:effectLst/>
              <a:latin typeface="+mn-lt"/>
              <a:ea typeface="+mn-ea"/>
              <a:cs typeface="+mn-cs"/>
            </a:rPr>
            <a:t>Speckled hind and </a:t>
          </a:r>
          <a:r>
            <a:rPr lang="en-US" sz="1400" b="1">
              <a:solidFill>
                <a:schemeClr val="dk1"/>
              </a:solidFill>
              <a:effectLst/>
              <a:latin typeface="+mn-lt"/>
              <a:ea typeface="+mn-ea"/>
              <a:cs typeface="+mn-cs"/>
            </a:rPr>
            <a:t>B)</a:t>
          </a:r>
          <a:r>
            <a:rPr lang="en-US" sz="1400" b="0">
              <a:solidFill>
                <a:schemeClr val="dk1"/>
              </a:solidFill>
              <a:effectLst/>
              <a:latin typeface="+mn-lt"/>
              <a:ea typeface="+mn-ea"/>
              <a:cs typeface="+mn-cs"/>
            </a:rPr>
            <a:t> warsaw grouper  relative to existing (blue) and proposed (black) marine protected areas. 25 fathom (45.72 m) bathymetric line in blue.</a:t>
          </a:r>
          <a:endParaRPr lang="en-US" sz="1400" b="1">
            <a:solidFill>
              <a:schemeClr val="dk1"/>
            </a:solidFill>
            <a:effectLst/>
            <a:latin typeface="+mn-lt"/>
            <a:ea typeface="+mn-ea"/>
            <a:cs typeface="+mn-cs"/>
          </a:endParaRPr>
        </a:p>
        <a:p>
          <a:endParaRPr lang="en-US" sz="1400"/>
        </a:p>
      </xdr:txBody>
    </xdr:sp>
    <xdr:clientData/>
  </xdr:twoCellAnchor>
  <xdr:twoCellAnchor>
    <xdr:from>
      <xdr:col>40</xdr:col>
      <xdr:colOff>0</xdr:colOff>
      <xdr:row>42</xdr:row>
      <xdr:rowOff>0</xdr:rowOff>
    </xdr:from>
    <xdr:to>
      <xdr:col>47</xdr:col>
      <xdr:colOff>304800</xdr:colOff>
      <xdr:row>52</xdr:row>
      <xdr:rowOff>27214</xdr:rowOff>
    </xdr:to>
    <xdr:sp macro="" textlink="">
      <xdr:nvSpPr>
        <xdr:cNvPr id="15" name="TextBox 14"/>
        <xdr:cNvSpPr txBox="1"/>
      </xdr:nvSpPr>
      <xdr:spPr>
        <a:xfrm>
          <a:off x="24492857" y="8001000"/>
          <a:ext cx="4591050" cy="1932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Figure 6. A) </a:t>
          </a:r>
          <a:r>
            <a:rPr lang="en-US" sz="1400" b="0">
              <a:solidFill>
                <a:schemeClr val="dk1"/>
              </a:solidFill>
              <a:effectLst/>
              <a:latin typeface="+mn-lt"/>
              <a:ea typeface="+mn-ea"/>
              <a:cs typeface="+mn-cs"/>
            </a:rPr>
            <a:t>Point observations of speckled hind (X) and warsaw grouper (+) relative to bathymetry and </a:t>
          </a:r>
          <a:r>
            <a:rPr lang="en-US" sz="1400" b="1">
              <a:solidFill>
                <a:schemeClr val="dk1"/>
              </a:solidFill>
              <a:effectLst/>
              <a:latin typeface="+mn-lt"/>
              <a:ea typeface="+mn-ea"/>
              <a:cs typeface="+mn-cs"/>
            </a:rPr>
            <a:t>B)</a:t>
          </a:r>
          <a:r>
            <a:rPr lang="en-US" sz="1400" b="0">
              <a:solidFill>
                <a:schemeClr val="dk1"/>
              </a:solidFill>
              <a:effectLst/>
              <a:latin typeface="+mn-lt"/>
              <a:ea typeface="+mn-ea"/>
              <a:cs typeface="+mn-cs"/>
            </a:rPr>
            <a:t> anecdotal spawning or aggregation observations of speckled hind (yellow star) and warsaw grouper (green crosses) relative to speckled hind geographic distribution model output and rejected (dashed lines) and proposed (solid lines) marine protected areas east of Murrell’s Inlet, SC.</a:t>
          </a:r>
          <a:endParaRPr lang="en-US" sz="1400" b="1">
            <a:solidFill>
              <a:schemeClr val="dk1"/>
            </a:solidFill>
            <a:effectLst/>
            <a:latin typeface="+mn-lt"/>
            <a:ea typeface="+mn-ea"/>
            <a:cs typeface="+mn-cs"/>
          </a:endParaRPr>
        </a:p>
        <a:p>
          <a:endParaRPr lang="en-US" sz="1400"/>
        </a:p>
      </xdr:txBody>
    </xdr:sp>
    <xdr:clientData/>
  </xdr:twoCellAnchor>
  <xdr:twoCellAnchor>
    <xdr:from>
      <xdr:col>33</xdr:col>
      <xdr:colOff>0</xdr:colOff>
      <xdr:row>80</xdr:row>
      <xdr:rowOff>0</xdr:rowOff>
    </xdr:from>
    <xdr:to>
      <xdr:col>44</xdr:col>
      <xdr:colOff>0</xdr:colOff>
      <xdr:row>85</xdr:row>
      <xdr:rowOff>40821</xdr:rowOff>
    </xdr:to>
    <xdr:sp macro="" textlink="">
      <xdr:nvSpPr>
        <xdr:cNvPr id="16" name="TextBox 15"/>
        <xdr:cNvSpPr txBox="1"/>
      </xdr:nvSpPr>
      <xdr:spPr>
        <a:xfrm>
          <a:off x="20206607" y="15240000"/>
          <a:ext cx="6735536" cy="993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Figure 7. </a:t>
          </a:r>
          <a:r>
            <a:rPr lang="en-US" sz="1400" b="0">
              <a:solidFill>
                <a:schemeClr val="dk1"/>
              </a:solidFill>
              <a:effectLst/>
              <a:latin typeface="+mn-lt"/>
              <a:ea typeface="+mn-ea"/>
              <a:cs typeface="+mn-cs"/>
            </a:rPr>
            <a:t>No-take marine reserve efficiency, measured as percent of </a:t>
          </a:r>
          <a:r>
            <a:rPr lang="en-US" sz="1400" b="1">
              <a:solidFill>
                <a:schemeClr val="dk1"/>
              </a:solidFill>
              <a:effectLst/>
              <a:latin typeface="+mn-lt"/>
              <a:ea typeface="+mn-ea"/>
              <a:cs typeface="+mn-cs"/>
            </a:rPr>
            <a:t>A)</a:t>
          </a:r>
          <a:r>
            <a:rPr lang="en-US" sz="1400" b="0">
              <a:solidFill>
                <a:schemeClr val="dk1"/>
              </a:solidFill>
              <a:effectLst/>
              <a:latin typeface="+mn-lt"/>
              <a:ea typeface="+mn-ea"/>
              <a:cs typeface="+mn-cs"/>
            </a:rPr>
            <a:t> known and probable habitat and </a:t>
          </a:r>
          <a:r>
            <a:rPr lang="en-US" sz="1400" b="1">
              <a:solidFill>
                <a:schemeClr val="dk1"/>
              </a:solidFill>
              <a:effectLst/>
              <a:latin typeface="+mn-lt"/>
              <a:ea typeface="+mn-ea"/>
              <a:cs typeface="+mn-cs"/>
            </a:rPr>
            <a:t>B)</a:t>
          </a:r>
          <a:r>
            <a:rPr lang="en-US" sz="1400" b="0">
              <a:solidFill>
                <a:schemeClr val="dk1"/>
              </a:solidFill>
              <a:effectLst/>
              <a:latin typeface="+mn-lt"/>
              <a:ea typeface="+mn-ea"/>
              <a:cs typeface="+mn-cs"/>
            </a:rPr>
            <a:t> speckled hind (black) and warsaw grouper (light gray) stock per square kilometer.</a:t>
          </a:r>
          <a:endParaRPr lang="en-US" sz="1400" b="1">
            <a:solidFill>
              <a:schemeClr val="dk1"/>
            </a:solidFill>
            <a:effectLst/>
            <a:latin typeface="+mn-lt"/>
            <a:ea typeface="+mn-ea"/>
            <a:cs typeface="+mn-cs"/>
          </a:endParaRPr>
        </a:p>
        <a:p>
          <a:endParaRPr lang="en-US" sz="1400"/>
        </a:p>
      </xdr:txBody>
    </xdr:sp>
    <xdr:clientData/>
  </xdr:twoCellAnchor>
  <xdr:twoCellAnchor>
    <xdr:from>
      <xdr:col>38</xdr:col>
      <xdr:colOff>0</xdr:colOff>
      <xdr:row>121</xdr:row>
      <xdr:rowOff>0</xdr:rowOff>
    </xdr:from>
    <xdr:to>
      <xdr:col>45</xdr:col>
      <xdr:colOff>0</xdr:colOff>
      <xdr:row>127</xdr:row>
      <xdr:rowOff>68036</xdr:rowOff>
    </xdr:to>
    <xdr:sp macro="" textlink="">
      <xdr:nvSpPr>
        <xdr:cNvPr id="17" name="TextBox 16"/>
        <xdr:cNvSpPr txBox="1"/>
      </xdr:nvSpPr>
      <xdr:spPr>
        <a:xfrm>
          <a:off x="23268214" y="23050500"/>
          <a:ext cx="4286250" cy="12110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Figure 8.  </a:t>
          </a:r>
          <a:r>
            <a:rPr lang="en-US" sz="1400" b="0">
              <a:solidFill>
                <a:schemeClr val="dk1"/>
              </a:solidFill>
              <a:effectLst/>
              <a:latin typeface="+mn-lt"/>
              <a:ea typeface="+mn-ea"/>
              <a:cs typeface="+mn-cs"/>
            </a:rPr>
            <a:t>Meta-analysis of recommendations for percent closure recommendations from various peer-reviewed sources for yield maximization and reduction in risk of overfishing (see NRC 2001 for citations).</a:t>
          </a:r>
          <a:endParaRPr lang="en-US" sz="1400" b="1">
            <a:solidFill>
              <a:schemeClr val="dk1"/>
            </a:solidFill>
            <a:effectLst/>
            <a:latin typeface="+mn-lt"/>
            <a:ea typeface="+mn-ea"/>
            <a:cs typeface="+mn-cs"/>
          </a:endParaRPr>
        </a:p>
        <a:p>
          <a:endParaRPr lang="en-US" sz="1400"/>
        </a:p>
      </xdr:txBody>
    </xdr:sp>
    <xdr:clientData/>
  </xdr:twoCellAnchor>
  <xdr:twoCellAnchor editAs="oneCell">
    <xdr:from>
      <xdr:col>23</xdr:col>
      <xdr:colOff>1</xdr:colOff>
      <xdr:row>73</xdr:row>
      <xdr:rowOff>0</xdr:rowOff>
    </xdr:from>
    <xdr:to>
      <xdr:col>32</xdr:col>
      <xdr:colOff>384162</xdr:colOff>
      <xdr:row>118</xdr:row>
      <xdr:rowOff>0</xdr:rowOff>
    </xdr:to>
    <xdr:pic>
      <xdr:nvPicPr>
        <xdr:cNvPr id="18" name="Picture 1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083394" y="13906500"/>
          <a:ext cx="5895054" cy="857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304310</xdr:colOff>
      <xdr:row>40</xdr:row>
      <xdr:rowOff>152021</xdr:rowOff>
    </xdr:to>
    <xdr:pic>
      <xdr:nvPicPr>
        <xdr:cNvPr id="2" name="Picture 1" descr="sa_EWG_MPAOptionsNC.png"/>
        <xdr:cNvPicPr>
          <a:picLocks noChangeAspect="1"/>
        </xdr:cNvPicPr>
      </xdr:nvPicPr>
      <xdr:blipFill>
        <a:blip xmlns:r="http://schemas.openxmlformats.org/officeDocument/2006/relationships" r:embed="rId1" cstate="email"/>
        <a:stretch>
          <a:fillRect/>
        </a:stretch>
      </xdr:blipFill>
      <xdr:spPr>
        <a:xfrm>
          <a:off x="0" y="0"/>
          <a:ext cx="10057910" cy="7772021"/>
        </a:xfrm>
        <a:prstGeom prst="rect">
          <a:avLst/>
        </a:prstGeom>
      </xdr:spPr>
    </xdr:pic>
    <xdr:clientData/>
  </xdr:twoCellAnchor>
  <xdr:twoCellAnchor editAs="oneCell">
    <xdr:from>
      <xdr:col>16</xdr:col>
      <xdr:colOff>299354</xdr:colOff>
      <xdr:row>40</xdr:row>
      <xdr:rowOff>54428</xdr:rowOff>
    </xdr:from>
    <xdr:to>
      <xdr:col>29</xdr:col>
      <xdr:colOff>150038</xdr:colOff>
      <xdr:row>93</xdr:row>
      <xdr:rowOff>15838</xdr:rowOff>
    </xdr:to>
    <xdr:pic>
      <xdr:nvPicPr>
        <xdr:cNvPr id="3" name="Picture 2" descr="sa_EWG_MPAOptions_FL.png"/>
        <xdr:cNvPicPr>
          <a:picLocks noChangeAspect="1"/>
        </xdr:cNvPicPr>
      </xdr:nvPicPr>
      <xdr:blipFill>
        <a:blip xmlns:r="http://schemas.openxmlformats.org/officeDocument/2006/relationships" r:embed="rId2" cstate="email"/>
        <a:stretch>
          <a:fillRect/>
        </a:stretch>
      </xdr:blipFill>
      <xdr:spPr>
        <a:xfrm>
          <a:off x="10096497" y="7674428"/>
          <a:ext cx="7810862" cy="10057910"/>
        </a:xfrm>
        <a:prstGeom prst="rect">
          <a:avLst/>
        </a:prstGeom>
      </xdr:spPr>
    </xdr:pic>
    <xdr:clientData/>
  </xdr:twoCellAnchor>
  <xdr:twoCellAnchor editAs="oneCell">
    <xdr:from>
      <xdr:col>16</xdr:col>
      <xdr:colOff>301826</xdr:colOff>
      <xdr:row>0</xdr:row>
      <xdr:rowOff>0</xdr:rowOff>
    </xdr:from>
    <xdr:to>
      <xdr:col>33</xdr:col>
      <xdr:colOff>0</xdr:colOff>
      <xdr:row>40</xdr:row>
      <xdr:rowOff>152021</xdr:rowOff>
    </xdr:to>
    <xdr:pic>
      <xdr:nvPicPr>
        <xdr:cNvPr id="4" name="Picture 3" descr="sa_EWG_MPAOptions_GA.png"/>
        <xdr:cNvPicPr>
          <a:picLocks noChangeAspect="1"/>
        </xdr:cNvPicPr>
      </xdr:nvPicPr>
      <xdr:blipFill>
        <a:blip xmlns:r="http://schemas.openxmlformats.org/officeDocument/2006/relationships" r:embed="rId3" cstate="email"/>
        <a:stretch>
          <a:fillRect/>
        </a:stretch>
      </xdr:blipFill>
      <xdr:spPr>
        <a:xfrm>
          <a:off x="10000008" y="0"/>
          <a:ext cx="10002492" cy="7772021"/>
        </a:xfrm>
        <a:prstGeom prst="rect">
          <a:avLst/>
        </a:prstGeom>
      </xdr:spPr>
    </xdr:pic>
    <xdr:clientData/>
  </xdr:twoCellAnchor>
  <xdr:twoCellAnchor editAs="oneCell">
    <xdr:from>
      <xdr:col>0</xdr:col>
      <xdr:colOff>0</xdr:colOff>
      <xdr:row>40</xdr:row>
      <xdr:rowOff>38479</xdr:rowOff>
    </xdr:from>
    <xdr:to>
      <xdr:col>16</xdr:col>
      <xdr:colOff>300847</xdr:colOff>
      <xdr:row>81</xdr:row>
      <xdr:rowOff>0</xdr:rowOff>
    </xdr:to>
    <xdr:pic>
      <xdr:nvPicPr>
        <xdr:cNvPr id="5" name="Picture 4" descr="sa_EWG_MPAOptions_SC.png"/>
        <xdr:cNvPicPr>
          <a:picLocks noChangeAspect="1"/>
        </xdr:cNvPicPr>
      </xdr:nvPicPr>
      <xdr:blipFill>
        <a:blip xmlns:r="http://schemas.openxmlformats.org/officeDocument/2006/relationships" r:embed="rId4" cstate="email"/>
        <a:stretch>
          <a:fillRect/>
        </a:stretch>
      </xdr:blipFill>
      <xdr:spPr>
        <a:xfrm>
          <a:off x="0" y="7658479"/>
          <a:ext cx="9999029" cy="7772021"/>
        </a:xfrm>
        <a:prstGeom prst="rect">
          <a:avLst/>
        </a:prstGeom>
      </xdr:spPr>
    </xdr:pic>
    <xdr:clientData/>
  </xdr:twoCellAnchor>
  <xdr:twoCellAnchor>
    <xdr:from>
      <xdr:col>0</xdr:col>
      <xdr:colOff>554182</xdr:colOff>
      <xdr:row>2</xdr:row>
      <xdr:rowOff>51955</xdr:rowOff>
    </xdr:from>
    <xdr:to>
      <xdr:col>6</xdr:col>
      <xdr:colOff>502227</xdr:colOff>
      <xdr:row>4</xdr:row>
      <xdr:rowOff>155864</xdr:rowOff>
    </xdr:to>
    <xdr:sp macro="" textlink="">
      <xdr:nvSpPr>
        <xdr:cNvPr id="6" name="TextBox 5"/>
        <xdr:cNvSpPr txBox="1"/>
      </xdr:nvSpPr>
      <xdr:spPr>
        <a:xfrm>
          <a:off x="554182" y="432955"/>
          <a:ext cx="3584863"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NORTH</a:t>
          </a:r>
          <a:r>
            <a:rPr lang="en-US" sz="3200" b="1" baseline="0">
              <a:solidFill>
                <a:schemeClr val="bg1"/>
              </a:solidFill>
            </a:rPr>
            <a:t> CAROLINA</a:t>
          </a:r>
          <a:endParaRPr lang="en-US" sz="3200" b="1">
            <a:solidFill>
              <a:schemeClr val="bg1"/>
            </a:solidFill>
          </a:endParaRPr>
        </a:p>
      </xdr:txBody>
    </xdr:sp>
    <xdr:clientData/>
  </xdr:twoCellAnchor>
  <xdr:twoCellAnchor>
    <xdr:from>
      <xdr:col>0</xdr:col>
      <xdr:colOff>412172</xdr:colOff>
      <xdr:row>41</xdr:row>
      <xdr:rowOff>187037</xdr:rowOff>
    </xdr:from>
    <xdr:to>
      <xdr:col>6</xdr:col>
      <xdr:colOff>360217</xdr:colOff>
      <xdr:row>44</xdr:row>
      <xdr:rowOff>100446</xdr:rowOff>
    </xdr:to>
    <xdr:sp macro="" textlink="">
      <xdr:nvSpPr>
        <xdr:cNvPr id="7" name="TextBox 6"/>
        <xdr:cNvSpPr txBox="1"/>
      </xdr:nvSpPr>
      <xdr:spPr>
        <a:xfrm>
          <a:off x="412172" y="7997537"/>
          <a:ext cx="3584863"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SOUTH </a:t>
          </a:r>
          <a:r>
            <a:rPr lang="en-US" sz="3200" b="1" baseline="0">
              <a:solidFill>
                <a:schemeClr val="bg1"/>
              </a:solidFill>
            </a:rPr>
            <a:t>CAROLINA</a:t>
          </a:r>
          <a:endParaRPr lang="en-US" sz="3200" b="1">
            <a:solidFill>
              <a:schemeClr val="bg1"/>
            </a:solidFill>
          </a:endParaRPr>
        </a:p>
      </xdr:txBody>
    </xdr:sp>
    <xdr:clientData/>
  </xdr:twoCellAnchor>
  <xdr:twoCellAnchor>
    <xdr:from>
      <xdr:col>21</xdr:col>
      <xdr:colOff>519545</xdr:colOff>
      <xdr:row>1</xdr:row>
      <xdr:rowOff>155864</xdr:rowOff>
    </xdr:from>
    <xdr:to>
      <xdr:col>27</xdr:col>
      <xdr:colOff>467590</xdr:colOff>
      <xdr:row>9</xdr:row>
      <xdr:rowOff>17318</xdr:rowOff>
    </xdr:to>
    <xdr:sp macro="" textlink="">
      <xdr:nvSpPr>
        <xdr:cNvPr id="8" name="TextBox 7"/>
        <xdr:cNvSpPr txBox="1"/>
      </xdr:nvSpPr>
      <xdr:spPr>
        <a:xfrm>
          <a:off x="13248409" y="346364"/>
          <a:ext cx="3584863" cy="1385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tx1"/>
              </a:solidFill>
            </a:rPr>
            <a:t>GEORGIA &amp; NE FLORIDA</a:t>
          </a:r>
        </a:p>
      </xdr:txBody>
    </xdr:sp>
    <xdr:clientData/>
  </xdr:twoCellAnchor>
  <xdr:twoCellAnchor>
    <xdr:from>
      <xdr:col>17</xdr:col>
      <xdr:colOff>536864</xdr:colOff>
      <xdr:row>61</xdr:row>
      <xdr:rowOff>34636</xdr:rowOff>
    </xdr:from>
    <xdr:to>
      <xdr:col>23</xdr:col>
      <xdr:colOff>484909</xdr:colOff>
      <xdr:row>63</xdr:row>
      <xdr:rowOff>138545</xdr:rowOff>
    </xdr:to>
    <xdr:sp macro="" textlink="">
      <xdr:nvSpPr>
        <xdr:cNvPr id="9" name="TextBox 8"/>
        <xdr:cNvSpPr txBox="1"/>
      </xdr:nvSpPr>
      <xdr:spPr>
        <a:xfrm>
          <a:off x="10841182" y="11655136"/>
          <a:ext cx="3584863"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SE FLORIDA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392206</xdr:colOff>
      <xdr:row>30</xdr:row>
      <xdr:rowOff>112058</xdr:rowOff>
    </xdr:from>
    <xdr:to>
      <xdr:col>22</xdr:col>
      <xdr:colOff>694764</xdr:colOff>
      <xdr:row>64</xdr:row>
      <xdr:rowOff>179294</xdr:rowOff>
    </xdr:to>
    <xdr:sp macro="" textlink="">
      <xdr:nvSpPr>
        <xdr:cNvPr id="2" name="TextBox 1"/>
        <xdr:cNvSpPr txBox="1"/>
      </xdr:nvSpPr>
      <xdr:spPr>
        <a:xfrm>
          <a:off x="392206" y="6488205"/>
          <a:ext cx="15766676" cy="65442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none"/>
            <a:t>COMPARE SITES RECOMMENDED BY THE SAFMC</a:t>
          </a:r>
          <a:r>
            <a:rPr lang="en-US" sz="1400" b="1" u="none" baseline="0"/>
            <a:t> MPA EXPERT WORKING GROUP:</a:t>
          </a:r>
        </a:p>
        <a:p>
          <a:endParaRPr lang="en-US" sz="1400" b="1" u="sng" baseline="0"/>
        </a:p>
        <a:p>
          <a:r>
            <a:rPr lang="en-US" sz="1400" b="1" u="sng"/>
            <a:t>Instructions:</a:t>
          </a:r>
        </a:p>
        <a:p>
          <a:r>
            <a:rPr lang="en-US" sz="1400"/>
            <a:t>Using the boxes in Column</a:t>
          </a:r>
          <a:r>
            <a:rPr lang="en-US" sz="1400" baseline="0"/>
            <a:t> D, mark with an 'X' any MPA you wish to select for evaluation.  Once selected, that MPAs values across columns will be included in the cumulative impacts summary in Row  29.  If you wish to de-select an MPA from consideration, delete the 'X' in that MPA's row in Column D.</a:t>
          </a:r>
        </a:p>
        <a:p>
          <a:endParaRPr lang="en-US" sz="1400" baseline="0"/>
        </a:p>
        <a:p>
          <a:r>
            <a:rPr lang="en-US" sz="1400" b="1" u="sng" baseline="0"/>
            <a:t>Variable Definitions:</a:t>
          </a:r>
        </a:p>
        <a:p>
          <a:r>
            <a:rPr lang="en-US" sz="1400" baseline="0">
              <a:solidFill>
                <a:srgbClr val="FF0000"/>
              </a:solidFill>
            </a:rPr>
            <a:t>Name: </a:t>
          </a:r>
          <a:r>
            <a:rPr lang="en-US" sz="1400" baseline="0"/>
            <a:t>The name of the MPA (see green 'MPA Options' tab for detailed location)</a:t>
          </a:r>
        </a:p>
        <a:p>
          <a:r>
            <a:rPr lang="en-US" sz="1400" baseline="0">
              <a:solidFill>
                <a:srgbClr val="FF0000"/>
              </a:solidFill>
            </a:rPr>
            <a:t>Status: </a:t>
          </a:r>
          <a:r>
            <a:rPr lang="en-US" sz="1400" baseline="0"/>
            <a:t>Is the MPA 'Existing' or 'Proposed'?</a:t>
          </a:r>
          <a:br>
            <a:rPr lang="en-US" sz="1400" baseline="0"/>
          </a:br>
          <a:r>
            <a:rPr lang="en-US" sz="1400" baseline="0">
              <a:solidFill>
                <a:srgbClr val="FF0000"/>
              </a:solidFill>
            </a:rPr>
            <a:t>Type: </a:t>
          </a:r>
          <a:r>
            <a:rPr lang="en-US" sz="1400" baseline="0"/>
            <a:t>A proposed MPA could be a reconfiguration, an extension, a CHAPC extension, or a totally new MPA.</a:t>
          </a:r>
        </a:p>
        <a:p>
          <a:r>
            <a:rPr lang="en-US" sz="1400" baseline="0">
              <a:solidFill>
                <a:srgbClr val="FF0000"/>
              </a:solidFill>
            </a:rPr>
            <a:t>Total area: </a:t>
          </a:r>
          <a:r>
            <a:rPr lang="en-US" sz="1400" baseline="0"/>
            <a:t>Area of the MPA in square miles.</a:t>
          </a:r>
        </a:p>
        <a:p>
          <a:r>
            <a:rPr lang="en-US" sz="1400" baseline="0">
              <a:solidFill>
                <a:srgbClr val="FF0000"/>
              </a:solidFill>
            </a:rPr>
            <a:t>State: </a:t>
          </a:r>
          <a:r>
            <a:rPr lang="en-US" sz="1400" baseline="0"/>
            <a:t>What state the MPA is located offshore of.</a:t>
          </a:r>
        </a:p>
        <a:p>
          <a:r>
            <a:rPr lang="en-US" sz="1400" baseline="0">
              <a:solidFill>
                <a:srgbClr val="FF0000"/>
              </a:solidFill>
            </a:rPr>
            <a:t>Spawning: </a:t>
          </a:r>
          <a:r>
            <a:rPr lang="en-US" sz="1400" baseline="0"/>
            <a:t>What is known about spawning in the MPA; whether any speckled hind (SH), warsaw grouper (WG), or other Snapper-Grouper (S-G) stocks have been observed or anecdotally noted (denoted by '?') to spawn in the area.</a:t>
          </a:r>
        </a:p>
        <a:p>
          <a:r>
            <a:rPr lang="en-US" sz="1400" baseline="0">
              <a:solidFill>
                <a:srgbClr val="FF0000"/>
              </a:solidFill>
            </a:rPr>
            <a:t>Known and Probable: </a:t>
          </a:r>
          <a:r>
            <a:rPr lang="en-US" sz="1400" baseline="0"/>
            <a:t>Percentage of available 'known and probable' suitable habitat for the stock between 25-100 fathoms.</a:t>
          </a:r>
        </a:p>
        <a:p>
          <a:r>
            <a:rPr lang="en-US" sz="1400" baseline="0">
              <a:solidFill>
                <a:srgbClr val="FF0000"/>
              </a:solidFill>
            </a:rPr>
            <a:t>%Stock [X-val]: </a:t>
          </a:r>
          <a:r>
            <a:rPr lang="en-US" sz="1400" baseline="0"/>
            <a:t>Percentage of the total stock between 25-100 fathoms estimated to be contained within the MPA, as determined by the best statistical model selected using Cross Validation.</a:t>
          </a:r>
        </a:p>
        <a:p>
          <a:r>
            <a:rPr lang="en-US" sz="1400" baseline="0">
              <a:solidFill>
                <a:srgbClr val="FF0000"/>
              </a:solidFill>
            </a:rPr>
            <a:t>%Stock [AIC]: </a:t>
          </a:r>
          <a:r>
            <a:rPr lang="en-US" sz="1400" baseline="0"/>
            <a:t>Percentage of the total stock between 25-100 fathoms estimated to be contained within the MPA, as determined by the best statistical model selected using lowest AIC.</a:t>
          </a:r>
          <a:br>
            <a:rPr lang="en-US" sz="1400" baseline="0"/>
          </a:br>
          <a:r>
            <a:rPr lang="en-US" sz="1400" baseline="0">
              <a:solidFill>
                <a:srgbClr val="FF0000"/>
              </a:solidFill>
            </a:rPr>
            <a:t>Fishery Impacts: </a:t>
          </a:r>
          <a:r>
            <a:rPr lang="en-US" sz="1400" baseline="0">
              <a:solidFill>
                <a:schemeClr val="tx1"/>
              </a:solidFill>
            </a:rPr>
            <a:t>Projected reductions in landings associated with spatial closures, based on mean landings within area (2009-2011), assuming spatially uniform  landings within a reporting grid - note this assumption is  likely to be violated and if landings are within the closure zone, impacts might be greater; if landings are outside the closure zone, impacts might be less.  If effort shifting is possible, impacts might be negligible.  This estimate is meant to provide relative guidance between areas but should not be construed as more authoritative than fishermen's public testimony regarding the impacts of proposed closures.  See images on "Fishery Impacts" tab for further info.</a:t>
          </a:r>
        </a:p>
        <a:p>
          <a:r>
            <a:rPr lang="en-US" sz="1400" i="1" baseline="0">
              <a:solidFill>
                <a:srgbClr val="FF0000"/>
              </a:solidFill>
            </a:rPr>
            <a:t>Fishery Impacts: Headboat (Hbt) - </a:t>
          </a:r>
          <a:r>
            <a:rPr lang="en-US" sz="1400" baseline="0">
              <a:solidFill>
                <a:schemeClr val="tx1"/>
              </a:solidFill>
            </a:rPr>
            <a:t>provides estimates of reductions in headboat recreational landings, by species, assuming spatially uniform landings within a reporting grid</a:t>
          </a:r>
        </a:p>
        <a:p>
          <a:r>
            <a:rPr lang="en-US" sz="1400" i="1" baseline="0">
              <a:solidFill>
                <a:srgbClr val="FF0000"/>
              </a:solidFill>
            </a:rPr>
            <a:t>Fishery Impacts: Commercial (Com) -</a:t>
          </a:r>
          <a:r>
            <a:rPr lang="en-US" sz="1400" baseline="0">
              <a:solidFill>
                <a:srgbClr val="FF0000"/>
              </a:solidFill>
            </a:rPr>
            <a:t> </a:t>
          </a:r>
          <a:r>
            <a:rPr lang="en-US" sz="1400" baseline="0">
              <a:solidFill>
                <a:schemeClr val="tx1"/>
              </a:solidFill>
            </a:rPr>
            <a:t>provides estimates of reductions in commercial landings, by species, assuming spatially uniform landings within a reporting grid</a:t>
          </a:r>
        </a:p>
        <a:p>
          <a:r>
            <a:rPr lang="en-US" sz="1400" baseline="0">
              <a:solidFill>
                <a:srgbClr val="FF0000"/>
              </a:solidFill>
            </a:rPr>
            <a:t>% Stock per Unit area: </a:t>
          </a:r>
          <a:r>
            <a:rPr lang="en-US" sz="1400" baseline="0"/>
            <a:t>The percent stock estimated to be contained by an MPA divided by the size of the MPA (a measure of efficiency).</a:t>
          </a:r>
          <a:br>
            <a:rPr lang="en-US" sz="1400" baseline="0"/>
          </a:br>
          <a:r>
            <a:rPr lang="en-US" sz="1400" baseline="0">
              <a:solidFill>
                <a:srgbClr val="FF0000"/>
              </a:solidFill>
            </a:rPr>
            <a:t>% Habitat per Unit area: </a:t>
          </a:r>
          <a:r>
            <a:rPr lang="en-US" sz="1400" baseline="0"/>
            <a:t>The percent known or probable suitable habitat fo the stock contained by an MPA, divided by the size of the MPA (a measure of efficiency).</a:t>
          </a:r>
        </a:p>
        <a:p>
          <a:endParaRPr lang="en-US" sz="1400" baseline="0"/>
        </a:p>
        <a:p>
          <a:r>
            <a:rPr lang="en-US" sz="1400" baseline="0"/>
            <a:t>Note that the color coding is provided to help distinguish high values within each column, with darker tones denoting higher values.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84</xdr:row>
      <xdr:rowOff>0</xdr:rowOff>
    </xdr:from>
    <xdr:to>
      <xdr:col>25</xdr:col>
      <xdr:colOff>437029</xdr:colOff>
      <xdr:row>119</xdr:row>
      <xdr:rowOff>56029</xdr:rowOff>
    </xdr:to>
    <xdr:sp macro="" textlink="">
      <xdr:nvSpPr>
        <xdr:cNvPr id="2" name="TextBox 1"/>
        <xdr:cNvSpPr txBox="1"/>
      </xdr:nvSpPr>
      <xdr:spPr>
        <a:xfrm>
          <a:off x="0" y="18893118"/>
          <a:ext cx="15766676" cy="6723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none"/>
            <a:t>COMPARE SITES CONSIDERED BY THE SAFMC</a:t>
          </a:r>
          <a:r>
            <a:rPr lang="en-US" sz="1400" b="1" u="none" baseline="0"/>
            <a:t> MPA EXPERT WORKING GROUP:</a:t>
          </a:r>
        </a:p>
        <a:p>
          <a:endParaRPr lang="en-US" sz="1400" b="1" u="sng" baseline="0"/>
        </a:p>
        <a:p>
          <a:r>
            <a:rPr lang="en-US" sz="1400" b="1" u="sng"/>
            <a:t>Instructions:</a:t>
          </a:r>
        </a:p>
        <a:p>
          <a:r>
            <a:rPr lang="en-US" sz="1400"/>
            <a:t>Using the boxes in Column</a:t>
          </a:r>
          <a:r>
            <a:rPr lang="en-US" sz="1400" baseline="0"/>
            <a:t> D, mark with an 'X' any MPA you wish to select for evaluation.  Once selected, that MPAs values across columns will be included in the cumulative impacts summary in Row  65  If you wish to de-select an MPA from consideration, delete the 'X' in that MPA's row in Column D.  Note, to change the effectiveness of the CHAPC at reducing fishing pressure in an area, change the value in Cell B68 {default=50%}.</a:t>
          </a:r>
        </a:p>
        <a:p>
          <a:endParaRPr lang="en-US" sz="1400" baseline="0"/>
        </a:p>
        <a:p>
          <a:r>
            <a:rPr lang="en-US" sz="1400" b="1" u="sng" baseline="0"/>
            <a:t>Variable Definitions:</a:t>
          </a:r>
        </a:p>
        <a:p>
          <a:r>
            <a:rPr lang="en-US" sz="1400" baseline="0">
              <a:solidFill>
                <a:srgbClr val="FF0000"/>
              </a:solidFill>
            </a:rPr>
            <a:t>Name: </a:t>
          </a:r>
          <a:r>
            <a:rPr lang="en-US" sz="1400" baseline="0"/>
            <a:t>The name of the MPA (see green 'MPA Options' tab for detailed location)</a:t>
          </a:r>
        </a:p>
        <a:p>
          <a:r>
            <a:rPr lang="en-US" sz="1400" baseline="0">
              <a:solidFill>
                <a:srgbClr val="FF0000"/>
              </a:solidFill>
            </a:rPr>
            <a:t>Status: </a:t>
          </a:r>
          <a:r>
            <a:rPr lang="en-US" sz="1400" baseline="0"/>
            <a:t>Is the MPA 'Existing' or 'Proposed'?</a:t>
          </a:r>
          <a:br>
            <a:rPr lang="en-US" sz="1400" baseline="0"/>
          </a:br>
          <a:r>
            <a:rPr lang="en-US" sz="1400" baseline="0">
              <a:solidFill>
                <a:srgbClr val="FF0000"/>
              </a:solidFill>
            </a:rPr>
            <a:t>Type: </a:t>
          </a:r>
          <a:r>
            <a:rPr lang="en-US" sz="1400" baseline="0"/>
            <a:t>A proposed MPA could be a reconfiguration, an extension, a CHAPC extension, or a totally new MPA.</a:t>
          </a:r>
        </a:p>
        <a:p>
          <a:r>
            <a:rPr lang="en-US" sz="1400" baseline="0">
              <a:solidFill>
                <a:srgbClr val="FF0000"/>
              </a:solidFill>
            </a:rPr>
            <a:t>Total area: </a:t>
          </a:r>
          <a:r>
            <a:rPr lang="en-US" sz="1400" baseline="0"/>
            <a:t>Area of the MPA in square miles.</a:t>
          </a:r>
        </a:p>
        <a:p>
          <a:r>
            <a:rPr lang="en-US" sz="1400" baseline="0">
              <a:solidFill>
                <a:srgbClr val="FF0000"/>
              </a:solidFill>
            </a:rPr>
            <a:t>State: </a:t>
          </a:r>
          <a:r>
            <a:rPr lang="en-US" sz="1400" baseline="0"/>
            <a:t>What state the MPA is located offshore of.</a:t>
          </a:r>
        </a:p>
        <a:p>
          <a:r>
            <a:rPr lang="en-US" sz="1400" baseline="0">
              <a:solidFill>
                <a:srgbClr val="FF0000"/>
              </a:solidFill>
            </a:rPr>
            <a:t>Spawning: </a:t>
          </a:r>
          <a:r>
            <a:rPr lang="en-US" sz="1400" baseline="0"/>
            <a:t>What is known about spawning in the MPA; whether any speckled hind (SH), warsaw grouper (WG), or other Snapper-Grouper (S-G) stocks have been observed or anecdotally noted (denoted by '?') to spawn in the area.</a:t>
          </a:r>
        </a:p>
        <a:p>
          <a:r>
            <a:rPr lang="en-US" sz="1400" baseline="0">
              <a:solidFill>
                <a:srgbClr val="FF0000"/>
              </a:solidFill>
            </a:rPr>
            <a:t>Known: </a:t>
          </a:r>
          <a:r>
            <a:rPr lang="en-US" sz="1400" baseline="0"/>
            <a:t>Percentage of habitat that has been identified as containing either hardbottom or observation of the species in question contained within the MPA relative to the whole SAFMC between 25-100 fathoms.</a:t>
          </a:r>
        </a:p>
        <a:p>
          <a:r>
            <a:rPr lang="en-US" sz="1400" baseline="0">
              <a:solidFill>
                <a:srgbClr val="FF0000"/>
              </a:solidFill>
            </a:rPr>
            <a:t>Known and Probable: </a:t>
          </a:r>
          <a:r>
            <a:rPr lang="en-US" sz="1400" baseline="0"/>
            <a:t>Percentage of available 'known and probable' suitable habitat for the stock between 25-100 fathoms.</a:t>
          </a:r>
        </a:p>
        <a:p>
          <a:r>
            <a:rPr lang="en-US" sz="1400" baseline="0">
              <a:solidFill>
                <a:srgbClr val="FF0000"/>
              </a:solidFill>
            </a:rPr>
            <a:t>%Stock [X-val]: </a:t>
          </a:r>
          <a:r>
            <a:rPr lang="en-US" sz="1400" baseline="0"/>
            <a:t>Percentage of the total stock between 25-100 fathoms estimated to be contained within the MPA, as determined by the best statistical model selected using Cross Validation.</a:t>
          </a: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rgbClr val="FF0000"/>
              </a:solidFill>
            </a:rPr>
            <a:t>%Stock [AIC]: </a:t>
          </a:r>
          <a:r>
            <a:rPr lang="en-US" sz="1400" baseline="0"/>
            <a:t>Percentage of the total stock between 25-100 fathoms estimated to be contained within the MPA, as determined by the best statistical model selected using lowest AIC.</a:t>
          </a:r>
          <a:br>
            <a:rPr lang="en-US" sz="1400" baseline="0"/>
          </a:br>
          <a:r>
            <a:rPr lang="en-US" sz="1400" baseline="0">
              <a:solidFill>
                <a:srgbClr val="FF0000"/>
              </a:solidFill>
              <a:effectLst/>
              <a:latin typeface="+mn-lt"/>
              <a:ea typeface="+mn-ea"/>
              <a:cs typeface="+mn-cs"/>
            </a:rPr>
            <a:t>Fishery Impacts: </a:t>
          </a:r>
          <a:r>
            <a:rPr lang="en-US" sz="1400" baseline="0">
              <a:solidFill>
                <a:schemeClr val="dk1"/>
              </a:solidFill>
              <a:effectLst/>
              <a:latin typeface="+mn-lt"/>
              <a:ea typeface="+mn-ea"/>
              <a:cs typeface="+mn-cs"/>
            </a:rPr>
            <a:t>Projected reductions in landings associated with spatial closures, based on mean landings within area (2009-2011), assuming spatially uniform  landings within a reporting grid - note this assumption is  likely to be violated and if landings are within the closure zone, impacts might be greater; if landings are outside the closure zone, impacts might be less.  If effort shifting is possible, impacts might be negligible.  This estimate is meant to provide relative guidance between areas but should not be construed as more authoritative than fishermen's public testimony regarding the impacts of proposed closures.  See images on "Fishery Impacts" tab for further info.</a:t>
          </a:r>
          <a:endParaRPr lang="en-US" sz="1400">
            <a:effectLst/>
          </a:endParaRPr>
        </a:p>
        <a:p>
          <a:r>
            <a:rPr lang="en-US" sz="1400" i="1" baseline="0"/>
            <a:t>Fishery Impacts: Headboat (Hbt) - </a:t>
          </a:r>
          <a:r>
            <a:rPr lang="en-US" sz="1400" baseline="0"/>
            <a:t>provides estimates of reductions in headboat recreational landings, by species, assuming spatially uniform landings within a reporting grid</a:t>
          </a:r>
        </a:p>
        <a:p>
          <a:r>
            <a:rPr lang="en-US" sz="1400" i="1" baseline="0"/>
            <a:t>Fishery Impacts: Commercial (Com) -</a:t>
          </a:r>
          <a:r>
            <a:rPr lang="en-US" sz="1400" baseline="0"/>
            <a:t> provides estimates of reductions in commercial landings, by species, assuming spatially uniform landings within a reporting grid</a:t>
          </a:r>
        </a:p>
        <a:p>
          <a:endParaRPr lang="en-US" sz="1400" baseline="0"/>
        </a:p>
        <a:p>
          <a:r>
            <a:rPr lang="en-US" sz="1400" baseline="0"/>
            <a:t>Note that the color coding is provided to help distinguish high values within each column, with darker tones denoting higher values.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514350</xdr:colOff>
      <xdr:row>29</xdr:row>
      <xdr:rowOff>38100</xdr:rowOff>
    </xdr:from>
    <xdr:to>
      <xdr:col>6</xdr:col>
      <xdr:colOff>238125</xdr:colOff>
      <xdr:row>43</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76200</xdr:colOff>
      <xdr:row>29</xdr:row>
      <xdr:rowOff>47625</xdr:rowOff>
    </xdr:from>
    <xdr:to>
      <xdr:col>16</xdr:col>
      <xdr:colOff>142875</xdr:colOff>
      <xdr:row>43</xdr:row>
      <xdr:rowOff>123825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219075</xdr:colOff>
      <xdr:row>29</xdr:row>
      <xdr:rowOff>38100</xdr:rowOff>
    </xdr:from>
    <xdr:to>
      <xdr:col>24</xdr:col>
      <xdr:colOff>238125</xdr:colOff>
      <xdr:row>43</xdr:row>
      <xdr:rowOff>114300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285750</xdr:colOff>
      <xdr:row>29</xdr:row>
      <xdr:rowOff>47625</xdr:rowOff>
    </xdr:from>
    <xdr:to>
      <xdr:col>29</xdr:col>
      <xdr:colOff>0</xdr:colOff>
      <xdr:row>43</xdr:row>
      <xdr:rowOff>123825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542925</xdr:colOff>
      <xdr:row>43</xdr:row>
      <xdr:rowOff>171450</xdr:rowOff>
    </xdr:from>
    <xdr:to>
      <xdr:col>6</xdr:col>
      <xdr:colOff>266700</xdr:colOff>
      <xdr:row>58</xdr:row>
      <xdr:rowOff>57150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43</xdr:row>
      <xdr:rowOff>161925</xdr:rowOff>
    </xdr:from>
    <xdr:to>
      <xdr:col>15</xdr:col>
      <xdr:colOff>419100</xdr:colOff>
      <xdr:row>58</xdr:row>
      <xdr:rowOff>47625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38</xdr:col>
      <xdr:colOff>331304</xdr:colOff>
      <xdr:row>1</xdr:row>
      <xdr:rowOff>115958</xdr:rowOff>
    </xdr:from>
    <xdr:to>
      <xdr:col>44</xdr:col>
      <xdr:colOff>430696</xdr:colOff>
      <xdr:row>2</xdr:row>
      <xdr:rowOff>256762</xdr:rowOff>
    </xdr:to>
    <xdr:sp macro="" textlink="">
      <xdr:nvSpPr>
        <xdr:cNvPr id="2" name="TextBox 1"/>
        <xdr:cNvSpPr txBox="1"/>
      </xdr:nvSpPr>
      <xdr:spPr>
        <a:xfrm>
          <a:off x="6344478" y="306458"/>
          <a:ext cx="3776870"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MPA</a:t>
          </a:r>
          <a:r>
            <a:rPr lang="en-US" sz="1100" baseline="0"/>
            <a:t> Efficiency as determined by dividing through by unit area.</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456821</xdr:colOff>
      <xdr:row>52</xdr:row>
      <xdr:rowOff>151910</xdr:rowOff>
    </xdr:to>
    <xdr:pic>
      <xdr:nvPicPr>
        <xdr:cNvPr id="2" name="Picture 1" descr="sa_EWG_PointObs_WG.png"/>
        <xdr:cNvPicPr>
          <a:picLocks noChangeAspect="1"/>
        </xdr:cNvPicPr>
      </xdr:nvPicPr>
      <xdr:blipFill>
        <a:blip xmlns:r="http://schemas.openxmlformats.org/officeDocument/2006/relationships" r:embed="rId1" cstate="email"/>
        <a:stretch>
          <a:fillRect/>
        </a:stretch>
      </xdr:blipFill>
      <xdr:spPr>
        <a:xfrm>
          <a:off x="0" y="0"/>
          <a:ext cx="7772021" cy="10057910"/>
        </a:xfrm>
        <a:prstGeom prst="rect">
          <a:avLst/>
        </a:prstGeom>
      </xdr:spPr>
    </xdr:pic>
    <xdr:clientData/>
  </xdr:twoCellAnchor>
  <xdr:twoCellAnchor editAs="oneCell">
    <xdr:from>
      <xdr:col>12</xdr:col>
      <xdr:colOff>152779</xdr:colOff>
      <xdr:row>0</xdr:row>
      <xdr:rowOff>0</xdr:rowOff>
    </xdr:from>
    <xdr:to>
      <xdr:col>25</xdr:col>
      <xdr:colOff>0</xdr:colOff>
      <xdr:row>52</xdr:row>
      <xdr:rowOff>151910</xdr:rowOff>
    </xdr:to>
    <xdr:pic>
      <xdr:nvPicPr>
        <xdr:cNvPr id="4" name="Picture 3" descr="sa_EWG_PointObs_SH.png"/>
        <xdr:cNvPicPr>
          <a:picLocks noChangeAspect="1"/>
        </xdr:cNvPicPr>
      </xdr:nvPicPr>
      <xdr:blipFill>
        <a:blip xmlns:r="http://schemas.openxmlformats.org/officeDocument/2006/relationships" r:embed="rId2" cstate="email"/>
        <a:stretch>
          <a:fillRect/>
        </a:stretch>
      </xdr:blipFill>
      <xdr:spPr>
        <a:xfrm>
          <a:off x="7467979" y="0"/>
          <a:ext cx="7772021" cy="100579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456821</xdr:colOff>
      <xdr:row>52</xdr:row>
      <xdr:rowOff>151910</xdr:rowOff>
    </xdr:to>
    <xdr:pic>
      <xdr:nvPicPr>
        <xdr:cNvPr id="2" name="Picture 1" descr="sa_EWG_hydrography.png"/>
        <xdr:cNvPicPr>
          <a:picLocks noChangeAspect="1"/>
        </xdr:cNvPicPr>
      </xdr:nvPicPr>
      <xdr:blipFill>
        <a:blip xmlns:r="http://schemas.openxmlformats.org/officeDocument/2006/relationships" r:embed="rId1" cstate="email"/>
        <a:stretch>
          <a:fillRect/>
        </a:stretch>
      </xdr:blipFill>
      <xdr:spPr>
        <a:xfrm>
          <a:off x="0" y="0"/>
          <a:ext cx="7772021" cy="100579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457200</xdr:colOff>
      <xdr:row>53</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7772400" cy="10058400"/>
        </a:xfrm>
        <a:prstGeom prst="rect">
          <a:avLst/>
        </a:prstGeom>
      </xdr:spPr>
    </xdr:pic>
    <xdr:clientData/>
  </xdr:twoCellAnchor>
  <xdr:twoCellAnchor editAs="oneCell">
    <xdr:from>
      <xdr:col>0</xdr:col>
      <xdr:colOff>0</xdr:colOff>
      <xdr:row>55</xdr:row>
      <xdr:rowOff>0</xdr:rowOff>
    </xdr:from>
    <xdr:to>
      <xdr:col>12</xdr:col>
      <xdr:colOff>457200</xdr:colOff>
      <xdr:row>107</xdr:row>
      <xdr:rowOff>152400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477500"/>
          <a:ext cx="7772400" cy="10058400"/>
        </a:xfrm>
        <a:prstGeom prst="rect">
          <a:avLst/>
        </a:prstGeom>
      </xdr:spPr>
    </xdr:pic>
    <xdr:clientData/>
  </xdr:twoCellAnchor>
  <xdr:twoCellAnchor editAs="oneCell">
    <xdr:from>
      <xdr:col>14</xdr:col>
      <xdr:colOff>0</xdr:colOff>
      <xdr:row>1</xdr:row>
      <xdr:rowOff>0</xdr:rowOff>
    </xdr:from>
    <xdr:to>
      <xdr:col>26</xdr:col>
      <xdr:colOff>457200</xdr:colOff>
      <xdr:row>53</xdr:row>
      <xdr:rowOff>152400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34400" y="190500"/>
          <a:ext cx="7772400" cy="10058400"/>
        </a:xfrm>
        <a:prstGeom prst="rect">
          <a:avLst/>
        </a:prstGeom>
      </xdr:spPr>
    </xdr:pic>
    <xdr:clientData/>
  </xdr:twoCellAnchor>
  <xdr:twoCellAnchor editAs="oneCell">
    <xdr:from>
      <xdr:col>14</xdr:col>
      <xdr:colOff>0</xdr:colOff>
      <xdr:row>55</xdr:row>
      <xdr:rowOff>0</xdr:rowOff>
    </xdr:from>
    <xdr:to>
      <xdr:col>26</xdr:col>
      <xdr:colOff>457200</xdr:colOff>
      <xdr:row>107</xdr:row>
      <xdr:rowOff>152400</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34400" y="10477500"/>
          <a:ext cx="7772400"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hyperlink" Target="http://www.safmc.net/LinkClick.aspx?fileticket=0Oo5AINDZqM%3D&amp;tabid=766" TargetMode="External"/><Relationship Id="rId1" Type="http://schemas.openxmlformats.org/officeDocument/2006/relationships/hyperlink" Target="http://www.safmc.net/LinkClick.aspx?fileticket=5Cl1M4ndCp8%3D&amp;tabid=404"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
  <sheetViews>
    <sheetView topLeftCell="A16" workbookViewId="0">
      <selection activeCell="A53" sqref="A53"/>
    </sheetView>
  </sheetViews>
  <sheetFormatPr defaultColWidth="52.5703125" defaultRowHeight="15" x14ac:dyDescent="0.25"/>
  <cols>
    <col min="1" max="1" width="47.28515625" bestFit="1" customWidth="1"/>
    <col min="2" max="2" width="9.85546875" bestFit="1" customWidth="1"/>
    <col min="3" max="3" width="10.85546875" bestFit="1" customWidth="1"/>
    <col min="4" max="4" width="6.28515625" bestFit="1" customWidth="1"/>
    <col min="5" max="5" width="7.5703125" bestFit="1" customWidth="1"/>
    <col min="6" max="8" width="9" bestFit="1" customWidth="1"/>
    <col min="9" max="9" width="13.140625" bestFit="1" customWidth="1"/>
    <col min="10" max="10" width="14.85546875" bestFit="1" customWidth="1"/>
    <col min="11" max="11" width="13.28515625" bestFit="1" customWidth="1"/>
    <col min="12" max="12" width="7.5703125" bestFit="1" customWidth="1"/>
    <col min="13" max="15" width="9" bestFit="1" customWidth="1"/>
    <col min="16" max="16" width="13.140625" bestFit="1" customWidth="1"/>
    <col min="17" max="17" width="9" bestFit="1" customWidth="1"/>
    <col min="18" max="31" width="5.140625" bestFit="1" customWidth="1"/>
    <col min="32" max="32" width="2" bestFit="1" customWidth="1"/>
  </cols>
  <sheetData>
    <row r="1" spans="1:31" x14ac:dyDescent="0.25">
      <c r="A1" s="1"/>
      <c r="B1" s="2"/>
      <c r="C1" s="717"/>
      <c r="D1" s="3"/>
      <c r="E1" s="719" t="s">
        <v>0</v>
      </c>
      <c r="F1" s="720"/>
      <c r="G1" s="720"/>
      <c r="H1" s="720"/>
      <c r="I1" s="720"/>
      <c r="J1" s="720"/>
      <c r="K1" s="721"/>
      <c r="L1" s="719" t="s">
        <v>1</v>
      </c>
      <c r="M1" s="720"/>
      <c r="N1" s="720"/>
      <c r="O1" s="720"/>
      <c r="P1" s="720"/>
      <c r="Q1" s="721"/>
      <c r="R1" s="719" t="s">
        <v>2</v>
      </c>
      <c r="S1" s="720"/>
      <c r="T1" s="720"/>
      <c r="U1" s="720"/>
      <c r="V1" s="720"/>
      <c r="W1" s="720"/>
      <c r="X1" s="720"/>
      <c r="Y1" s="720"/>
      <c r="Z1" s="720"/>
      <c r="AA1" s="720"/>
      <c r="AB1" s="720"/>
      <c r="AC1" s="720"/>
      <c r="AD1" s="720"/>
      <c r="AE1" s="3"/>
    </row>
    <row r="2" spans="1:31" x14ac:dyDescent="0.25">
      <c r="A2" s="7"/>
      <c r="B2" s="8"/>
      <c r="C2" s="718"/>
      <c r="D2" s="9"/>
      <c r="E2" s="7"/>
      <c r="F2" s="722" t="s">
        <v>3</v>
      </c>
      <c r="G2" s="723"/>
      <c r="H2" s="724" t="s">
        <v>4</v>
      </c>
      <c r="I2" s="718"/>
      <c r="J2" s="718"/>
      <c r="K2" s="725"/>
      <c r="L2" s="7"/>
      <c r="M2" s="722" t="s">
        <v>3</v>
      </c>
      <c r="N2" s="723"/>
      <c r="O2" s="724" t="s">
        <v>4</v>
      </c>
      <c r="P2" s="718"/>
      <c r="Q2" s="725"/>
      <c r="R2" s="726" t="s">
        <v>5</v>
      </c>
      <c r="S2" s="723"/>
      <c r="T2" s="722" t="s">
        <v>6</v>
      </c>
      <c r="U2" s="723"/>
      <c r="V2" s="722" t="s">
        <v>7</v>
      </c>
      <c r="W2" s="723"/>
      <c r="X2" s="722" t="s">
        <v>8</v>
      </c>
      <c r="Y2" s="723"/>
      <c r="Z2" s="722" t="s">
        <v>9</v>
      </c>
      <c r="AA2" s="723"/>
      <c r="AB2" s="722" t="s">
        <v>10</v>
      </c>
      <c r="AC2" s="723"/>
      <c r="AD2" s="722" t="s">
        <v>11</v>
      </c>
      <c r="AE2" s="727"/>
    </row>
    <row r="3" spans="1:31" ht="15.75" thickBot="1" x14ac:dyDescent="0.3">
      <c r="A3" s="12" t="s">
        <v>12</v>
      </c>
      <c r="B3" s="13" t="s">
        <v>13</v>
      </c>
      <c r="C3" s="14" t="s">
        <v>63</v>
      </c>
      <c r="D3" s="15" t="s">
        <v>14</v>
      </c>
      <c r="E3" s="16" t="s">
        <v>15</v>
      </c>
      <c r="F3" s="17" t="s">
        <v>16</v>
      </c>
      <c r="G3" s="18" t="s">
        <v>17</v>
      </c>
      <c r="H3" s="13" t="s">
        <v>18</v>
      </c>
      <c r="I3" s="14" t="s">
        <v>19</v>
      </c>
      <c r="J3" s="14" t="s">
        <v>187</v>
      </c>
      <c r="K3" s="19" t="s">
        <v>188</v>
      </c>
      <c r="L3" s="16" t="s">
        <v>15</v>
      </c>
      <c r="M3" s="17" t="s">
        <v>16</v>
      </c>
      <c r="N3" s="18" t="s">
        <v>17</v>
      </c>
      <c r="O3" s="13" t="s">
        <v>18</v>
      </c>
      <c r="P3" s="14" t="s">
        <v>19</v>
      </c>
      <c r="Q3" s="19" t="s">
        <v>20</v>
      </c>
      <c r="R3" s="12" t="s">
        <v>21</v>
      </c>
      <c r="S3" s="13" t="s">
        <v>22</v>
      </c>
      <c r="T3" s="17" t="s">
        <v>21</v>
      </c>
      <c r="U3" s="18" t="s">
        <v>22</v>
      </c>
      <c r="V3" s="17" t="s">
        <v>21</v>
      </c>
      <c r="W3" s="18" t="s">
        <v>22</v>
      </c>
      <c r="X3" s="17" t="s">
        <v>21</v>
      </c>
      <c r="Y3" s="18" t="s">
        <v>22</v>
      </c>
      <c r="Z3" s="17" t="s">
        <v>21</v>
      </c>
      <c r="AA3" s="18" t="s">
        <v>22</v>
      </c>
      <c r="AB3" s="17" t="s">
        <v>21</v>
      </c>
      <c r="AC3" s="18" t="s">
        <v>22</v>
      </c>
      <c r="AD3" s="13" t="s">
        <v>21</v>
      </c>
      <c r="AE3" s="15" t="s">
        <v>22</v>
      </c>
    </row>
    <row r="4" spans="1:31" x14ac:dyDescent="0.25">
      <c r="A4" s="20" t="s">
        <v>34</v>
      </c>
      <c r="B4" s="21" t="s">
        <v>24</v>
      </c>
      <c r="C4" s="22">
        <f>Evaluation!D51</f>
        <v>246.71029765399999</v>
      </c>
      <c r="D4" s="70" t="s">
        <v>66</v>
      </c>
      <c r="E4" s="24">
        <v>0</v>
      </c>
      <c r="F4" s="78">
        <v>0</v>
      </c>
      <c r="G4" s="79">
        <v>0</v>
      </c>
      <c r="H4" s="25" t="str">
        <f>VLOOKUP($A4,'Additional Tables'!$A:$I,3,FALSE)</f>
        <v>Not eval.</v>
      </c>
      <c r="I4" s="26" t="str">
        <f>VLOOKUP($A4,'Additional Tables'!$A:$I,4,FALSE)</f>
        <v>Not eval.</v>
      </c>
      <c r="J4" s="26" t="str">
        <f>VLOOKUP($A4,'Additional Tables'!$A:$I,5,FALSE)</f>
        <v>Not eval.</v>
      </c>
      <c r="K4" s="27" t="str">
        <f>VLOOKUP($A4,'Additional Tables'!$A:$I,6,FALSE)</f>
        <v>Not eval.</v>
      </c>
      <c r="L4" s="24">
        <v>0</v>
      </c>
      <c r="M4" s="78">
        <v>0</v>
      </c>
      <c r="N4" s="79">
        <v>0</v>
      </c>
      <c r="O4" s="25" t="str">
        <f>VLOOKUP($A4,'Additional Tables'!$A:$I,7,FALSE)</f>
        <v>Not eval.</v>
      </c>
      <c r="P4" s="26" t="str">
        <f>VLOOKUP($A4,'Additional Tables'!$A:$I,8,FALSE)</f>
        <v>Not eval.</v>
      </c>
      <c r="Q4" s="27" t="str">
        <f>VLOOKUP($A4,'Additional Tables'!$A:$I,9,FALSE)</f>
        <v>Not eval.</v>
      </c>
      <c r="R4" s="20" t="s">
        <v>26</v>
      </c>
      <c r="S4" s="21" t="s">
        <v>26</v>
      </c>
      <c r="T4" s="28" t="s">
        <v>26</v>
      </c>
      <c r="U4" s="29" t="s">
        <v>26</v>
      </c>
      <c r="V4" s="28" t="s">
        <v>26</v>
      </c>
      <c r="W4" s="29" t="s">
        <v>26</v>
      </c>
      <c r="X4" s="28" t="s">
        <v>26</v>
      </c>
      <c r="Y4" s="29" t="s">
        <v>26</v>
      </c>
      <c r="Z4" s="28" t="s">
        <v>26</v>
      </c>
      <c r="AA4" s="29" t="s">
        <v>26</v>
      </c>
      <c r="AB4" s="28" t="s">
        <v>26</v>
      </c>
      <c r="AC4" s="29" t="s">
        <v>26</v>
      </c>
      <c r="AD4" s="21" t="s">
        <v>26</v>
      </c>
      <c r="AE4" s="23" t="s">
        <v>26</v>
      </c>
    </row>
    <row r="5" spans="1:31" x14ac:dyDescent="0.25">
      <c r="A5" s="48" t="s">
        <v>62</v>
      </c>
      <c r="B5" s="49" t="s">
        <v>36</v>
      </c>
      <c r="C5" s="32">
        <f>VLOOKUP(A5,'Total Areas'!A:D,4,FALSE)</f>
        <v>2.4098405480566361</v>
      </c>
      <c r="D5" s="44" t="s">
        <v>66</v>
      </c>
      <c r="E5" s="34"/>
      <c r="F5" s="54"/>
      <c r="G5" s="50"/>
      <c r="H5" s="51">
        <f>VLOOKUP($A5,'Additional Tables'!$A:$I,3,FALSE)</f>
        <v>0</v>
      </c>
      <c r="I5" s="52">
        <f>VLOOKUP($A5,'Additional Tables'!$A:$I,4,FALSE)</f>
        <v>0</v>
      </c>
      <c r="J5" s="52">
        <f>VLOOKUP($A5,'Additional Tables'!$A:$I,5,FALSE)</f>
        <v>0</v>
      </c>
      <c r="K5" s="53">
        <f>VLOOKUP($A5,'Additional Tables'!$A:$I,6,FALSE)</f>
        <v>0</v>
      </c>
      <c r="L5" s="34"/>
      <c r="M5" s="54"/>
      <c r="N5" s="50"/>
      <c r="O5" s="51">
        <f>VLOOKUP($A5,'Additional Tables'!$A:$I,7,FALSE)</f>
        <v>3.0822778918631347E-2</v>
      </c>
      <c r="P5" s="52">
        <f>VLOOKUP($A5,'Additional Tables'!$A:$I,8,FALSE)</f>
        <v>3.2653169433025819E-4</v>
      </c>
      <c r="Q5" s="53" t="str">
        <f>VLOOKUP($A5,'Additional Tables'!$A:$I,9,FALSE)</f>
        <v>Not eval.</v>
      </c>
      <c r="R5" s="57">
        <v>0</v>
      </c>
      <c r="S5" s="51">
        <v>0</v>
      </c>
      <c r="T5" s="54">
        <v>9.2213403270302123E-8</v>
      </c>
      <c r="U5" s="50">
        <v>0</v>
      </c>
      <c r="V5" s="54">
        <v>4.9686875520921599E-7</v>
      </c>
      <c r="W5" s="50">
        <v>0</v>
      </c>
      <c r="X5" s="54">
        <v>6.1005634289325682E-7</v>
      </c>
      <c r="Y5" s="50">
        <v>0</v>
      </c>
      <c r="Z5" s="54">
        <v>0</v>
      </c>
      <c r="AA5" s="50">
        <v>0</v>
      </c>
      <c r="AB5" s="54">
        <v>0</v>
      </c>
      <c r="AC5" s="50">
        <v>0</v>
      </c>
      <c r="AD5" s="51">
        <v>0</v>
      </c>
      <c r="AE5" s="56">
        <v>0</v>
      </c>
    </row>
    <row r="6" spans="1:31" x14ac:dyDescent="0.25">
      <c r="A6" s="48" t="s">
        <v>40</v>
      </c>
      <c r="B6" s="49" t="s">
        <v>36</v>
      </c>
      <c r="C6" s="32">
        <f>VLOOKUP(A6,'Total Areas'!A:D,4,FALSE)</f>
        <v>85.373403217248836</v>
      </c>
      <c r="D6" s="44" t="s">
        <v>65</v>
      </c>
      <c r="E6" s="34">
        <v>8</v>
      </c>
      <c r="F6" s="54">
        <v>0</v>
      </c>
      <c r="G6" s="50">
        <v>5.0724637681159424E-2</v>
      </c>
      <c r="H6" s="51">
        <f>VLOOKUP($A6,'Additional Tables'!$A:$I,3,FALSE)</f>
        <v>1.1134751223492093E-2</v>
      </c>
      <c r="I6" s="52">
        <f>VLOOKUP($A6,'Additional Tables'!$A:$I,4,FALSE)</f>
        <v>2.4623359797757861E-2</v>
      </c>
      <c r="J6" s="52">
        <f>VLOOKUP($A6,'Additional Tables'!$A:$I,5,FALSE)</f>
        <v>4.7999999999999996E-3</v>
      </c>
      <c r="K6" s="53">
        <f>VLOOKUP($A6,'Additional Tables'!$A:$I,6,FALSE)</f>
        <v>1.1299999999999999E-2</v>
      </c>
      <c r="L6" s="34">
        <v>6</v>
      </c>
      <c r="M6" s="54">
        <v>0</v>
      </c>
      <c r="N6" s="50">
        <v>4.3478260869565216E-2</v>
      </c>
      <c r="O6" s="51">
        <f>VLOOKUP($A6,'Additional Tables'!$A:$I,7,FALSE)</f>
        <v>7.0241969829890186E-2</v>
      </c>
      <c r="P6" s="52">
        <f>VLOOKUP($A6,'Additional Tables'!$A:$I,8,FALSE)</f>
        <v>2.565485528054039E-2</v>
      </c>
      <c r="Q6" s="53">
        <f>VLOOKUP($A6,'Additional Tables'!$A:$I,9,FALSE)</f>
        <v>2.7987620096284454E-2</v>
      </c>
      <c r="R6" s="57">
        <v>2.2151030190055163E-3</v>
      </c>
      <c r="S6" s="51">
        <v>0</v>
      </c>
      <c r="T6" s="54">
        <v>2.7355718376715151E-3</v>
      </c>
      <c r="U6" s="50">
        <v>7.3218195163591085E-4</v>
      </c>
      <c r="V6" s="54">
        <v>1.2758749019533507E-3</v>
      </c>
      <c r="W6" s="50">
        <v>1.7661257467511862E-4</v>
      </c>
      <c r="X6" s="54">
        <v>1.2109959800641989E-3</v>
      </c>
      <c r="Y6" s="50">
        <v>2.2493477779657869E-3</v>
      </c>
      <c r="Z6" s="54">
        <v>1.368056485100469E-3</v>
      </c>
      <c r="AA6" s="50">
        <v>0</v>
      </c>
      <c r="AB6" s="54">
        <v>3.2471279542482145E-4</v>
      </c>
      <c r="AC6" s="50">
        <v>7.3150391660328393E-4</v>
      </c>
      <c r="AD6" s="51">
        <v>2.1744258450579114E-4</v>
      </c>
      <c r="AE6" s="56">
        <v>4.1392705506087618E-5</v>
      </c>
    </row>
    <row r="7" spans="1:31" x14ac:dyDescent="0.25">
      <c r="A7" s="30" t="s">
        <v>29</v>
      </c>
      <c r="B7" s="31" t="s">
        <v>24</v>
      </c>
      <c r="C7" s="32">
        <f>VLOOKUP(A7,'Total Areas'!A:D,4,FALSE)</f>
        <v>137.02318723869843</v>
      </c>
      <c r="D7" s="44" t="s">
        <v>65</v>
      </c>
      <c r="E7" s="34">
        <v>8</v>
      </c>
      <c r="F7" s="35">
        <v>4.2944785276073622E-2</v>
      </c>
      <c r="G7" s="36">
        <v>1.0341261633919339E-3</v>
      </c>
      <c r="H7" s="37">
        <f>VLOOKUP($A7,'Additional Tables'!$A:$I,3,FALSE)</f>
        <v>2.4552878623141667E-2</v>
      </c>
      <c r="I7" s="38">
        <f>VLOOKUP($A7,'Additional Tables'!$A:$I,4,FALSE)</f>
        <v>1.857982415763211E-2</v>
      </c>
      <c r="J7" s="38">
        <f>VLOOKUP($A7,'Additional Tables'!$A:$I,5,FALSE)</f>
        <v>3.5999999999999999E-3</v>
      </c>
      <c r="K7" s="39">
        <f>VLOOKUP($A7,'Additional Tables'!$A:$I,6,FALSE)</f>
        <v>9.5999999999999992E-3</v>
      </c>
      <c r="L7" s="34">
        <v>11</v>
      </c>
      <c r="M7" s="35">
        <v>1.8404907975460124E-2</v>
      </c>
      <c r="N7" s="36">
        <v>8.2730093071354711E-3</v>
      </c>
      <c r="O7" s="37">
        <f>VLOOKUP($A7,'Additional Tables'!$A:$I,7,FALSE)</f>
        <v>4.5306587346395227E-2</v>
      </c>
      <c r="P7" s="38">
        <f>VLOOKUP($A7,'Additional Tables'!$A:$I,8,FALSE)</f>
        <v>1.880574040099885E-2</v>
      </c>
      <c r="Q7" s="39">
        <f>VLOOKUP($A7,'Additional Tables'!$A:$I,9,FALSE)</f>
        <v>2.5583333035143086E-2</v>
      </c>
      <c r="R7" s="30" t="s">
        <v>26</v>
      </c>
      <c r="S7" s="31" t="s">
        <v>26</v>
      </c>
      <c r="T7" s="40" t="s">
        <v>26</v>
      </c>
      <c r="U7" s="41" t="s">
        <v>26</v>
      </c>
      <c r="V7" s="40" t="s">
        <v>26</v>
      </c>
      <c r="W7" s="41" t="s">
        <v>26</v>
      </c>
      <c r="X7" s="40" t="s">
        <v>26</v>
      </c>
      <c r="Y7" s="41" t="s">
        <v>26</v>
      </c>
      <c r="Z7" s="40" t="s">
        <v>26</v>
      </c>
      <c r="AA7" s="41" t="s">
        <v>26</v>
      </c>
      <c r="AB7" s="40" t="s">
        <v>26</v>
      </c>
      <c r="AC7" s="41" t="s">
        <v>26</v>
      </c>
      <c r="AD7" s="31" t="s">
        <v>26</v>
      </c>
      <c r="AE7" s="33" t="s">
        <v>26</v>
      </c>
    </row>
    <row r="8" spans="1:31" x14ac:dyDescent="0.25">
      <c r="A8" s="127" t="s">
        <v>92</v>
      </c>
      <c r="B8" s="43" t="s">
        <v>24</v>
      </c>
      <c r="C8" s="32">
        <f>Evaluation!D41</f>
        <v>925.07457039227711</v>
      </c>
      <c r="D8" s="44" t="s">
        <v>65</v>
      </c>
      <c r="E8" s="34">
        <f>E45-E10</f>
        <v>1</v>
      </c>
      <c r="F8" s="35"/>
      <c r="G8" s="36"/>
      <c r="H8" s="37" t="e">
        <f>VLOOKUP($A8,'Additional Tables'!$A:$I,3,FALSE)*2</f>
        <v>#N/A</v>
      </c>
      <c r="I8" s="38" t="e">
        <f>VLOOKUP($A8,'Additional Tables'!$A:$I,4,FALSE)*2</f>
        <v>#N/A</v>
      </c>
      <c r="J8" s="38" t="e">
        <f>VLOOKUP($A8,'Additional Tables'!$A:$I,5,FALSE)*2</f>
        <v>#N/A</v>
      </c>
      <c r="K8" s="39" t="e">
        <f>VLOOKUP($A8,'Additional Tables'!$A:$I,6,FALSE)*2</f>
        <v>#N/A</v>
      </c>
      <c r="L8" s="34">
        <f>L45-L10</f>
        <v>0</v>
      </c>
      <c r="M8" s="35"/>
      <c r="N8" s="36"/>
      <c r="O8" s="37" t="e">
        <f>VLOOKUP($A8,'Additional Tables'!$A:$I,7,FALSE)*2</f>
        <v>#N/A</v>
      </c>
      <c r="P8" s="38" t="e">
        <f>VLOOKUP($A8,'Additional Tables'!$A:$I,8,FALSE)*2</f>
        <v>#N/A</v>
      </c>
      <c r="Q8" s="39" t="e">
        <f>VLOOKUP($A8,'Additional Tables'!$A:$I,9,FALSE)*2</f>
        <v>#N/A</v>
      </c>
      <c r="R8" s="30" t="s">
        <v>26</v>
      </c>
      <c r="S8" s="31" t="s">
        <v>26</v>
      </c>
      <c r="T8" s="40" t="s">
        <v>26</v>
      </c>
      <c r="U8" s="41" t="s">
        <v>26</v>
      </c>
      <c r="V8" s="40" t="s">
        <v>26</v>
      </c>
      <c r="W8" s="41" t="s">
        <v>26</v>
      </c>
      <c r="X8" s="40" t="s">
        <v>26</v>
      </c>
      <c r="Y8" s="41" t="s">
        <v>26</v>
      </c>
      <c r="Z8" s="40" t="s">
        <v>26</v>
      </c>
      <c r="AA8" s="41" t="s">
        <v>26</v>
      </c>
      <c r="AB8" s="40" t="s">
        <v>26</v>
      </c>
      <c r="AC8" s="41" t="s">
        <v>26</v>
      </c>
      <c r="AD8" s="31" t="s">
        <v>26</v>
      </c>
      <c r="AE8" s="33" t="s">
        <v>26</v>
      </c>
    </row>
    <row r="9" spans="1:31" ht="23.25" x14ac:dyDescent="0.25">
      <c r="A9" s="58" t="s">
        <v>93</v>
      </c>
      <c r="B9" s="49" t="s">
        <v>36</v>
      </c>
      <c r="C9" s="32">
        <f>Evaluation!D42</f>
        <v>687.43069920901894</v>
      </c>
      <c r="D9" s="44" t="s">
        <v>65</v>
      </c>
      <c r="E9" s="34">
        <f>E44-E11-E12</f>
        <v>16</v>
      </c>
      <c r="F9" s="54">
        <f>F44-F11-F12</f>
        <v>0</v>
      </c>
      <c r="G9" s="50">
        <f>G44-G11-G12</f>
        <v>2.2727272727272728E-2</v>
      </c>
      <c r="H9" s="51" t="e">
        <f>VLOOKUP($A9,'Additional Tables'!$A:$I,3,FALSE)*2</f>
        <v>#N/A</v>
      </c>
      <c r="I9" s="52" t="e">
        <f>VLOOKUP($A9,'Additional Tables'!$A:$I,4,FALSE)*2</f>
        <v>#N/A</v>
      </c>
      <c r="J9" s="52" t="e">
        <f>VLOOKUP($A9,'Additional Tables'!$A:$I,5,FALSE)*2</f>
        <v>#N/A</v>
      </c>
      <c r="K9" s="53" t="e">
        <f>VLOOKUP($A9,'Additional Tables'!$A:$I,6,FALSE)*2</f>
        <v>#N/A</v>
      </c>
      <c r="L9" s="34">
        <f>L44-L11-L12</f>
        <v>11</v>
      </c>
      <c r="M9" s="54">
        <f>M44-M11-M12</f>
        <v>0</v>
      </c>
      <c r="N9" s="50">
        <f>N44-N11-N12</f>
        <v>7.9545454545454544E-2</v>
      </c>
      <c r="O9" s="51" t="e">
        <f>VLOOKUP($A9,'Additional Tables'!$A:$I,7,FALSE)*2</f>
        <v>#N/A</v>
      </c>
      <c r="P9" s="52" t="e">
        <f>VLOOKUP($A9,'Additional Tables'!$A:$I,8,FALSE)*2</f>
        <v>#N/A</v>
      </c>
      <c r="Q9" s="53" t="e">
        <f>VLOOKUP($A9,'Additional Tables'!$A:$I,9,FALSE)*2</f>
        <v>#N/A</v>
      </c>
      <c r="R9" s="57">
        <f t="shared" ref="R9:AE9" si="0">R44-R11-R12</f>
        <v>3.8460945477362906E-5</v>
      </c>
      <c r="S9" s="51">
        <f t="shared" si="0"/>
        <v>5.4769576844117457E-6</v>
      </c>
      <c r="T9" s="54">
        <f t="shared" si="0"/>
        <v>4.0209554403330042E-5</v>
      </c>
      <c r="U9" s="50">
        <f t="shared" si="0"/>
        <v>2.6231064549352433E-4</v>
      </c>
      <c r="V9" s="54">
        <f t="shared" si="0"/>
        <v>1.4800453878964085E-3</v>
      </c>
      <c r="W9" s="50">
        <f t="shared" si="0"/>
        <v>1.235380506894213E-4</v>
      </c>
      <c r="X9" s="54">
        <f t="shared" si="0"/>
        <v>3.5627937339580543E-2</v>
      </c>
      <c r="Y9" s="50">
        <f t="shared" si="0"/>
        <v>4.0900834297394253E-4</v>
      </c>
      <c r="Z9" s="54">
        <f t="shared" si="0"/>
        <v>4.1379126153085216E-5</v>
      </c>
      <c r="AA9" s="50">
        <f t="shared" si="0"/>
        <v>0</v>
      </c>
      <c r="AB9" s="54">
        <f t="shared" si="0"/>
        <v>1.1200876221298956E-3</v>
      </c>
      <c r="AC9" s="50">
        <f t="shared" si="0"/>
        <v>3.0390734690183084E-4</v>
      </c>
      <c r="AD9" s="51">
        <f t="shared" si="0"/>
        <v>2.7246832801358893E-5</v>
      </c>
      <c r="AE9" s="56">
        <f t="shared" si="0"/>
        <v>0</v>
      </c>
    </row>
    <row r="10" spans="1:31" x14ac:dyDescent="0.25">
      <c r="A10" s="30" t="s">
        <v>31</v>
      </c>
      <c r="B10" s="31" t="s">
        <v>24</v>
      </c>
      <c r="C10" s="32">
        <f>VLOOKUP(A10,'Total Areas'!A:D,4,FALSE)</f>
        <v>107.79542960772275</v>
      </c>
      <c r="D10" s="44" t="s">
        <v>65</v>
      </c>
      <c r="E10" s="34">
        <v>10</v>
      </c>
      <c r="F10" s="35">
        <v>0.26315789473684209</v>
      </c>
      <c r="G10" s="36" t="s">
        <v>25</v>
      </c>
      <c r="H10" s="37">
        <f>VLOOKUP($A10,'Additional Tables'!$A:$I,3,FALSE)</f>
        <v>3.7881820745522932E-2</v>
      </c>
      <c r="I10" s="38">
        <f>VLOOKUP($A10,'Additional Tables'!$A:$I,4,FALSE)</f>
        <v>3.1910452068070951E-2</v>
      </c>
      <c r="J10" s="38">
        <f>VLOOKUP($A10,'Additional Tables'!$A:$I,5,FALSE)</f>
        <v>1.1000000000000001E-3</v>
      </c>
      <c r="K10" s="39">
        <f>VLOOKUP($A10,'Additional Tables'!$A:$I,6,FALSE)</f>
        <v>2.8E-3</v>
      </c>
      <c r="L10" s="34">
        <v>1</v>
      </c>
      <c r="M10" s="35">
        <v>2.6315789473684209E-2</v>
      </c>
      <c r="N10" s="36" t="s">
        <v>25</v>
      </c>
      <c r="O10" s="37">
        <f>VLOOKUP($A10,'Additional Tables'!$A:$I,7,FALSE)</f>
        <v>2.6125562687460434E-2</v>
      </c>
      <c r="P10" s="38">
        <f>VLOOKUP($A10,'Additional Tables'!$A:$I,8,FALSE)</f>
        <v>3.2569921649179302E-2</v>
      </c>
      <c r="Q10" s="39" t="str">
        <f>VLOOKUP($A10,'Additional Tables'!$A:$I,9,FALSE)</f>
        <v>Not eval.</v>
      </c>
      <c r="R10" s="30" t="s">
        <v>26</v>
      </c>
      <c r="S10" s="31" t="s">
        <v>26</v>
      </c>
      <c r="T10" s="40" t="s">
        <v>26</v>
      </c>
      <c r="U10" s="41" t="s">
        <v>26</v>
      </c>
      <c r="V10" s="40" t="s">
        <v>26</v>
      </c>
      <c r="W10" s="41" t="s">
        <v>26</v>
      </c>
      <c r="X10" s="40" t="s">
        <v>26</v>
      </c>
      <c r="Y10" s="41" t="s">
        <v>26</v>
      </c>
      <c r="Z10" s="40" t="s">
        <v>26</v>
      </c>
      <c r="AA10" s="41" t="s">
        <v>26</v>
      </c>
      <c r="AB10" s="40" t="s">
        <v>26</v>
      </c>
      <c r="AC10" s="41" t="s">
        <v>26</v>
      </c>
      <c r="AD10" s="31" t="s">
        <v>26</v>
      </c>
      <c r="AE10" s="33" t="s">
        <v>26</v>
      </c>
    </row>
    <row r="11" spans="1:31" x14ac:dyDescent="0.25">
      <c r="A11" s="48" t="s">
        <v>86</v>
      </c>
      <c r="B11" s="49" t="s">
        <v>36</v>
      </c>
      <c r="C11" s="32">
        <f>VLOOKUP(A11,'Total Areas'!A:D,4,FALSE)</f>
        <v>26.593810021275132</v>
      </c>
      <c r="D11" s="44" t="s">
        <v>65</v>
      </c>
      <c r="E11" s="34"/>
      <c r="F11" s="54"/>
      <c r="G11" s="50"/>
      <c r="H11" s="51">
        <f>VLOOKUP($A11,'Additional Tables'!$A:$I,3,FALSE)</f>
        <v>1.5117875845340132E-2</v>
      </c>
      <c r="I11" s="52">
        <f>VLOOKUP($A11,'Additional Tables'!$A:$I,4,FALSE)</f>
        <v>7.5757611770023167E-3</v>
      </c>
      <c r="J11" s="52">
        <f>VLOOKUP($A11,'Additional Tables'!$A:$I,5,FALSE)</f>
        <v>1E-3</v>
      </c>
      <c r="K11" s="53">
        <f>VLOOKUP($A11,'Additional Tables'!$A:$I,6,FALSE)</f>
        <v>1.1999999999999999E-3</v>
      </c>
      <c r="L11" s="34"/>
      <c r="M11" s="54"/>
      <c r="N11" s="50"/>
      <c r="O11" s="51">
        <f>VLOOKUP($A11,'Additional Tables'!$A:$I,7,FALSE)</f>
        <v>0</v>
      </c>
      <c r="P11" s="52">
        <f>VLOOKUP($A11,'Additional Tables'!$A:$I,8,FALSE)</f>
        <v>7.0378290763373286E-3</v>
      </c>
      <c r="Q11" s="53">
        <f>VLOOKUP($A11,'Additional Tables'!$A:$I,9,FALSE)</f>
        <v>5.5096031027057442E-3</v>
      </c>
      <c r="R11" s="57">
        <v>5.5979299856661627E-7</v>
      </c>
      <c r="S11" s="51">
        <v>0</v>
      </c>
      <c r="T11" s="54">
        <v>4.4617969372386121E-7</v>
      </c>
      <c r="U11" s="50">
        <v>4.6713805398627935E-5</v>
      </c>
      <c r="V11" s="54">
        <v>3.1909988467566142E-5</v>
      </c>
      <c r="W11" s="50">
        <v>0</v>
      </c>
      <c r="X11" s="54">
        <v>1.0895369221981537E-3</v>
      </c>
      <c r="Y11" s="50">
        <v>0</v>
      </c>
      <c r="Z11" s="54">
        <v>3.3879325919507012E-5</v>
      </c>
      <c r="AA11" s="50">
        <v>0</v>
      </c>
      <c r="AB11" s="54">
        <v>1.9656010757284125E-5</v>
      </c>
      <c r="AC11" s="50">
        <v>4.5244565472050367E-6</v>
      </c>
      <c r="AD11" s="51">
        <v>5.7215313768130211E-7</v>
      </c>
      <c r="AE11" s="56">
        <v>0</v>
      </c>
    </row>
    <row r="12" spans="1:31" x14ac:dyDescent="0.25">
      <c r="A12" s="48" t="s">
        <v>87</v>
      </c>
      <c r="B12" s="49" t="s">
        <v>36</v>
      </c>
      <c r="C12" s="32">
        <f>VLOOKUP(A12,'Total Areas'!A:D,4,FALSE)</f>
        <v>10.955490769705944</v>
      </c>
      <c r="D12" s="44" t="s">
        <v>65</v>
      </c>
      <c r="E12" s="34"/>
      <c r="F12" s="54"/>
      <c r="G12" s="50"/>
      <c r="H12" s="51">
        <f>VLOOKUP($A12,'Additional Tables'!$A:$I,3,FALSE)</f>
        <v>1.790107590632594E-2</v>
      </c>
      <c r="I12" s="52">
        <f>VLOOKUP($A12,'Additional Tables'!$A:$I,4,FALSE)</f>
        <v>3.0566865639211171E-3</v>
      </c>
      <c r="J12" s="52">
        <f>VLOOKUP($A12,'Additional Tables'!$A:$I,5,FALSE)</f>
        <v>5.0000000000000001E-4</v>
      </c>
      <c r="K12" s="53">
        <f>VLOOKUP($A12,'Additional Tables'!$A:$I,6,FALSE)</f>
        <v>8.0000000000000004E-4</v>
      </c>
      <c r="L12" s="34"/>
      <c r="M12" s="54"/>
      <c r="N12" s="50"/>
      <c r="O12" s="51">
        <f>VLOOKUP($A12,'Additional Tables'!$A:$I,7,FALSE)</f>
        <v>7.7625383575201545E-2</v>
      </c>
      <c r="P12" s="52">
        <f>VLOOKUP($A12,'Additional Tables'!$A:$I,8,FALSE)</f>
        <v>3.1198568318818645E-3</v>
      </c>
      <c r="Q12" s="53">
        <f>VLOOKUP($A12,'Additional Tables'!$A:$I,9,FALSE)</f>
        <v>2.159889493265608E-3</v>
      </c>
      <c r="R12" s="57">
        <v>1.8487999222885877E-7</v>
      </c>
      <c r="S12" s="51">
        <v>0</v>
      </c>
      <c r="T12" s="54">
        <v>1.6870742079365538E-7</v>
      </c>
      <c r="U12" s="50">
        <v>3.5654224910055025E-5</v>
      </c>
      <c r="V12" s="54">
        <v>1.7469789130747369E-5</v>
      </c>
      <c r="W12" s="50">
        <v>8.2702146939506622E-6</v>
      </c>
      <c r="X12" s="54">
        <v>4.8474732723400297E-4</v>
      </c>
      <c r="Y12" s="50">
        <v>8.3167286823959439E-5</v>
      </c>
      <c r="Z12" s="54">
        <v>1.3341853808987373E-5</v>
      </c>
      <c r="AA12" s="50">
        <v>0</v>
      </c>
      <c r="AB12" s="54">
        <v>9.3045953463722791E-6</v>
      </c>
      <c r="AC12" s="50">
        <v>4.7442546399185863E-5</v>
      </c>
      <c r="AD12" s="51">
        <v>1.0754293773155371E-7</v>
      </c>
      <c r="AE12" s="56">
        <v>0</v>
      </c>
    </row>
    <row r="13" spans="1:31" x14ac:dyDescent="0.25">
      <c r="A13" s="48" t="s">
        <v>58</v>
      </c>
      <c r="B13" s="49" t="s">
        <v>36</v>
      </c>
      <c r="C13" s="32">
        <f>VLOOKUP(A13,'Total Areas'!A:D,4,FALSE)</f>
        <v>32.083536191323411</v>
      </c>
      <c r="D13" s="44" t="s">
        <v>65</v>
      </c>
      <c r="E13" s="34"/>
      <c r="F13" s="54"/>
      <c r="G13" s="50"/>
      <c r="H13" s="51">
        <f>VLOOKUP($A13,'Additional Tables'!$A:$I,3,FALSE)</f>
        <v>1.9182468888244507E-2</v>
      </c>
      <c r="I13" s="52">
        <f>VLOOKUP($A13,'Additional Tables'!$A:$I,4,FALSE)</f>
        <v>6.5851433844833504E-3</v>
      </c>
      <c r="J13" s="52">
        <f>VLOOKUP($A13,'Additional Tables'!$A:$I,5,FALSE)</f>
        <v>1.5E-3</v>
      </c>
      <c r="K13" s="53">
        <f>VLOOKUP($A13,'Additional Tables'!$A:$I,6,FALSE)</f>
        <v>4.4999999999999997E-3</v>
      </c>
      <c r="L13" s="34"/>
      <c r="M13" s="54"/>
      <c r="N13" s="50"/>
      <c r="O13" s="51">
        <f>VLOOKUP($A13,'Additional Tables'!$A:$I,7,FALSE)</f>
        <v>9.1729866012096192E-2</v>
      </c>
      <c r="P13" s="52">
        <f>VLOOKUP($A13,'Additional Tables'!$A:$I,8,FALSE)</f>
        <v>6.1568585278571827E-3</v>
      </c>
      <c r="Q13" s="53">
        <f>VLOOKUP($A13,'Additional Tables'!$A:$I,9,FALSE)</f>
        <v>1.0458699993903453E-2</v>
      </c>
      <c r="R13" s="57">
        <v>7.9450256701903631E-4</v>
      </c>
      <c r="S13" s="51">
        <v>0</v>
      </c>
      <c r="T13" s="54">
        <v>9.3103700762460159E-4</v>
      </c>
      <c r="U13" s="50">
        <v>0</v>
      </c>
      <c r="V13" s="54">
        <v>4.7230828212106729E-4</v>
      </c>
      <c r="W13" s="50">
        <v>0</v>
      </c>
      <c r="X13" s="54">
        <v>7.3732352747529328E-4</v>
      </c>
      <c r="Y13" s="50">
        <v>0</v>
      </c>
      <c r="Z13" s="54">
        <v>5.2428676533091388E-4</v>
      </c>
      <c r="AA13" s="50">
        <v>0</v>
      </c>
      <c r="AB13" s="54">
        <v>1.1669075079947466E-4</v>
      </c>
      <c r="AC13" s="50">
        <v>0</v>
      </c>
      <c r="AD13" s="51">
        <v>8.6869411000702396E-5</v>
      </c>
      <c r="AE13" s="56">
        <v>0</v>
      </c>
    </row>
    <row r="14" spans="1:31" x14ac:dyDescent="0.25">
      <c r="A14" s="48" t="s">
        <v>59</v>
      </c>
      <c r="B14" s="49" t="s">
        <v>36</v>
      </c>
      <c r="C14" s="32">
        <f>VLOOKUP(A14,'Total Areas'!A:D,4,FALSE)</f>
        <v>13.762464268752073</v>
      </c>
      <c r="D14" s="44" t="s">
        <v>65</v>
      </c>
      <c r="E14" s="34"/>
      <c r="F14" s="54"/>
      <c r="G14" s="50"/>
      <c r="H14" s="51">
        <f>VLOOKUP($A14,'Additional Tables'!$A:$I,3,FALSE)</f>
        <v>8.7131625781790342E-3</v>
      </c>
      <c r="I14" s="52">
        <f>VLOOKUP($A14,'Additional Tables'!$A:$I,4,FALSE)</f>
        <v>2.0693833240171839E-3</v>
      </c>
      <c r="J14" s="52">
        <f>VLOOKUP($A14,'Additional Tables'!$A:$I,5,FALSE)</f>
        <v>6.9999999999999999E-4</v>
      </c>
      <c r="K14" s="53">
        <f>VLOOKUP($A14,'Additional Tables'!$A:$I,6,FALSE)</f>
        <v>5.0000000000000001E-4</v>
      </c>
      <c r="L14" s="34"/>
      <c r="M14" s="54"/>
      <c r="N14" s="50"/>
      <c r="O14" s="51">
        <f>VLOOKUP($A14,'Additional Tables'!$A:$I,7,FALSE)</f>
        <v>1.0370963400303463E-2</v>
      </c>
      <c r="P14" s="52">
        <f>VLOOKUP($A14,'Additional Tables'!$A:$I,8,FALSE)</f>
        <v>1.8217472153483441E-3</v>
      </c>
      <c r="Q14" s="53">
        <f>VLOOKUP($A14,'Additional Tables'!$A:$I,9,FALSE)</f>
        <v>2.0272969472756369E-3</v>
      </c>
      <c r="R14" s="57">
        <v>1.5966129668985374E-4</v>
      </c>
      <c r="S14" s="51">
        <v>0</v>
      </c>
      <c r="T14" s="54">
        <v>1.5196343789863889E-4</v>
      </c>
      <c r="U14" s="50">
        <v>0</v>
      </c>
      <c r="V14" s="54">
        <v>6.3502696389910841E-5</v>
      </c>
      <c r="W14" s="50">
        <v>0</v>
      </c>
      <c r="X14" s="54">
        <v>9.6016932309259226E-4</v>
      </c>
      <c r="Y14" s="50">
        <v>0</v>
      </c>
      <c r="Z14" s="54">
        <v>1.0501975800528849E-4</v>
      </c>
      <c r="AA14" s="50">
        <v>0</v>
      </c>
      <c r="AB14" s="54">
        <v>4.5187919731586429E-5</v>
      </c>
      <c r="AC14" s="50">
        <v>0</v>
      </c>
      <c r="AD14" s="51">
        <v>2.343162152470564E-5</v>
      </c>
      <c r="AE14" s="56">
        <v>0</v>
      </c>
    </row>
    <row r="15" spans="1:31" x14ac:dyDescent="0.25">
      <c r="A15" s="48" t="s">
        <v>52</v>
      </c>
      <c r="B15" s="49" t="s">
        <v>36</v>
      </c>
      <c r="C15" s="32">
        <f>VLOOKUP(A15,'Total Areas'!A:D,4,FALSE)</f>
        <v>3.5411670821825543</v>
      </c>
      <c r="D15" s="44" t="s">
        <v>67</v>
      </c>
      <c r="E15" s="34"/>
      <c r="F15" s="54"/>
      <c r="G15" s="50"/>
      <c r="H15" s="51">
        <f>VLOOKUP($A15,'Additional Tables'!$A:$I,3,FALSE)</f>
        <v>0</v>
      </c>
      <c r="I15" s="52">
        <f>VLOOKUP($A15,'Additional Tables'!$A:$I,4,FALSE)</f>
        <v>0</v>
      </c>
      <c r="J15" s="52">
        <f>VLOOKUP($A15,'Additional Tables'!$A:$I,5,FALSE)</f>
        <v>0</v>
      </c>
      <c r="K15" s="53">
        <f>VLOOKUP($A15,'Additional Tables'!$A:$I,6,FALSE)</f>
        <v>0</v>
      </c>
      <c r="L15" s="34"/>
      <c r="M15" s="54"/>
      <c r="N15" s="50"/>
      <c r="O15" s="51">
        <f>VLOOKUP($A15,'Additional Tables'!$A:$I,7,FALSE)</f>
        <v>5.4301818557552879E-3</v>
      </c>
      <c r="P15" s="52">
        <f>VLOOKUP($A15,'Additional Tables'!$A:$I,8,FALSE)</f>
        <v>5.7526496444790175E-5</v>
      </c>
      <c r="Q15" s="53" t="str">
        <f>VLOOKUP($A15,'Additional Tables'!$A:$I,9,FALSE)</f>
        <v>Not eval.</v>
      </c>
      <c r="R15" s="57">
        <v>3.4495884532313292E-8</v>
      </c>
      <c r="S15" s="51">
        <v>0</v>
      </c>
      <c r="T15" s="54">
        <v>3.706444674252506E-8</v>
      </c>
      <c r="U15" s="50">
        <v>1.3310567449033118E-5</v>
      </c>
      <c r="V15" s="54">
        <v>0</v>
      </c>
      <c r="W15" s="50">
        <v>0</v>
      </c>
      <c r="X15" s="54">
        <v>1.5913324069575471E-5</v>
      </c>
      <c r="Y15" s="50">
        <v>0</v>
      </c>
      <c r="Z15" s="54">
        <v>1.1695916138751027E-6</v>
      </c>
      <c r="AA15" s="50">
        <v>0</v>
      </c>
      <c r="AB15" s="54">
        <v>3.2938496506504361E-8</v>
      </c>
      <c r="AC15" s="50">
        <v>6.9557295956318502E-6</v>
      </c>
      <c r="AD15" s="51">
        <v>0</v>
      </c>
      <c r="AE15" s="56">
        <v>0</v>
      </c>
    </row>
    <row r="16" spans="1:31" x14ac:dyDescent="0.25">
      <c r="A16" s="48" t="s">
        <v>57</v>
      </c>
      <c r="B16" s="49" t="s">
        <v>36</v>
      </c>
      <c r="C16" s="32">
        <f>VLOOKUP(A16,'Total Areas'!A:D,4,FALSE)</f>
        <v>9.417736679411064</v>
      </c>
      <c r="D16" s="44" t="s">
        <v>67</v>
      </c>
      <c r="E16" s="34"/>
      <c r="F16" s="54"/>
      <c r="G16" s="50"/>
      <c r="H16" s="51">
        <f>VLOOKUP($A16,'Additional Tables'!$A:$I,3,FALSE)</f>
        <v>0</v>
      </c>
      <c r="I16" s="52">
        <f>VLOOKUP($A16,'Additional Tables'!$A:$I,4,FALSE)</f>
        <v>2.7398028980772744E-3</v>
      </c>
      <c r="J16" s="52">
        <f>VLOOKUP($A16,'Additional Tables'!$A:$I,5,FALSE)</f>
        <v>1E-4</v>
      </c>
      <c r="K16" s="53">
        <f>VLOOKUP($A16,'Additional Tables'!$A:$I,6,FALSE)</f>
        <v>1E-4</v>
      </c>
      <c r="L16" s="34"/>
      <c r="M16" s="54"/>
      <c r="N16" s="50"/>
      <c r="O16" s="51">
        <f>VLOOKUP($A16,'Additional Tables'!$A:$I,7,FALSE)</f>
        <v>3.6110073163838956E-2</v>
      </c>
      <c r="P16" s="52">
        <f>VLOOKUP($A16,'Additional Tables'!$A:$I,8,FALSE)</f>
        <v>3.031077875465448E-3</v>
      </c>
      <c r="Q16" s="53" t="str">
        <f>VLOOKUP($A16,'Additional Tables'!$A:$I,9,FALSE)</f>
        <v>Not eval.</v>
      </c>
      <c r="R16" s="57">
        <v>3.2394998057067057E-8</v>
      </c>
      <c r="S16" s="51">
        <v>0</v>
      </c>
      <c r="T16" s="54">
        <v>1.60795369688128E-6</v>
      </c>
      <c r="U16" s="50">
        <v>0</v>
      </c>
      <c r="V16" s="54">
        <v>0</v>
      </c>
      <c r="W16" s="50">
        <v>0</v>
      </c>
      <c r="X16" s="54">
        <v>1.9505534222340942E-5</v>
      </c>
      <c r="Y16" s="50">
        <v>0</v>
      </c>
      <c r="Z16" s="54">
        <v>3.0682568954833973E-7</v>
      </c>
      <c r="AA16" s="50">
        <v>0</v>
      </c>
      <c r="AB16" s="54">
        <v>5.608167190109097E-8</v>
      </c>
      <c r="AC16" s="50">
        <v>0</v>
      </c>
      <c r="AD16" s="51">
        <v>0</v>
      </c>
      <c r="AE16" s="56">
        <v>0</v>
      </c>
    </row>
    <row r="17" spans="1:31" x14ac:dyDescent="0.25">
      <c r="A17" s="30" t="s">
        <v>33</v>
      </c>
      <c r="B17" s="31" t="s">
        <v>24</v>
      </c>
      <c r="C17" s="32">
        <f>VLOOKUP(A17,'Total Areas'!A:D,4,FALSE)</f>
        <v>9.4229995417572265</v>
      </c>
      <c r="D17" s="44" t="s">
        <v>67</v>
      </c>
      <c r="E17" s="34">
        <v>0</v>
      </c>
      <c r="F17" s="35" t="s">
        <v>25</v>
      </c>
      <c r="G17" s="36" t="s">
        <v>25</v>
      </c>
      <c r="H17" s="37">
        <f>VLOOKUP($A17,'Additional Tables'!$A:$I,3,FALSE)</f>
        <v>0</v>
      </c>
      <c r="I17" s="38">
        <f>VLOOKUP($A17,'Additional Tables'!$A:$I,4,FALSE)</f>
        <v>1.9027105896028676E-3</v>
      </c>
      <c r="J17" s="38">
        <f>VLOOKUP($A17,'Additional Tables'!$A:$I,5,FALSE)</f>
        <v>1E-4</v>
      </c>
      <c r="K17" s="39">
        <f>VLOOKUP($A17,'Additional Tables'!$A:$I,6,FALSE)</f>
        <v>4.0000000000000002E-4</v>
      </c>
      <c r="L17" s="34">
        <v>0</v>
      </c>
      <c r="M17" s="35" t="s">
        <v>25</v>
      </c>
      <c r="N17" s="36" t="s">
        <v>25</v>
      </c>
      <c r="O17" s="37">
        <f>VLOOKUP($A17,'Additional Tables'!$A:$I,7,FALSE)</f>
        <v>1.00827184017428E-2</v>
      </c>
      <c r="P17" s="38">
        <f>VLOOKUP($A17,'Additional Tables'!$A:$I,8,FALSE)</f>
        <v>2.0488472345375798E-3</v>
      </c>
      <c r="Q17" s="39" t="str">
        <f>VLOOKUP($A17,'Additional Tables'!$A:$I,9,FALSE)</f>
        <v>Not eval.</v>
      </c>
      <c r="R17" s="30" t="s">
        <v>26</v>
      </c>
      <c r="S17" s="31" t="s">
        <v>26</v>
      </c>
      <c r="T17" s="40" t="s">
        <v>26</v>
      </c>
      <c r="U17" s="41" t="s">
        <v>26</v>
      </c>
      <c r="V17" s="40" t="s">
        <v>26</v>
      </c>
      <c r="W17" s="41" t="s">
        <v>26</v>
      </c>
      <c r="X17" s="40" t="s">
        <v>26</v>
      </c>
      <c r="Y17" s="41" t="s">
        <v>26</v>
      </c>
      <c r="Z17" s="40" t="s">
        <v>26</v>
      </c>
      <c r="AA17" s="41" t="s">
        <v>26</v>
      </c>
      <c r="AB17" s="40" t="s">
        <v>26</v>
      </c>
      <c r="AC17" s="41" t="s">
        <v>26</v>
      </c>
      <c r="AD17" s="31" t="s">
        <v>26</v>
      </c>
      <c r="AE17" s="33" t="s">
        <v>26</v>
      </c>
    </row>
    <row r="18" spans="1:31" x14ac:dyDescent="0.25">
      <c r="A18" s="30" t="s">
        <v>28</v>
      </c>
      <c r="B18" s="31" t="s">
        <v>24</v>
      </c>
      <c r="C18" s="32">
        <f>VLOOKUP(A18,'Total Areas'!A:D,4,FALSE)</f>
        <v>101.49553996155278</v>
      </c>
      <c r="D18" s="33" t="s">
        <v>64</v>
      </c>
      <c r="E18" s="34">
        <v>0</v>
      </c>
      <c r="F18" s="35">
        <v>0</v>
      </c>
      <c r="G18" s="36">
        <v>0</v>
      </c>
      <c r="H18" s="37">
        <f>VLOOKUP($A18,'Additional Tables'!$A:$I,3,FALSE)</f>
        <v>0</v>
      </c>
      <c r="I18" s="38">
        <f>VLOOKUP($A18,'Additional Tables'!$A:$I,4,FALSE)</f>
        <v>0</v>
      </c>
      <c r="J18" s="38">
        <f>VLOOKUP($A18,'Additional Tables'!$A:$I,5,FALSE)</f>
        <v>0</v>
      </c>
      <c r="K18" s="39">
        <f>VLOOKUP($A18,'Additional Tables'!$A:$I,6,FALSE)</f>
        <v>0</v>
      </c>
      <c r="L18" s="34">
        <v>0</v>
      </c>
      <c r="M18" s="35">
        <v>0</v>
      </c>
      <c r="N18" s="36">
        <v>0</v>
      </c>
      <c r="O18" s="37">
        <f>VLOOKUP($A18,'Additional Tables'!$A:$I,7,FALSE)</f>
        <v>0</v>
      </c>
      <c r="P18" s="38">
        <f>VLOOKUP($A18,'Additional Tables'!$A:$I,8,FALSE)</f>
        <v>0</v>
      </c>
      <c r="Q18" s="39">
        <f>VLOOKUP($A18,'Additional Tables'!$A:$I,9,FALSE)</f>
        <v>0</v>
      </c>
      <c r="R18" s="30" t="s">
        <v>26</v>
      </c>
      <c r="S18" s="31" t="s">
        <v>26</v>
      </c>
      <c r="T18" s="40" t="s">
        <v>26</v>
      </c>
      <c r="U18" s="41" t="s">
        <v>26</v>
      </c>
      <c r="V18" s="40" t="s">
        <v>26</v>
      </c>
      <c r="W18" s="41" t="s">
        <v>26</v>
      </c>
      <c r="X18" s="40" t="s">
        <v>26</v>
      </c>
      <c r="Y18" s="41" t="s">
        <v>26</v>
      </c>
      <c r="Z18" s="40" t="s">
        <v>26</v>
      </c>
      <c r="AA18" s="41" t="s">
        <v>26</v>
      </c>
      <c r="AB18" s="40" t="s">
        <v>26</v>
      </c>
      <c r="AC18" s="41" t="s">
        <v>26</v>
      </c>
      <c r="AD18" s="31" t="s">
        <v>26</v>
      </c>
      <c r="AE18" s="33" t="s">
        <v>26</v>
      </c>
    </row>
    <row r="19" spans="1:31" x14ac:dyDescent="0.25">
      <c r="A19" s="48" t="s">
        <v>41</v>
      </c>
      <c r="B19" s="49" t="s">
        <v>36</v>
      </c>
      <c r="C19" s="32">
        <f>VLOOKUP(A19,'Total Areas'!A:D,4,FALSE)</f>
        <v>79.018206200126698</v>
      </c>
      <c r="D19" s="44" t="s">
        <v>64</v>
      </c>
      <c r="E19" s="34">
        <v>14</v>
      </c>
      <c r="F19" s="54">
        <v>3.0888030888030889E-2</v>
      </c>
      <c r="G19" s="50">
        <v>0.15789473684210525</v>
      </c>
      <c r="H19" s="51">
        <f>VLOOKUP($A19,'Additional Tables'!$A:$I,3,FALSE)</f>
        <v>4.88606353534521E-2</v>
      </c>
      <c r="I19" s="52">
        <f>VLOOKUP($A19,'Additional Tables'!$A:$I,4,FALSE)</f>
        <v>2.3778391701593557E-2</v>
      </c>
      <c r="J19" s="52">
        <f>VLOOKUP($A19,'Additional Tables'!$A:$I,5,FALSE)</f>
        <v>9.7000000000000003E-3</v>
      </c>
      <c r="K19" s="53">
        <f>VLOOKUP($A19,'Additional Tables'!$A:$I,6,FALSE)</f>
        <v>3.4099999999999998E-2</v>
      </c>
      <c r="L19" s="34">
        <v>4</v>
      </c>
      <c r="M19" s="54">
        <v>1.1583011583011582E-2</v>
      </c>
      <c r="N19" s="50">
        <v>2.6315789473684209E-2</v>
      </c>
      <c r="O19" s="51">
        <f>VLOOKUP($A19,'Additional Tables'!$A:$I,7,FALSE)</f>
        <v>0.11200260139503054</v>
      </c>
      <c r="P19" s="52">
        <f>VLOOKUP($A19,'Additional Tables'!$A:$I,8,FALSE)</f>
        <v>2.3210393296356588E-2</v>
      </c>
      <c r="Q19" s="53">
        <f>VLOOKUP($A19,'Additional Tables'!$A:$I,9,FALSE)</f>
        <v>1.8741869765455901E-2</v>
      </c>
      <c r="R19" s="57">
        <v>2.4889716890145529E-3</v>
      </c>
      <c r="S19" s="51">
        <v>4.2034387880113124E-5</v>
      </c>
      <c r="T19" s="54">
        <v>2.8456527823219539E-3</v>
      </c>
      <c r="U19" s="50">
        <v>6.746093381150537E-5</v>
      </c>
      <c r="V19" s="54">
        <v>3.3611843934125579E-3</v>
      </c>
      <c r="W19" s="50">
        <v>1.2206605967899155E-4</v>
      </c>
      <c r="X19" s="54">
        <v>1.0042906715771343E-3</v>
      </c>
      <c r="Y19" s="50">
        <v>3.4312017831983346E-5</v>
      </c>
      <c r="Z19" s="54">
        <v>9.7763465264833578E-4</v>
      </c>
      <c r="AA19" s="50">
        <v>0</v>
      </c>
      <c r="AB19" s="54">
        <v>1.0632181241194091E-3</v>
      </c>
      <c r="AC19" s="50">
        <v>2.5299585746080823E-5</v>
      </c>
      <c r="AD19" s="51">
        <v>1.9768506970231528E-3</v>
      </c>
      <c r="AE19" s="56">
        <v>0</v>
      </c>
    </row>
    <row r="20" spans="1:31" x14ac:dyDescent="0.25">
      <c r="A20" s="48" t="s">
        <v>80</v>
      </c>
      <c r="B20" s="49" t="s">
        <v>36</v>
      </c>
      <c r="C20" s="32">
        <f>VLOOKUP(A20,'Total Areas'!A:D,4,FALSE)</f>
        <v>91.336973086565536</v>
      </c>
      <c r="D20" s="44" t="s">
        <v>64</v>
      </c>
      <c r="E20" s="34"/>
      <c r="F20" s="54"/>
      <c r="G20" s="50"/>
      <c r="H20" s="51">
        <f>VLOOKUP($A20,'Additional Tables'!$A:$I,3,FALSE)</f>
        <v>0</v>
      </c>
      <c r="I20" s="52">
        <f>VLOOKUP($A20,'Additional Tables'!$A:$I,4,FALSE)</f>
        <v>2.0120275787999825E-2</v>
      </c>
      <c r="J20" s="52">
        <f>VLOOKUP($A20,'Additional Tables'!$A:$I,5,FALSE)</f>
        <v>1.38E-2</v>
      </c>
      <c r="K20" s="53">
        <f>VLOOKUP($A20,'Additional Tables'!$A:$I,6,FALSE)</f>
        <v>4.0099999999999997E-2</v>
      </c>
      <c r="L20" s="34"/>
      <c r="M20" s="54"/>
      <c r="N20" s="50"/>
      <c r="O20" s="51">
        <f>VLOOKUP($A20,'Additional Tables'!$A:$I,7,FALSE)</f>
        <v>8.1970589511015352E-2</v>
      </c>
      <c r="P20" s="52">
        <f>VLOOKUP($A20,'Additional Tables'!$A:$I,8,FALSE)</f>
        <v>2.1403114743111119E-2</v>
      </c>
      <c r="Q20" s="53">
        <f>VLOOKUP($A20,'Additional Tables'!$A:$I,9,FALSE)</f>
        <v>2.5240536655566418E-2</v>
      </c>
      <c r="R20" s="57">
        <v>6.1863565950992525E-3</v>
      </c>
      <c r="S20" s="51">
        <v>0</v>
      </c>
      <c r="T20" s="54">
        <v>6.3504270445162462E-3</v>
      </c>
      <c r="U20" s="50">
        <v>0</v>
      </c>
      <c r="V20" s="54">
        <v>5.764188566520446E-3</v>
      </c>
      <c r="W20" s="50">
        <v>0</v>
      </c>
      <c r="X20" s="54">
        <v>1.1303770844680908E-3</v>
      </c>
      <c r="Y20" s="50">
        <v>0</v>
      </c>
      <c r="Z20" s="54">
        <v>2.1053353583256343E-4</v>
      </c>
      <c r="AA20" s="50">
        <v>0</v>
      </c>
      <c r="AB20" s="54">
        <v>2.9084868980553289E-3</v>
      </c>
      <c r="AC20" s="50">
        <v>0</v>
      </c>
      <c r="AD20" s="51">
        <v>4.8426971549470708E-3</v>
      </c>
      <c r="AE20" s="56">
        <v>0</v>
      </c>
    </row>
    <row r="21" spans="1:31" x14ac:dyDescent="0.25">
      <c r="A21" s="48" t="s">
        <v>51</v>
      </c>
      <c r="B21" s="49" t="s">
        <v>36</v>
      </c>
      <c r="C21" s="32">
        <f>VLOOKUP(A21,'Total Areas'!A:D,4,FALSE)</f>
        <v>74.335577372379845</v>
      </c>
      <c r="D21" s="44" t="s">
        <v>64</v>
      </c>
      <c r="E21" s="34"/>
      <c r="F21" s="54"/>
      <c r="G21" s="50"/>
      <c r="H21" s="51">
        <f>VLOOKUP($A21,'Additional Tables'!$A:$I,3,FALSE)</f>
        <v>0</v>
      </c>
      <c r="I21" s="52">
        <f>VLOOKUP($A21,'Additional Tables'!$A:$I,4,FALSE)</f>
        <v>1.5658991777844546E-2</v>
      </c>
      <c r="J21" s="52">
        <f>VLOOKUP($A21,'Additional Tables'!$A:$I,5,FALSE)</f>
        <v>1.11E-2</v>
      </c>
      <c r="K21" s="53">
        <f>VLOOKUP($A21,'Additional Tables'!$A:$I,6,FALSE)</f>
        <v>3.3099999999999997E-2</v>
      </c>
      <c r="L21" s="34"/>
      <c r="M21" s="54"/>
      <c r="N21" s="50"/>
      <c r="O21" s="51">
        <f>VLOOKUP($A21,'Additional Tables'!$A:$I,7,FALSE)</f>
        <v>0</v>
      </c>
      <c r="P21" s="52">
        <f>VLOOKUP($A21,'Additional Tables'!$A:$I,8,FALSE)</f>
        <v>1.5982604515335251E-2</v>
      </c>
      <c r="Q21" s="53">
        <f>VLOOKUP($A21,'Additional Tables'!$A:$I,9,FALSE)</f>
        <v>1.9524154971885456E-2</v>
      </c>
      <c r="R21" s="57">
        <v>1.3826704872066636E-3</v>
      </c>
      <c r="S21" s="51">
        <v>2.1100738662613698E-10</v>
      </c>
      <c r="T21" s="54">
        <v>8.510061856489197E-4</v>
      </c>
      <c r="U21" s="50">
        <v>4.1143121432379953E-6</v>
      </c>
      <c r="V21" s="54">
        <v>1.9024091333003331E-3</v>
      </c>
      <c r="W21" s="50">
        <v>7.9280226931150239E-6</v>
      </c>
      <c r="X21" s="54">
        <v>2.2064170591540731E-4</v>
      </c>
      <c r="Y21" s="50">
        <v>2.4915656461385876E-5</v>
      </c>
      <c r="Z21" s="54">
        <v>1.9978784922113096E-4</v>
      </c>
      <c r="AA21" s="50">
        <v>0</v>
      </c>
      <c r="AB21" s="54">
        <v>3.835433115763895E-4</v>
      </c>
      <c r="AC21" s="50">
        <v>5.985399549562686E-6</v>
      </c>
      <c r="AD21" s="51">
        <v>8.3416237911864018E-4</v>
      </c>
      <c r="AE21" s="56">
        <v>0</v>
      </c>
    </row>
    <row r="22" spans="1:31" x14ac:dyDescent="0.25">
      <c r="A22" s="48" t="s">
        <v>60</v>
      </c>
      <c r="B22" s="49" t="s">
        <v>36</v>
      </c>
      <c r="C22" s="32">
        <f>VLOOKUP(A22,'Total Areas'!A:D,4,FALSE)</f>
        <v>22.641638808372765</v>
      </c>
      <c r="D22" s="44" t="s">
        <v>64</v>
      </c>
      <c r="E22" s="34"/>
      <c r="F22" s="54"/>
      <c r="G22" s="50"/>
      <c r="H22" s="51">
        <f>VLOOKUP($A22,'Additional Tables'!$A:$I,3,FALSE)</f>
        <v>3.2657501213355047E-2</v>
      </c>
      <c r="I22" s="52">
        <f>VLOOKUP($A22,'Additional Tables'!$A:$I,4,FALSE)</f>
        <v>1.8709715391456887E-3</v>
      </c>
      <c r="J22" s="52">
        <f>VLOOKUP($A22,'Additional Tables'!$A:$I,5,FALSE)</f>
        <v>3.2000000000000002E-3</v>
      </c>
      <c r="K22" s="53">
        <f>VLOOKUP($A22,'Additional Tables'!$A:$I,6,FALSE)</f>
        <v>8.8999999999999999E-3</v>
      </c>
      <c r="L22" s="34"/>
      <c r="M22" s="54"/>
      <c r="N22" s="50"/>
      <c r="O22" s="51">
        <f>VLOOKUP($A22,'Additional Tables'!$A:$I,7,FALSE)</f>
        <v>2.2334857667680227E-2</v>
      </c>
      <c r="P22" s="52">
        <f>VLOOKUP($A22,'Additional Tables'!$A:$I,8,FALSE)</f>
        <v>6.4600816611376499E-4</v>
      </c>
      <c r="Q22" s="53">
        <f>VLOOKUP($A22,'Additional Tables'!$A:$I,9,FALSE)</f>
        <v>6.5950698126284787E-3</v>
      </c>
      <c r="R22" s="57">
        <v>1.6666666499266175E-3</v>
      </c>
      <c r="S22" s="51">
        <v>0</v>
      </c>
      <c r="T22" s="54">
        <v>2.7985362281665932E-3</v>
      </c>
      <c r="U22" s="50">
        <v>0</v>
      </c>
      <c r="V22" s="54">
        <v>2.6500648413073711E-3</v>
      </c>
      <c r="W22" s="50">
        <v>0</v>
      </c>
      <c r="X22" s="54">
        <v>1.0495065930388842E-3</v>
      </c>
      <c r="Y22" s="50">
        <v>0</v>
      </c>
      <c r="Z22" s="54">
        <v>1.1280135842303555E-3</v>
      </c>
      <c r="AA22" s="50">
        <v>0</v>
      </c>
      <c r="AB22" s="54">
        <v>9.8521909583210686E-4</v>
      </c>
      <c r="AC22" s="50">
        <v>0</v>
      </c>
      <c r="AD22" s="51">
        <v>9.2020230117241151E-4</v>
      </c>
      <c r="AE22" s="56">
        <v>0</v>
      </c>
    </row>
    <row r="23" spans="1:31" x14ac:dyDescent="0.25">
      <c r="A23" s="48" t="s">
        <v>61</v>
      </c>
      <c r="B23" s="49" t="s">
        <v>36</v>
      </c>
      <c r="C23" s="32">
        <f>VLOOKUP(A23,'Total Areas'!A:D,4,FALSE)</f>
        <v>45.330448118318941</v>
      </c>
      <c r="D23" s="44" t="s">
        <v>64</v>
      </c>
      <c r="E23" s="34"/>
      <c r="F23" s="54"/>
      <c r="G23" s="50"/>
      <c r="H23" s="51">
        <f>VLOOKUP($A23,'Additional Tables'!$A:$I,3,FALSE)</f>
        <v>5.2566442283394348E-2</v>
      </c>
      <c r="I23" s="52">
        <f>VLOOKUP($A23,'Additional Tables'!$A:$I,4,FALSE)</f>
        <v>1.0884256497758748E-2</v>
      </c>
      <c r="J23" s="52">
        <f>VLOOKUP($A23,'Additional Tables'!$A:$I,5,FALSE)</f>
        <v>4.1999999999999997E-3</v>
      </c>
      <c r="K23" s="53">
        <f>VLOOKUP($A23,'Additional Tables'!$A:$I,6,FALSE)</f>
        <v>1.4500000000000001E-2</v>
      </c>
      <c r="L23" s="34"/>
      <c r="M23" s="54"/>
      <c r="N23" s="50"/>
      <c r="O23" s="51">
        <f>VLOOKUP($A23,'Additional Tables'!$A:$I,7,FALSE)</f>
        <v>5.2129542726914974E-2</v>
      </c>
      <c r="P23" s="52">
        <f>VLOOKUP($A23,'Additional Tables'!$A:$I,8,FALSE)</f>
        <v>9.7696768478264407E-3</v>
      </c>
      <c r="Q23" s="53">
        <f>VLOOKUP($A23,'Additional Tables'!$A:$I,9,FALSE)</f>
        <v>9.6200842217047527E-3</v>
      </c>
      <c r="R23" s="57">
        <v>3.1042726884657904E-3</v>
      </c>
      <c r="S23" s="51">
        <v>0</v>
      </c>
      <c r="T23" s="54">
        <v>5.216509879874597E-3</v>
      </c>
      <c r="U23" s="50">
        <v>0</v>
      </c>
      <c r="V23" s="54">
        <v>4.8662513677134112E-3</v>
      </c>
      <c r="W23" s="50">
        <v>0</v>
      </c>
      <c r="X23" s="54">
        <v>1.9402673358207983E-3</v>
      </c>
      <c r="Y23" s="50">
        <v>0</v>
      </c>
      <c r="Z23" s="54">
        <v>2.1219194429062363E-3</v>
      </c>
      <c r="AA23" s="50">
        <v>0</v>
      </c>
      <c r="AB23" s="54">
        <v>1.8185580187810365E-3</v>
      </c>
      <c r="AC23" s="50">
        <v>0</v>
      </c>
      <c r="AD23" s="51">
        <v>1.6378028900158263E-3</v>
      </c>
      <c r="AE23" s="56">
        <v>0</v>
      </c>
    </row>
    <row r="24" spans="1:31" x14ac:dyDescent="0.25">
      <c r="A24" s="48" t="s">
        <v>50</v>
      </c>
      <c r="B24" s="49" t="s">
        <v>36</v>
      </c>
      <c r="C24" s="32">
        <f>VLOOKUP(A24,'Total Areas'!A:D,4,FALSE)</f>
        <v>21.967395184679404</v>
      </c>
      <c r="D24" s="44" t="s">
        <v>49</v>
      </c>
      <c r="E24" s="34"/>
      <c r="F24" s="54"/>
      <c r="G24" s="50"/>
      <c r="H24" s="51">
        <f>VLOOKUP($A24,'Additional Tables'!$A:$I,3,FALSE)</f>
        <v>0</v>
      </c>
      <c r="I24" s="52">
        <f>VLOOKUP($A24,'Additional Tables'!$A:$I,4,FALSE)</f>
        <v>7.375244404305926E-3</v>
      </c>
      <c r="J24" s="52">
        <f>VLOOKUP($A24,'Additional Tables'!$A:$I,5,FALSE)</f>
        <v>9.9000000000000008E-3</v>
      </c>
      <c r="K24" s="53">
        <f>VLOOKUP($A24,'Additional Tables'!$A:$I,6,FALSE)</f>
        <v>3.5999999999999999E-3</v>
      </c>
      <c r="L24" s="34"/>
      <c r="M24" s="54"/>
      <c r="N24" s="50"/>
      <c r="O24" s="51">
        <f>VLOOKUP($A24,'Additional Tables'!$A:$I,7,FALSE)</f>
        <v>0</v>
      </c>
      <c r="P24" s="52">
        <f>VLOOKUP($A24,'Additional Tables'!$A:$I,8,FALSE)</f>
        <v>7.5276630954452467E-3</v>
      </c>
      <c r="Q24" s="53">
        <f>VLOOKUP($A24,'Additional Tables'!$A:$I,9,FALSE)</f>
        <v>4.6279841458284864E-3</v>
      </c>
      <c r="R24" s="57">
        <v>8.3141979940185715E-5</v>
      </c>
      <c r="S24" s="51">
        <v>0</v>
      </c>
      <c r="T24" s="54">
        <v>9.8586787394160718E-5</v>
      </c>
      <c r="U24" s="50">
        <v>0</v>
      </c>
      <c r="V24" s="54">
        <v>1.7576162805018794E-5</v>
      </c>
      <c r="W24" s="50">
        <v>0</v>
      </c>
      <c r="X24" s="54">
        <v>9.4127446857543429E-6</v>
      </c>
      <c r="Y24" s="50">
        <v>0</v>
      </c>
      <c r="Z24" s="54">
        <v>6.0624276822017621E-5</v>
      </c>
      <c r="AA24" s="50">
        <v>0</v>
      </c>
      <c r="AB24" s="54">
        <v>1.0126726696731411E-5</v>
      </c>
      <c r="AC24" s="50">
        <v>0</v>
      </c>
      <c r="AD24" s="51">
        <v>6.0936189030176299E-5</v>
      </c>
      <c r="AE24" s="56">
        <v>0</v>
      </c>
    </row>
    <row r="25" spans="1:31" x14ac:dyDescent="0.25">
      <c r="A25" s="48" t="s">
        <v>88</v>
      </c>
      <c r="B25" s="49" t="s">
        <v>36</v>
      </c>
      <c r="C25" s="32">
        <f>VLOOKUP(A25,'Total Areas'!A:D,4,FALSE)</f>
        <v>9.8591332767577313</v>
      </c>
      <c r="D25" s="44" t="s">
        <v>49</v>
      </c>
      <c r="E25" s="34"/>
      <c r="F25" s="54"/>
      <c r="G25" s="50"/>
      <c r="H25" s="51">
        <f>VLOOKUP($A25,'Additional Tables'!$A:$I,3,FALSE)</f>
        <v>0</v>
      </c>
      <c r="I25" s="52">
        <f>VLOOKUP($A25,'Additional Tables'!$A:$I,4,FALSE)</f>
        <v>0</v>
      </c>
      <c r="J25" s="52">
        <f>VLOOKUP($A25,'Additional Tables'!$A:$I,5,FALSE)</f>
        <v>1E-4</v>
      </c>
      <c r="K25" s="53">
        <f>VLOOKUP($A25,'Additional Tables'!$A:$I,6,FALSE)</f>
        <v>0</v>
      </c>
      <c r="L25" s="34"/>
      <c r="M25" s="54"/>
      <c r="N25" s="50"/>
      <c r="O25" s="51">
        <f>VLOOKUP($A25,'Additional Tables'!$A:$I,7,FALSE)</f>
        <v>0</v>
      </c>
      <c r="P25" s="52">
        <f>VLOOKUP($A25,'Additional Tables'!$A:$I,8,FALSE)</f>
        <v>0</v>
      </c>
      <c r="Q25" s="53">
        <f>VLOOKUP($A25,'Additional Tables'!$A:$I,9,FALSE)</f>
        <v>2.7166288425656961E-5</v>
      </c>
      <c r="R25" s="57">
        <v>1.3033617258764298E-4</v>
      </c>
      <c r="S25" s="51">
        <v>4.8843726594775896E-6</v>
      </c>
      <c r="T25" s="54">
        <v>1.0190841257727103E-4</v>
      </c>
      <c r="U25" s="50">
        <v>1.8873280089863311E-4</v>
      </c>
      <c r="V25" s="54">
        <v>3.1938288878380992E-5</v>
      </c>
      <c r="W25" s="50">
        <v>2.5079088718830184E-9</v>
      </c>
      <c r="X25" s="54">
        <v>4.0569472679301012E-6</v>
      </c>
      <c r="Y25" s="50">
        <v>4.9853666453391678E-5</v>
      </c>
      <c r="Z25" s="54">
        <v>1.0461537720600035E-5</v>
      </c>
      <c r="AA25" s="50">
        <v>0</v>
      </c>
      <c r="AB25" s="54">
        <v>4.7383576117793171E-5</v>
      </c>
      <c r="AC25" s="50">
        <v>3.3958841383496264E-5</v>
      </c>
      <c r="AD25" s="51">
        <v>3.8331822708062352E-4</v>
      </c>
      <c r="AE25" s="56">
        <v>5.7287081670434557E-5</v>
      </c>
    </row>
    <row r="26" spans="1:31" x14ac:dyDescent="0.25">
      <c r="A26" s="48" t="s">
        <v>91</v>
      </c>
      <c r="B26" s="49" t="s">
        <v>36</v>
      </c>
      <c r="C26" s="32">
        <f>VLOOKUP(A26,'Total Areas'!A:D,4,FALSE)</f>
        <v>2.4673660862597364</v>
      </c>
      <c r="D26" s="44" t="s">
        <v>49</v>
      </c>
      <c r="E26" s="34"/>
      <c r="F26" s="54"/>
      <c r="G26" s="50"/>
      <c r="H26" s="51">
        <f>VLOOKUP($A26,'Additional Tables'!$A:$I,3,FALSE)</f>
        <v>0</v>
      </c>
      <c r="I26" s="52">
        <f>VLOOKUP($A26,'Additional Tables'!$A:$I,4,FALSE)</f>
        <v>1.3833083750653401E-3</v>
      </c>
      <c r="J26" s="52">
        <f>VLOOKUP($A26,'Additional Tables'!$A:$I,5,FALSE)</f>
        <v>1.4E-3</v>
      </c>
      <c r="K26" s="53">
        <f>VLOOKUP($A26,'Additional Tables'!$A:$I,6,FALSE)</f>
        <v>5.0000000000000001E-4</v>
      </c>
      <c r="L26" s="34"/>
      <c r="M26" s="54"/>
      <c r="N26" s="50"/>
      <c r="O26" s="51">
        <f>VLOOKUP($A26,'Additional Tables'!$A:$I,7,FALSE)</f>
        <v>0</v>
      </c>
      <c r="P26" s="52">
        <f>VLOOKUP($A26,'Additional Tables'!$A:$I,8,FALSE)</f>
        <v>1.4118961804872761E-3</v>
      </c>
      <c r="Q26" s="53">
        <f>VLOOKUP($A26,'Additional Tables'!$A:$I,9,FALSE)</f>
        <v>5.3328961042034887E-4</v>
      </c>
      <c r="R26" s="57">
        <v>2.1799478263706472E-4</v>
      </c>
      <c r="S26" s="51">
        <v>0</v>
      </c>
      <c r="T26" s="54">
        <v>2.1680439160428979E-4</v>
      </c>
      <c r="U26" s="50">
        <v>6.1899999999999987E-4</v>
      </c>
      <c r="V26" s="54">
        <v>3.0785593420321824E-5</v>
      </c>
      <c r="W26" s="50">
        <v>1.12E-4</v>
      </c>
      <c r="X26" s="54">
        <v>8.2085645010181582E-6</v>
      </c>
      <c r="Y26" s="50">
        <v>0</v>
      </c>
      <c r="Z26" s="54">
        <v>1.0149573959700067E-5</v>
      </c>
      <c r="AA26" s="50">
        <v>0</v>
      </c>
      <c r="AB26" s="54">
        <v>4.7318182848889008E-5</v>
      </c>
      <c r="AC26" s="50">
        <v>4.3100000000000001E-4</v>
      </c>
      <c r="AD26" s="51">
        <v>1.3560765332511695E-4</v>
      </c>
      <c r="AE26" s="56">
        <v>0</v>
      </c>
    </row>
    <row r="27" spans="1:31" x14ac:dyDescent="0.25">
      <c r="A27" s="48" t="s">
        <v>43</v>
      </c>
      <c r="B27" s="49" t="s">
        <v>36</v>
      </c>
      <c r="C27" s="32">
        <f>VLOOKUP(A27,'Total Areas'!A:D,4,FALSE)</f>
        <v>44.326556966859116</v>
      </c>
      <c r="D27" s="33" t="s">
        <v>49</v>
      </c>
      <c r="E27" s="34">
        <v>63</v>
      </c>
      <c r="F27" s="54" t="s">
        <v>25</v>
      </c>
      <c r="G27" s="50">
        <v>0.41447368421052633</v>
      </c>
      <c r="H27" s="51">
        <f>VLOOKUP($A27,'Additional Tables'!$A:$I,3,FALSE)</f>
        <v>2.6258771237815844E-2</v>
      </c>
      <c r="I27" s="52">
        <f>VLOOKUP($A27,'Additional Tables'!$A:$I,4,FALSE)</f>
        <v>8.3175559812907161E-3</v>
      </c>
      <c r="J27" s="52">
        <f>VLOOKUP($A27,'Additional Tables'!$A:$I,5,FALSE)</f>
        <v>1.0999999999999999E-2</v>
      </c>
      <c r="K27" s="53">
        <f>VLOOKUP($A27,'Additional Tables'!$A:$I,6,FALSE)</f>
        <v>3.8E-3</v>
      </c>
      <c r="L27" s="34">
        <v>6</v>
      </c>
      <c r="M27" s="54" t="s">
        <v>25</v>
      </c>
      <c r="N27" s="50">
        <v>3.9473684210526314E-2</v>
      </c>
      <c r="O27" s="51">
        <f>VLOOKUP($A27,'Additional Tables'!$A:$I,7,FALSE)</f>
        <v>2.4365440175406577E-2</v>
      </c>
      <c r="P27" s="52">
        <f>VLOOKUP($A27,'Additional Tables'!$A:$I,8,FALSE)</f>
        <v>8.3447397101575477E-3</v>
      </c>
      <c r="Q27" s="53">
        <f>VLOOKUP($A27,'Additional Tables'!$A:$I,9,FALSE)</f>
        <v>6.1855439285629678E-3</v>
      </c>
      <c r="R27" s="57">
        <v>1.3144530289876195E-3</v>
      </c>
      <c r="S27" s="51">
        <v>9.2974360395378262E-5</v>
      </c>
      <c r="T27" s="54">
        <v>1.004624490130282E-3</v>
      </c>
      <c r="U27" s="50">
        <v>2.2980290802519489E-4</v>
      </c>
      <c r="V27" s="54">
        <v>3.2544461662673902E-4</v>
      </c>
      <c r="W27" s="50">
        <v>6.1926124068208401E-5</v>
      </c>
      <c r="X27" s="54">
        <v>1.7526494955152398E-4</v>
      </c>
      <c r="Y27" s="50">
        <v>1.5091021297474605E-4</v>
      </c>
      <c r="Z27" s="54">
        <v>1.2774121981407715E-3</v>
      </c>
      <c r="AA27" s="50">
        <v>0</v>
      </c>
      <c r="AB27" s="54">
        <v>2.2600971897664097E-4</v>
      </c>
      <c r="AC27" s="50">
        <v>1.5356544856777126E-4</v>
      </c>
      <c r="AD27" s="51">
        <v>1.9844474662463179E-3</v>
      </c>
      <c r="AE27" s="56">
        <v>1.2862824112943826E-4</v>
      </c>
    </row>
    <row r="28" spans="1:31" x14ac:dyDescent="0.25">
      <c r="A28" s="48" t="s">
        <v>44</v>
      </c>
      <c r="B28" s="49" t="s">
        <v>36</v>
      </c>
      <c r="C28" s="32">
        <f>VLOOKUP(A28,'Total Areas'!A:D,4,FALSE)</f>
        <v>42.834713294685194</v>
      </c>
      <c r="D28" s="33" t="s">
        <v>49</v>
      </c>
      <c r="E28" s="34">
        <v>13</v>
      </c>
      <c r="F28" s="54">
        <v>0.12121212121212122</v>
      </c>
      <c r="G28" s="50">
        <v>0.75</v>
      </c>
      <c r="H28" s="51">
        <f>VLOOKUP($A28,'Additional Tables'!$A:$I,3,FALSE)</f>
        <v>2.3312023258311793E-2</v>
      </c>
      <c r="I28" s="52">
        <f>VLOOKUP($A28,'Additional Tables'!$A:$I,4,FALSE)</f>
        <v>1.0864374480181446E-2</v>
      </c>
      <c r="J28" s="52">
        <f>VLOOKUP($A28,'Additional Tables'!$A:$I,5,FALSE)</f>
        <v>1.1299999999999999E-2</v>
      </c>
      <c r="K28" s="53">
        <f>VLOOKUP($A28,'Additional Tables'!$A:$I,6,FALSE)</f>
        <v>3.8999999999999998E-3</v>
      </c>
      <c r="L28" s="34">
        <v>0</v>
      </c>
      <c r="M28" s="54">
        <v>0</v>
      </c>
      <c r="N28" s="50">
        <v>0</v>
      </c>
      <c r="O28" s="51">
        <f>VLOOKUP($A28,'Additional Tables'!$A:$I,7,FALSE)</f>
        <v>0</v>
      </c>
      <c r="P28" s="52">
        <f>VLOOKUP($A28,'Additional Tables'!$A:$I,8,FALSE)</f>
        <v>1.0875236605591579E-2</v>
      </c>
      <c r="Q28" s="53">
        <f>VLOOKUP($A28,'Additional Tables'!$A:$I,9,FALSE)</f>
        <v>6.1950472271423661E-3</v>
      </c>
      <c r="R28" s="57">
        <v>1.3537449769620237E-3</v>
      </c>
      <c r="S28" s="51">
        <v>1.6735030514654361E-3</v>
      </c>
      <c r="T28" s="54">
        <v>1.2252845708280165E-3</v>
      </c>
      <c r="U28" s="50">
        <v>4.6440086915880826E-3</v>
      </c>
      <c r="V28" s="54">
        <v>3.3648186524543272E-4</v>
      </c>
      <c r="W28" s="50">
        <v>1.5035003979116358E-4</v>
      </c>
      <c r="X28" s="54">
        <v>1.543739115578342E-4</v>
      </c>
      <c r="Y28" s="50">
        <v>4.0565892913538954E-4</v>
      </c>
      <c r="Z28" s="54">
        <v>1.4552889666392356E-3</v>
      </c>
      <c r="AA28" s="50">
        <v>7.4065099952291269E-3</v>
      </c>
      <c r="AB28" s="54">
        <v>1.5930859149963249E-4</v>
      </c>
      <c r="AC28" s="50">
        <v>2.3062902198453319E-3</v>
      </c>
      <c r="AD28" s="51">
        <v>1.6101247045954364E-3</v>
      </c>
      <c r="AE28" s="56">
        <v>5.2980185467909214E-3</v>
      </c>
    </row>
    <row r="29" spans="1:31" x14ac:dyDescent="0.25">
      <c r="A29" s="48" t="s">
        <v>54</v>
      </c>
      <c r="B29" s="49" t="s">
        <v>36</v>
      </c>
      <c r="C29" s="32">
        <f>VLOOKUP(A29,'Total Areas'!A:D,4,FALSE)</f>
        <v>26.419693492351392</v>
      </c>
      <c r="D29" s="44" t="s">
        <v>49</v>
      </c>
      <c r="E29" s="34"/>
      <c r="F29" s="54"/>
      <c r="G29" s="50"/>
      <c r="H29" s="51">
        <f>VLOOKUP($A29,'Additional Tables'!$A:$I,3,FALSE)</f>
        <v>7.2466003431181239E-3</v>
      </c>
      <c r="I29" s="52">
        <f>VLOOKUP($A29,'Additional Tables'!$A:$I,4,FALSE)</f>
        <v>1.9935012711436544E-3</v>
      </c>
      <c r="J29" s="52">
        <f>VLOOKUP($A29,'Additional Tables'!$A:$I,5,FALSE)</f>
        <v>5.7000000000000002E-3</v>
      </c>
      <c r="K29" s="53">
        <f>VLOOKUP($A29,'Additional Tables'!$A:$I,6,FALSE)</f>
        <v>1.6999999999999999E-3</v>
      </c>
      <c r="L29" s="34"/>
      <c r="M29" s="54"/>
      <c r="N29" s="50"/>
      <c r="O29" s="51">
        <f>VLOOKUP($A29,'Additional Tables'!$A:$I,7,FALSE)</f>
        <v>1.7614734244438508E-2</v>
      </c>
      <c r="P29" s="52">
        <f>VLOOKUP($A29,'Additional Tables'!$A:$I,8,FALSE)</f>
        <v>2.0115981318000044E-3</v>
      </c>
      <c r="Q29" s="53">
        <f>VLOOKUP($A29,'Additional Tables'!$A:$I,9,FALSE)</f>
        <v>3.3577460801656731E-3</v>
      </c>
      <c r="R29" s="57">
        <v>1.5524950620960344E-4</v>
      </c>
      <c r="S29" s="51">
        <v>6.8398544197278898E-3</v>
      </c>
      <c r="T29" s="54">
        <v>1.4992066381251982E-4</v>
      </c>
      <c r="U29" s="50">
        <v>3.4589908257031776E-3</v>
      </c>
      <c r="V29" s="54">
        <v>4.0563712615533319E-5</v>
      </c>
      <c r="W29" s="50">
        <v>6.406746880287763E-5</v>
      </c>
      <c r="X29" s="54">
        <v>5.3025355198248115E-5</v>
      </c>
      <c r="Y29" s="50">
        <v>2.0055346948730923E-4</v>
      </c>
      <c r="Z29" s="54">
        <v>2.4566757992811798E-4</v>
      </c>
      <c r="AA29" s="50">
        <v>1.4605998829289009E-3</v>
      </c>
      <c r="AB29" s="54">
        <v>1.6670114616414756E-5</v>
      </c>
      <c r="AC29" s="50">
        <v>1.4327195512429606E-3</v>
      </c>
      <c r="AD29" s="51">
        <v>1.4557742013660279E-4</v>
      </c>
      <c r="AE29" s="56">
        <v>8.5309496793610461E-3</v>
      </c>
    </row>
    <row r="30" spans="1:31" x14ac:dyDescent="0.25">
      <c r="A30" s="48" t="s">
        <v>47</v>
      </c>
      <c r="B30" s="49" t="s">
        <v>36</v>
      </c>
      <c r="C30" s="32">
        <f>VLOOKUP(A30,'Total Areas'!A:D,4,FALSE)</f>
        <v>72.39463672800774</v>
      </c>
      <c r="D30" s="33" t="s">
        <v>49</v>
      </c>
      <c r="E30" s="34">
        <v>21</v>
      </c>
      <c r="F30" s="54">
        <v>0.25714285714285712</v>
      </c>
      <c r="G30" s="50">
        <v>0.14285714285714285</v>
      </c>
      <c r="H30" s="51">
        <f>VLOOKUP($A30,'Additional Tables'!$A:$I,3,FALSE)</f>
        <v>1.8000161867181334E-2</v>
      </c>
      <c r="I30" s="52">
        <f>VLOOKUP($A30,'Additional Tables'!$A:$I,4,FALSE)</f>
        <v>1.0713643031712045E-2</v>
      </c>
      <c r="J30" s="52">
        <f>VLOOKUP($A30,'Additional Tables'!$A:$I,5,FALSE)</f>
        <v>1.4E-2</v>
      </c>
      <c r="K30" s="53">
        <f>VLOOKUP($A30,'Additional Tables'!$A:$I,6,FALSE)</f>
        <v>1.4E-2</v>
      </c>
      <c r="L30" s="34">
        <v>0</v>
      </c>
      <c r="M30" s="54">
        <v>0</v>
      </c>
      <c r="N30" s="50">
        <v>0</v>
      </c>
      <c r="O30" s="51">
        <f>VLOOKUP($A30,'Additional Tables'!$A:$I,7,FALSE)</f>
        <v>0</v>
      </c>
      <c r="P30" s="52">
        <f>VLOOKUP($A30,'Additional Tables'!$A:$I,8,FALSE)</f>
        <v>1.0246417234873509E-2</v>
      </c>
      <c r="Q30" s="53">
        <f>VLOOKUP($A30,'Additional Tables'!$A:$I,9,FALSE)</f>
        <v>2.6180577762546335E-3</v>
      </c>
      <c r="R30" s="57">
        <v>3.5323352944959343E-4</v>
      </c>
      <c r="S30" s="51">
        <v>6.0003428461820572E-3</v>
      </c>
      <c r="T30" s="54">
        <v>8.9638076359388496E-5</v>
      </c>
      <c r="U30" s="50">
        <v>4.2114933726788897E-3</v>
      </c>
      <c r="V30" s="54">
        <v>1.1141242827834658E-4</v>
      </c>
      <c r="W30" s="50">
        <v>1.9834449888090897E-3</v>
      </c>
      <c r="X30" s="54">
        <v>3.4766004441866389E-5</v>
      </c>
      <c r="Y30" s="50">
        <v>1.1947108725105986E-3</v>
      </c>
      <c r="Z30" s="54">
        <v>9.2332711798483771E-5</v>
      </c>
      <c r="AA30" s="50">
        <v>0</v>
      </c>
      <c r="AB30" s="54">
        <v>5.7822425569002594E-5</v>
      </c>
      <c r="AC30" s="50">
        <v>2.7847245607540319E-3</v>
      </c>
      <c r="AD30" s="51">
        <v>4.945383972110492E-4</v>
      </c>
      <c r="AE30" s="56">
        <v>7.0500029372698178E-3</v>
      </c>
    </row>
    <row r="31" spans="1:31" x14ac:dyDescent="0.25">
      <c r="A31" s="48" t="s">
        <v>48</v>
      </c>
      <c r="B31" s="49" t="s">
        <v>36</v>
      </c>
      <c r="C31" s="32">
        <f>VLOOKUP(A31,'Total Areas'!A:D,4,FALSE)</f>
        <v>88.747147779287715</v>
      </c>
      <c r="D31" s="44" t="s">
        <v>49</v>
      </c>
      <c r="E31" s="34"/>
      <c r="F31" s="54"/>
      <c r="G31" s="50"/>
      <c r="H31" s="51">
        <f>VLOOKUP($A31,'Additional Tables'!$A:$I,3,FALSE)</f>
        <v>7.4216109788590098E-3</v>
      </c>
      <c r="I31" s="52">
        <f>VLOOKUP($A31,'Additional Tables'!$A:$I,4,FALSE)</f>
        <v>1.6917032615144462E-2</v>
      </c>
      <c r="J31" s="52">
        <f>VLOOKUP($A31,'Additional Tables'!$A:$I,5,FALSE)</f>
        <v>1.5299999999999999E-2</v>
      </c>
      <c r="K31" s="53">
        <f>VLOOKUP($A31,'Additional Tables'!$A:$I,6,FALSE)</f>
        <v>1.6799999999999999E-2</v>
      </c>
      <c r="L31" s="34"/>
      <c r="M31" s="54"/>
      <c r="N31" s="50"/>
      <c r="O31" s="51">
        <f>VLOOKUP($A31,'Additional Tables'!$A:$I,7,FALSE)</f>
        <v>0</v>
      </c>
      <c r="P31" s="52">
        <f>VLOOKUP($A31,'Additional Tables'!$A:$I,8,FALSE)</f>
        <v>1.726664434701549E-2</v>
      </c>
      <c r="Q31" s="53">
        <f>VLOOKUP($A31,'Additional Tables'!$A:$I,9,FALSE)</f>
        <v>3.4189332957627098E-3</v>
      </c>
      <c r="R31" s="57">
        <v>4.4279639579741245E-3</v>
      </c>
      <c r="S31" s="51">
        <v>2.8782714398642841E-4</v>
      </c>
      <c r="T31" s="54">
        <v>2.7954784980329175E-3</v>
      </c>
      <c r="U31" s="50">
        <v>2.8118281770888345E-4</v>
      </c>
      <c r="V31" s="54">
        <v>7.0271363160634972E-3</v>
      </c>
      <c r="W31" s="50">
        <v>1.8269016771778801E-4</v>
      </c>
      <c r="X31" s="54">
        <v>8.713238226915243E-4</v>
      </c>
      <c r="Y31" s="50">
        <v>2.2082022068914268E-4</v>
      </c>
      <c r="Z31" s="54">
        <v>2.2847939643964072E-3</v>
      </c>
      <c r="AA31" s="50">
        <v>0</v>
      </c>
      <c r="AB31" s="54">
        <v>1.9327011404680536E-3</v>
      </c>
      <c r="AC31" s="50">
        <v>0</v>
      </c>
      <c r="AD31" s="51">
        <v>1.1628937240355375E-2</v>
      </c>
      <c r="AE31" s="56">
        <v>0</v>
      </c>
    </row>
    <row r="32" spans="1:31" x14ac:dyDescent="0.25">
      <c r="A32" s="30" t="s">
        <v>23</v>
      </c>
      <c r="B32" s="31" t="s">
        <v>24</v>
      </c>
      <c r="C32" s="32">
        <f>VLOOKUP(A32,'Total Areas'!A:D,4,FALSE)</f>
        <v>25.486774331916184</v>
      </c>
      <c r="D32" s="33" t="s">
        <v>46</v>
      </c>
      <c r="E32" s="34">
        <v>0</v>
      </c>
      <c r="F32" s="35" t="s">
        <v>25</v>
      </c>
      <c r="G32" s="36">
        <v>0</v>
      </c>
      <c r="H32" s="37">
        <f>VLOOKUP($A32,'Additional Tables'!$A:$I,3,FALSE)</f>
        <v>0</v>
      </c>
      <c r="I32" s="38">
        <f>VLOOKUP($A32,'Additional Tables'!$A:$I,4,FALSE)</f>
        <v>9.2328296866663344E-4</v>
      </c>
      <c r="J32" s="38">
        <f>VLOOKUP($A32,'Additional Tables'!$A:$I,5,FALSE)</f>
        <v>2.8E-3</v>
      </c>
      <c r="K32" s="39">
        <f>VLOOKUP($A32,'Additional Tables'!$A:$I,6,FALSE)</f>
        <v>6.3E-3</v>
      </c>
      <c r="L32" s="34">
        <v>0</v>
      </c>
      <c r="M32" s="35" t="s">
        <v>25</v>
      </c>
      <c r="N32" s="36">
        <v>0</v>
      </c>
      <c r="O32" s="37">
        <f>VLOOKUP($A32,'Additional Tables'!$A:$I,7,FALSE)</f>
        <v>0</v>
      </c>
      <c r="P32" s="38">
        <f>VLOOKUP($A32,'Additional Tables'!$A:$I,8,FALSE)</f>
        <v>9.4236377113512319E-4</v>
      </c>
      <c r="Q32" s="39">
        <f>VLOOKUP($A32,'Additional Tables'!$A:$I,9,FALSE)</f>
        <v>3.1344071759555059E-3</v>
      </c>
      <c r="R32" s="30" t="s">
        <v>26</v>
      </c>
      <c r="S32" s="31" t="s">
        <v>26</v>
      </c>
      <c r="T32" s="40" t="s">
        <v>26</v>
      </c>
      <c r="U32" s="41" t="s">
        <v>26</v>
      </c>
      <c r="V32" s="40" t="s">
        <v>26</v>
      </c>
      <c r="W32" s="41" t="s">
        <v>26</v>
      </c>
      <c r="X32" s="40" t="s">
        <v>26</v>
      </c>
      <c r="Y32" s="41" t="s">
        <v>26</v>
      </c>
      <c r="Z32" s="40" t="s">
        <v>26</v>
      </c>
      <c r="AA32" s="41" t="s">
        <v>26</v>
      </c>
      <c r="AB32" s="40" t="s">
        <v>26</v>
      </c>
      <c r="AC32" s="41" t="s">
        <v>26</v>
      </c>
      <c r="AD32" s="31" t="s">
        <v>26</v>
      </c>
      <c r="AE32" s="33" t="s">
        <v>26</v>
      </c>
    </row>
    <row r="33" spans="1:32" x14ac:dyDescent="0.25">
      <c r="A33" s="48" t="s">
        <v>35</v>
      </c>
      <c r="B33" s="49" t="s">
        <v>36</v>
      </c>
      <c r="C33" s="32">
        <f>VLOOKUP(A33,'Total Areas'!A:D,4,FALSE)</f>
        <v>13.417064810277948</v>
      </c>
      <c r="D33" s="33" t="s">
        <v>46</v>
      </c>
      <c r="E33" s="34">
        <v>33</v>
      </c>
      <c r="F33" s="35">
        <v>0.1039426523297491</v>
      </c>
      <c r="G33" s="50">
        <v>8.8888888888888892E-2</v>
      </c>
      <c r="H33" s="51">
        <f>VLOOKUP($A33,'Additional Tables'!$A:$I,3,FALSE)</f>
        <v>3.5841841015437137E-2</v>
      </c>
      <c r="I33" s="52">
        <f>VLOOKUP($A33,'Additional Tables'!$A:$I,4,FALSE)</f>
        <v>5.5361620067146729E-3</v>
      </c>
      <c r="J33" s="52">
        <f>VLOOKUP($A33,'Additional Tables'!$A:$I,5,FALSE)</f>
        <v>2.8999999999999998E-3</v>
      </c>
      <c r="K33" s="53">
        <f>VLOOKUP($A33,'Additional Tables'!$A:$I,6,FALSE)</f>
        <v>6.7999999999999996E-3</v>
      </c>
      <c r="L33" s="34">
        <v>0</v>
      </c>
      <c r="M33" s="54">
        <v>0</v>
      </c>
      <c r="N33" s="50">
        <v>0</v>
      </c>
      <c r="O33" s="51">
        <f>VLOOKUP($A33,'Additional Tables'!$A:$I,7,FALSE)</f>
        <v>0</v>
      </c>
      <c r="P33" s="52">
        <f>VLOOKUP($A33,'Additional Tables'!$A:$I,8,FALSE)</f>
        <v>4.4366553983582347E-3</v>
      </c>
      <c r="Q33" s="53">
        <f>VLOOKUP($A33,'Additional Tables'!$A:$I,9,FALSE)</f>
        <v>1.6260522249056295E-3</v>
      </c>
      <c r="R33" s="55">
        <v>1.4444696133024204E-3</v>
      </c>
      <c r="S33" s="37">
        <v>1.2282683493022867E-4</v>
      </c>
      <c r="T33" s="54">
        <v>1.5823233007542493E-3</v>
      </c>
      <c r="U33" s="50">
        <v>1.9926522995928095E-5</v>
      </c>
      <c r="V33" s="54">
        <v>2.1734189320639159E-3</v>
      </c>
      <c r="W33" s="50">
        <v>2.1303542237543466E-4</v>
      </c>
      <c r="X33" s="54">
        <v>6.3671410977312172E-4</v>
      </c>
      <c r="Y33" s="50">
        <v>1.6345531071758725E-4</v>
      </c>
      <c r="Z33" s="54">
        <v>7.6787326155903254E-4</v>
      </c>
      <c r="AA33" s="50">
        <v>0</v>
      </c>
      <c r="AB33" s="54">
        <v>7.5589419135967128E-4</v>
      </c>
      <c r="AC33" s="50">
        <v>2.4745055640376154E-5</v>
      </c>
      <c r="AD33" s="51">
        <v>1.091462898938733E-3</v>
      </c>
      <c r="AE33" s="56">
        <v>5.84212048367083E-6</v>
      </c>
    </row>
    <row r="34" spans="1:32" x14ac:dyDescent="0.25">
      <c r="A34" s="48" t="s">
        <v>37</v>
      </c>
      <c r="B34" s="49" t="s">
        <v>36</v>
      </c>
      <c r="C34" s="32">
        <f>VLOOKUP(A34,'Total Areas'!A:D,4,FALSE)</f>
        <v>80.418562154362306</v>
      </c>
      <c r="D34" s="33" t="s">
        <v>46</v>
      </c>
      <c r="E34" s="34">
        <v>204</v>
      </c>
      <c r="F34" s="54">
        <v>1.4084507042253521E-2</v>
      </c>
      <c r="G34" s="50">
        <v>0.39726027397260272</v>
      </c>
      <c r="H34" s="51">
        <f>VLOOKUP($A34,'Additional Tables'!$A:$I,3,FALSE)</f>
        <v>6.4687310241555218E-2</v>
      </c>
      <c r="I34" s="52">
        <f>VLOOKUP($A34,'Additional Tables'!$A:$I,4,FALSE)</f>
        <v>1.7232601910309175E-2</v>
      </c>
      <c r="J34" s="52">
        <f>VLOOKUP($A34,'Additional Tables'!$A:$I,5,FALSE)</f>
        <v>1.12E-2</v>
      </c>
      <c r="K34" s="53">
        <f>VLOOKUP($A34,'Additional Tables'!$A:$I,6,FALSE)</f>
        <v>2.1100000000000001E-2</v>
      </c>
      <c r="L34" s="34">
        <v>14</v>
      </c>
      <c r="M34" s="54">
        <v>0</v>
      </c>
      <c r="N34" s="50">
        <v>2.3483365949119372E-2</v>
      </c>
      <c r="O34" s="51">
        <f>VLOOKUP($A34,'Additional Tables'!$A:$I,7,FALSE)</f>
        <v>1.8124201136746239E-2</v>
      </c>
      <c r="P34" s="52">
        <f>VLOOKUP($A34,'Additional Tables'!$A:$I,8,FALSE)</f>
        <v>1.716225229998582E-2</v>
      </c>
      <c r="Q34" s="53">
        <f>VLOOKUP($A34,'Additional Tables'!$A:$I,9,FALSE)</f>
        <v>7.7847018352902144E-3</v>
      </c>
      <c r="R34" s="57">
        <v>5.7631818397120456E-3</v>
      </c>
      <c r="S34" s="51">
        <v>3.6878505743676024E-3</v>
      </c>
      <c r="T34" s="54">
        <v>5.3090371759735994E-3</v>
      </c>
      <c r="U34" s="50">
        <v>3.6276253225512338E-3</v>
      </c>
      <c r="V34" s="54">
        <v>8.553861946232413E-3</v>
      </c>
      <c r="W34" s="50">
        <v>2.7713255903694712E-2</v>
      </c>
      <c r="X34" s="54">
        <v>2.2864828428566077E-3</v>
      </c>
      <c r="Y34" s="50">
        <v>3.1609512545996525E-3</v>
      </c>
      <c r="Z34" s="54">
        <v>2.5930635294169539E-3</v>
      </c>
      <c r="AA34" s="50">
        <v>0</v>
      </c>
      <c r="AB34" s="54">
        <v>3.008873359948947E-3</v>
      </c>
      <c r="AC34" s="50">
        <v>7.6060221928854962E-3</v>
      </c>
      <c r="AD34" s="51">
        <v>3.7319406541438983E-3</v>
      </c>
      <c r="AE34" s="56">
        <v>9.953384588475033E-4</v>
      </c>
    </row>
    <row r="35" spans="1:32" x14ac:dyDescent="0.25">
      <c r="A35" s="30" t="s">
        <v>27</v>
      </c>
      <c r="B35" s="31" t="s">
        <v>24</v>
      </c>
      <c r="C35" s="32">
        <f>VLOOKUP(A35,'Total Areas'!A:D,4,FALSE)</f>
        <v>73.893005735951661</v>
      </c>
      <c r="D35" s="33" t="s">
        <v>46</v>
      </c>
      <c r="E35" s="34">
        <v>31</v>
      </c>
      <c r="F35" s="35">
        <v>5.7065217391304345E-2</v>
      </c>
      <c r="G35" s="36">
        <v>0.23076923076923078</v>
      </c>
      <c r="H35" s="37">
        <f>VLOOKUP($A35,'Additional Tables'!$A:$I,3,FALSE)</f>
        <v>9.157820544509257E-2</v>
      </c>
      <c r="I35" s="38">
        <f>VLOOKUP($A35,'Additional Tables'!$A:$I,4,FALSE)</f>
        <v>1.8471137919403705E-2</v>
      </c>
      <c r="J35" s="38">
        <f>VLOOKUP($A35,'Additional Tables'!$A:$I,5,FALSE)</f>
        <v>1.15E-2</v>
      </c>
      <c r="K35" s="39">
        <f>VLOOKUP($A35,'Additional Tables'!$A:$I,6,FALSE)</f>
        <v>2.8799999999999999E-2</v>
      </c>
      <c r="L35" s="34">
        <v>1</v>
      </c>
      <c r="M35" s="35">
        <v>2.717391304347826E-3</v>
      </c>
      <c r="N35" s="36">
        <v>0</v>
      </c>
      <c r="O35" s="37">
        <f>VLOOKUP($A35,'Additional Tables'!$A:$I,7,FALSE)</f>
        <v>1.2384987309052851E-2</v>
      </c>
      <c r="P35" s="38">
        <f>VLOOKUP($A35,'Additional Tables'!$A:$I,8,FALSE)</f>
        <v>1.6450305128848895E-2</v>
      </c>
      <c r="Q35" s="39">
        <f>VLOOKUP($A35,'Additional Tables'!$A:$I,9,FALSE)</f>
        <v>7.8711438294803756E-3</v>
      </c>
      <c r="R35" s="30" t="s">
        <v>26</v>
      </c>
      <c r="S35" s="31" t="s">
        <v>26</v>
      </c>
      <c r="T35" s="40" t="s">
        <v>26</v>
      </c>
      <c r="U35" s="41" t="s">
        <v>26</v>
      </c>
      <c r="V35" s="40" t="s">
        <v>26</v>
      </c>
      <c r="W35" s="41" t="s">
        <v>26</v>
      </c>
      <c r="X35" s="40" t="s">
        <v>26</v>
      </c>
      <c r="Y35" s="41" t="s">
        <v>26</v>
      </c>
      <c r="Z35" s="40" t="s">
        <v>26</v>
      </c>
      <c r="AA35" s="41" t="s">
        <v>26</v>
      </c>
      <c r="AB35" s="40" t="s">
        <v>26</v>
      </c>
      <c r="AC35" s="41" t="s">
        <v>26</v>
      </c>
      <c r="AD35" s="31" t="s">
        <v>26</v>
      </c>
      <c r="AE35" s="33" t="s">
        <v>26</v>
      </c>
    </row>
    <row r="36" spans="1:32" x14ac:dyDescent="0.25">
      <c r="A36" s="48" t="s">
        <v>38</v>
      </c>
      <c r="B36" s="49" t="s">
        <v>36</v>
      </c>
      <c r="C36" s="32">
        <f>VLOOKUP(A36,'Total Areas'!A:D,4,FALSE)</f>
        <v>80.586734010599585</v>
      </c>
      <c r="D36" s="33" t="s">
        <v>46</v>
      </c>
      <c r="E36" s="34">
        <v>253</v>
      </c>
      <c r="F36" s="54">
        <v>5.4631828978622329E-2</v>
      </c>
      <c r="G36" s="50">
        <v>0.41</v>
      </c>
      <c r="H36" s="51">
        <f>VLOOKUP($A36,'Additional Tables'!$A:$I,3,FALSE)</f>
        <v>0.20093369732318772</v>
      </c>
      <c r="I36" s="52">
        <f>VLOOKUP($A36,'Additional Tables'!$A:$I,4,FALSE)</f>
        <v>2.964646822264598E-2</v>
      </c>
      <c r="J36" s="52">
        <f>VLOOKUP($A36,'Additional Tables'!$A:$I,5,FALSE)</f>
        <v>1.52E-2</v>
      </c>
      <c r="K36" s="53">
        <f>VLOOKUP($A36,'Additional Tables'!$A:$I,6,FALSE)</f>
        <v>4.0300000000000002E-2</v>
      </c>
      <c r="L36" s="34">
        <v>12</v>
      </c>
      <c r="M36" s="54">
        <v>1.1876484560570072E-3</v>
      </c>
      <c r="N36" s="50">
        <v>2.1999999999999999E-2</v>
      </c>
      <c r="O36" s="51">
        <f>VLOOKUP($A36,'Additional Tables'!$A:$I,7,FALSE)</f>
        <v>2.388484828528439E-2</v>
      </c>
      <c r="P36" s="52">
        <f>VLOOKUP($A36,'Additional Tables'!$A:$I,8,FALSE)</f>
        <v>2.4488808689957196E-2</v>
      </c>
      <c r="Q36" s="53">
        <f>VLOOKUP($A36,'Additional Tables'!$A:$I,9,FALSE)</f>
        <v>9.3388820765534942E-3</v>
      </c>
      <c r="R36" s="57">
        <v>5.362074199240785E-3</v>
      </c>
      <c r="S36" s="51">
        <v>3.912479555523804E-3</v>
      </c>
      <c r="T36" s="54">
        <v>5.8044364608171731E-3</v>
      </c>
      <c r="U36" s="50">
        <v>6.9218917184550263E-4</v>
      </c>
      <c r="V36" s="54">
        <v>8.899946817006418E-3</v>
      </c>
      <c r="W36" s="50">
        <v>4.9385844238086733E-3</v>
      </c>
      <c r="X36" s="54">
        <v>3.3374701773531473E-3</v>
      </c>
      <c r="Y36" s="50">
        <v>2.1954833266963946E-3</v>
      </c>
      <c r="Z36" s="54">
        <v>2.2775250370560404E-3</v>
      </c>
      <c r="AA36" s="50">
        <v>0</v>
      </c>
      <c r="AB36" s="54">
        <v>3.1764124371436086E-3</v>
      </c>
      <c r="AC36" s="50">
        <v>2.5178191523184189E-3</v>
      </c>
      <c r="AD36" s="51">
        <v>2.1270125862505643E-3</v>
      </c>
      <c r="AE36" s="56">
        <v>1.1611798991394051E-4</v>
      </c>
    </row>
    <row r="37" spans="1:32" x14ac:dyDescent="0.25">
      <c r="A37" s="48" t="s">
        <v>39</v>
      </c>
      <c r="B37" s="49" t="s">
        <v>36</v>
      </c>
      <c r="C37" s="32">
        <f>VLOOKUP(A37,'Total Areas'!A:D,4,FALSE)</f>
        <v>50.418970229565204</v>
      </c>
      <c r="D37" s="44" t="s">
        <v>46</v>
      </c>
      <c r="E37" s="34">
        <v>189</v>
      </c>
      <c r="F37" s="54">
        <v>3.7533512064343161E-2</v>
      </c>
      <c r="G37" s="50">
        <v>0.40898345153664301</v>
      </c>
      <c r="H37" s="51">
        <f>VLOOKUP($A37,'Additional Tables'!$A:$I,3,FALSE)</f>
        <v>0.10080892275372581</v>
      </c>
      <c r="I37" s="52">
        <f>VLOOKUP($A37,'Additional Tables'!$A:$I,4,FALSE)</f>
        <v>1.0984078789672768E-2</v>
      </c>
      <c r="J37" s="52">
        <f>VLOOKUP($A37,'Additional Tables'!$A:$I,5,FALSE)</f>
        <v>8.0000000000000002E-3</v>
      </c>
      <c r="K37" s="53">
        <f>VLOOKUP($A37,'Additional Tables'!$A:$I,6,FALSE)</f>
        <v>2.07E-2</v>
      </c>
      <c r="L37" s="34">
        <v>17</v>
      </c>
      <c r="M37" s="54">
        <v>5.3619302949061663E-3</v>
      </c>
      <c r="N37" s="50">
        <v>3.5460992907801421E-2</v>
      </c>
      <c r="O37" s="51">
        <f>VLOOKUP($A37,'Additional Tables'!$A:$I,7,FALSE)</f>
        <v>0.10140970640953867</v>
      </c>
      <c r="P37" s="52">
        <f>VLOOKUP($A37,'Additional Tables'!$A:$I,8,FALSE)</f>
        <v>8.750535939337464E-3</v>
      </c>
      <c r="Q37" s="53">
        <f>VLOOKUP($A37,'Additional Tables'!$A:$I,9,FALSE)</f>
        <v>5.1158139167618915E-3</v>
      </c>
      <c r="R37" s="57">
        <v>3.0203143375307326E-3</v>
      </c>
      <c r="S37" s="51">
        <v>4.2778213184857853E-4</v>
      </c>
      <c r="T37" s="54">
        <v>2.76080852612035E-3</v>
      </c>
      <c r="U37" s="50">
        <v>9.3444378503987276E-5</v>
      </c>
      <c r="V37" s="54">
        <v>5.9990248631423878E-3</v>
      </c>
      <c r="W37" s="50">
        <v>8.9448360744897291E-4</v>
      </c>
      <c r="X37" s="54">
        <v>1.9483394570412461E-3</v>
      </c>
      <c r="Y37" s="50">
        <v>3.3007298383945255E-4</v>
      </c>
      <c r="Z37" s="54">
        <v>1.090361512791209E-3</v>
      </c>
      <c r="AA37" s="50">
        <v>0</v>
      </c>
      <c r="AB37" s="54">
        <v>2.166355275204149E-3</v>
      </c>
      <c r="AC37" s="50">
        <v>3.2601896063358783E-4</v>
      </c>
      <c r="AD37" s="51">
        <v>7.9003477743369165E-4</v>
      </c>
      <c r="AE37" s="56">
        <v>0</v>
      </c>
    </row>
    <row r="38" spans="1:32" x14ac:dyDescent="0.25">
      <c r="A38" s="48" t="s">
        <v>79</v>
      </c>
      <c r="B38" s="49" t="s">
        <v>36</v>
      </c>
      <c r="C38" s="32">
        <f>VLOOKUP(A38,'Total Areas'!A:D,4,FALSE)</f>
        <v>26.813464936262818</v>
      </c>
      <c r="D38" s="44" t="s">
        <v>46</v>
      </c>
      <c r="E38" s="34"/>
      <c r="F38" s="54"/>
      <c r="G38" s="50"/>
      <c r="H38" s="51">
        <f>VLOOKUP($A38,'Additional Tables'!$A:$I,3,FALSE)</f>
        <v>2.6010354621621021E-2</v>
      </c>
      <c r="I38" s="52">
        <f>VLOOKUP($A38,'Additional Tables'!$A:$I,4,FALSE)</f>
        <v>9.8511084128178709E-3</v>
      </c>
      <c r="J38" s="52">
        <f>VLOOKUP($A38,'Additional Tables'!$A:$I,5,FALSE)</f>
        <v>4.1000000000000003E-3</v>
      </c>
      <c r="K38" s="53">
        <f>VLOOKUP($A38,'Additional Tables'!$A:$I,6,FALSE)</f>
        <v>8.8000000000000005E-3</v>
      </c>
      <c r="L38" s="34"/>
      <c r="M38" s="54"/>
      <c r="N38" s="50"/>
      <c r="O38" s="51">
        <f>VLOOKUP($A38,'Additional Tables'!$A:$I,7,FALSE)</f>
        <v>7.0108250208441598E-3</v>
      </c>
      <c r="P38" s="52">
        <f>VLOOKUP($A38,'Additional Tables'!$A:$I,8,FALSE)</f>
        <v>9.9407085792971878E-3</v>
      </c>
      <c r="Q38" s="53">
        <f>VLOOKUP($A38,'Additional Tables'!$A:$I,9,FALSE)</f>
        <v>2.595398859148387E-3</v>
      </c>
      <c r="R38" s="57">
        <v>6.8593347283572E-3</v>
      </c>
      <c r="S38" s="51">
        <v>1.4460085115993659E-3</v>
      </c>
      <c r="T38" s="54">
        <v>7.7636209168669163E-3</v>
      </c>
      <c r="U38" s="50">
        <v>1.3891281767862457E-3</v>
      </c>
      <c r="V38" s="54">
        <v>8.3508727014654435E-3</v>
      </c>
      <c r="W38" s="50">
        <v>1.0767903382807826E-2</v>
      </c>
      <c r="X38" s="54">
        <v>1.5914410300340389E-3</v>
      </c>
      <c r="Y38" s="50">
        <v>1.1676068728516044E-3</v>
      </c>
      <c r="Z38" s="54">
        <v>3.983515909391969E-4</v>
      </c>
      <c r="AA38" s="50">
        <v>0</v>
      </c>
      <c r="AB38" s="54">
        <v>4.5938180960971246E-3</v>
      </c>
      <c r="AC38" s="50">
        <v>3.048497944287991E-3</v>
      </c>
      <c r="AD38" s="51">
        <v>4.60156093361526E-3</v>
      </c>
      <c r="AE38" s="56">
        <v>3.5736210353053209E-4</v>
      </c>
    </row>
    <row r="39" spans="1:32" x14ac:dyDescent="0.25">
      <c r="A39" s="48" t="s">
        <v>42</v>
      </c>
      <c r="B39" s="49" t="s">
        <v>36</v>
      </c>
      <c r="C39" s="32">
        <f>VLOOKUP(A39,'Total Areas'!A:D,4,FALSE)</f>
        <v>53.535572304011666</v>
      </c>
      <c r="D39" s="44" t="s">
        <v>46</v>
      </c>
      <c r="E39" s="34">
        <v>247</v>
      </c>
      <c r="F39" s="54">
        <v>6.9444444444444441E-3</v>
      </c>
      <c r="G39" s="50">
        <v>0.55405405405405406</v>
      </c>
      <c r="H39" s="51">
        <f>VLOOKUP($A39,'Additional Tables'!$A:$I,3,FALSE)</f>
        <v>2.692293580761022E-2</v>
      </c>
      <c r="I39" s="52">
        <f>VLOOKUP($A39,'Additional Tables'!$A:$I,4,FALSE)</f>
        <v>6.9341242640449663E-3</v>
      </c>
      <c r="J39" s="52">
        <f>VLOOKUP($A39,'Additional Tables'!$A:$I,5,FALSE)</f>
        <v>5.1999999999999998E-3</v>
      </c>
      <c r="K39" s="53">
        <f>VLOOKUP($A39,'Additional Tables'!$A:$I,6,FALSE)</f>
        <v>1.0999999999999999E-2</v>
      </c>
      <c r="L39" s="34">
        <v>10</v>
      </c>
      <c r="M39" s="54">
        <v>6.9444444444444441E-3</v>
      </c>
      <c r="N39" s="50">
        <v>2.0270270270270271E-2</v>
      </c>
      <c r="O39" s="51">
        <f>VLOOKUP($A39,'Additional Tables'!$A:$I,7,FALSE)</f>
        <v>1.4865169375056723E-3</v>
      </c>
      <c r="P39" s="52">
        <f>VLOOKUP($A39,'Additional Tables'!$A:$I,8,FALSE)</f>
        <v>6.3158811085847642E-3</v>
      </c>
      <c r="Q39" s="53">
        <f>VLOOKUP($A39,'Additional Tables'!$A:$I,9,FALSE)</f>
        <v>3.0151303924913354E-3</v>
      </c>
      <c r="R39" s="57">
        <v>4.0704490206288869E-3</v>
      </c>
      <c r="S39" s="51">
        <v>1.6305110862777336E-4</v>
      </c>
      <c r="T39" s="54">
        <v>2.9253377866584078E-3</v>
      </c>
      <c r="U39" s="50">
        <v>3.9767612262145907E-4</v>
      </c>
      <c r="V39" s="54">
        <v>6.2038930390744193E-3</v>
      </c>
      <c r="W39" s="50">
        <v>4.7742855829191137E-3</v>
      </c>
      <c r="X39" s="54">
        <v>1.4008229078579274E-3</v>
      </c>
      <c r="Y39" s="50">
        <v>6.0780920303762128E-4</v>
      </c>
      <c r="Z39" s="54">
        <v>1.0900177453905106E-3</v>
      </c>
      <c r="AA39" s="50">
        <v>0</v>
      </c>
      <c r="AB39" s="54">
        <v>2.1250820651521132E-3</v>
      </c>
      <c r="AC39" s="50">
        <v>5.4464191962678597E-4</v>
      </c>
      <c r="AD39" s="51">
        <v>1.8824449973663267E-3</v>
      </c>
      <c r="AE39" s="56">
        <v>5.8264262964132589E-5</v>
      </c>
    </row>
    <row r="40" spans="1:32" x14ac:dyDescent="0.25">
      <c r="A40" s="30" t="s">
        <v>30</v>
      </c>
      <c r="B40" s="31" t="s">
        <v>24</v>
      </c>
      <c r="C40" s="32">
        <f>VLOOKUP(A40,'Total Areas'!A:D,4,FALSE)</f>
        <v>66.869240575577706</v>
      </c>
      <c r="D40" s="33" t="s">
        <v>46</v>
      </c>
      <c r="E40" s="34">
        <v>22</v>
      </c>
      <c r="F40" s="35">
        <v>2.6706231454005934E-2</v>
      </c>
      <c r="G40" s="36">
        <v>0.30303030303030304</v>
      </c>
      <c r="H40" s="37">
        <f>VLOOKUP($A40,'Additional Tables'!$A:$I,3,FALSE)</f>
        <v>3.8074652678411244E-2</v>
      </c>
      <c r="I40" s="38">
        <f>VLOOKUP($A40,'Additional Tables'!$A:$I,4,FALSE)</f>
        <v>1.4632249990999728E-2</v>
      </c>
      <c r="J40" s="38">
        <f>VLOOKUP($A40,'Additional Tables'!$A:$I,5,FALSE)</f>
        <v>1.0200000000000001E-2</v>
      </c>
      <c r="K40" s="39">
        <f>VLOOKUP($A40,'Additional Tables'!$A:$I,6,FALSE)</f>
        <v>1.9900000000000001E-2</v>
      </c>
      <c r="L40" s="34">
        <v>1</v>
      </c>
      <c r="M40" s="35">
        <v>0</v>
      </c>
      <c r="N40" s="36">
        <v>0</v>
      </c>
      <c r="O40" s="37">
        <f>VLOOKUP($A40,'Additional Tables'!$A:$I,7,FALSE)</f>
        <v>2.5240586206381015E-2</v>
      </c>
      <c r="P40" s="38">
        <f>VLOOKUP($A40,'Additional Tables'!$A:$I,8,FALSE)</f>
        <v>1.3562029794945335E-2</v>
      </c>
      <c r="Q40" s="39">
        <f>VLOOKUP($A40,'Additional Tables'!$A:$I,9,FALSE)</f>
        <v>7.6183292914212292E-3</v>
      </c>
      <c r="R40" s="30" t="s">
        <v>26</v>
      </c>
      <c r="S40" s="31" t="s">
        <v>26</v>
      </c>
      <c r="T40" s="40" t="s">
        <v>26</v>
      </c>
      <c r="U40" s="41" t="s">
        <v>26</v>
      </c>
      <c r="V40" s="40" t="s">
        <v>26</v>
      </c>
      <c r="W40" s="41" t="s">
        <v>26</v>
      </c>
      <c r="X40" s="40" t="s">
        <v>26</v>
      </c>
      <c r="Y40" s="41" t="s">
        <v>26</v>
      </c>
      <c r="Z40" s="40" t="s">
        <v>26</v>
      </c>
      <c r="AA40" s="41" t="s">
        <v>26</v>
      </c>
      <c r="AB40" s="40" t="s">
        <v>26</v>
      </c>
      <c r="AC40" s="41" t="s">
        <v>26</v>
      </c>
      <c r="AD40" s="31" t="s">
        <v>26</v>
      </c>
      <c r="AE40" s="33" t="s">
        <v>26</v>
      </c>
    </row>
    <row r="41" spans="1:32" ht="15.75" thickBot="1" x14ac:dyDescent="0.3">
      <c r="A41" s="59" t="s">
        <v>45</v>
      </c>
      <c r="B41" s="60" t="s">
        <v>36</v>
      </c>
      <c r="C41" s="45">
        <f>VLOOKUP(A41,'Total Areas'!A:D,4,FALSE)</f>
        <v>12.536395410948526</v>
      </c>
      <c r="D41" s="46" t="s">
        <v>46</v>
      </c>
      <c r="E41" s="47"/>
      <c r="F41" s="61"/>
      <c r="G41" s="62"/>
      <c r="H41" s="63">
        <f>VLOOKUP($A41,'Additional Tables'!$A:$I,3,FALSE)</f>
        <v>3.3457829426416827E-2</v>
      </c>
      <c r="I41" s="64">
        <f>VLOOKUP($A41,'Additional Tables'!$A:$I,4,FALSE)</f>
        <v>2.1711207803920183E-3</v>
      </c>
      <c r="J41" s="64">
        <f>VLOOKUP($A41,'Additional Tables'!$A:$I,5,FALSE)</f>
        <v>1.6999999999999999E-3</v>
      </c>
      <c r="K41" s="65">
        <f>VLOOKUP($A41,'Additional Tables'!$A:$I,6,FALSE)</f>
        <v>2.8E-3</v>
      </c>
      <c r="L41" s="47"/>
      <c r="M41" s="61"/>
      <c r="N41" s="62"/>
      <c r="O41" s="63">
        <f>VLOOKUP($A41,'Additional Tables'!$A:$I,7,FALSE)</f>
        <v>0</v>
      </c>
      <c r="P41" s="64">
        <f>VLOOKUP($A41,'Additional Tables'!$A:$I,8,FALSE)</f>
        <v>1.0345890642951376E-3</v>
      </c>
      <c r="Q41" s="65">
        <f>VLOOKUP($A41,'Additional Tables'!$A:$I,9,FALSE)</f>
        <v>7.8199009565607593E-4</v>
      </c>
      <c r="R41" s="66">
        <v>1.901653238681729E-3</v>
      </c>
      <c r="S41" s="63">
        <v>2.3280976243524306E-4</v>
      </c>
      <c r="T41" s="61">
        <v>1.3401738322140712E-3</v>
      </c>
      <c r="U41" s="62">
        <v>3.0283332655701951E-4</v>
      </c>
      <c r="V41" s="61">
        <v>2.8277906005956923E-3</v>
      </c>
      <c r="W41" s="62">
        <v>3.1112647531112895E-4</v>
      </c>
      <c r="X41" s="61">
        <v>6.4902106030272392E-4</v>
      </c>
      <c r="Y41" s="62">
        <v>5.9995142615029587E-4</v>
      </c>
      <c r="Z41" s="61">
        <v>5.3846459872641372E-4</v>
      </c>
      <c r="AA41" s="62">
        <v>0</v>
      </c>
      <c r="AB41" s="61">
        <v>9.9256555171485712E-4</v>
      </c>
      <c r="AC41" s="62">
        <v>4.5758383208903531E-5</v>
      </c>
      <c r="AD41" s="63">
        <v>9.3133348079817732E-4</v>
      </c>
      <c r="AE41" s="67">
        <v>0</v>
      </c>
    </row>
    <row r="44" spans="1:32" x14ac:dyDescent="0.25">
      <c r="A44" s="58" t="s">
        <v>68</v>
      </c>
      <c r="B44" s="49" t="s">
        <v>36</v>
      </c>
      <c r="C44" s="32">
        <v>279.91784183508571</v>
      </c>
      <c r="D44" s="44" t="s">
        <v>65</v>
      </c>
      <c r="E44" s="34">
        <v>16</v>
      </c>
      <c r="F44" s="54">
        <v>0</v>
      </c>
      <c r="G44" s="50">
        <v>2.2727272727272728E-2</v>
      </c>
      <c r="H44" s="51">
        <v>4.2176251120314923E-2</v>
      </c>
      <c r="I44" s="52">
        <v>4.516882654087704E-2</v>
      </c>
      <c r="J44" s="53" t="e">
        <f>VLOOKUP("OCULINA BANK CHAPC EXT.",'Additional Tables'!$A:$I,5,FALSE)</f>
        <v>#N/A</v>
      </c>
      <c r="K44" s="53" t="e">
        <f>VLOOKUP("OCULINA BANK CHAPC EXT.",'Additional Tables'!$A:$I,6,FALSE)</f>
        <v>#N/A</v>
      </c>
      <c r="L44" s="34">
        <v>11</v>
      </c>
      <c r="M44" s="54">
        <v>0</v>
      </c>
      <c r="N44" s="50">
        <v>7.9545454545454544E-2</v>
      </c>
      <c r="O44" s="51">
        <v>1.7901075906333438E-2</v>
      </c>
      <c r="P44" s="52">
        <v>4.4455720544668904E-2</v>
      </c>
      <c r="Q44" s="53">
        <v>5.3414426913075012E-2</v>
      </c>
      <c r="R44" s="57">
        <v>3.9205618468158382E-5</v>
      </c>
      <c r="S44" s="51">
        <v>5.4769576844117457E-6</v>
      </c>
      <c r="T44" s="54">
        <v>4.0824441517847552E-5</v>
      </c>
      <c r="U44" s="50">
        <v>3.4467867580220728E-4</v>
      </c>
      <c r="V44" s="54">
        <v>1.5294251654947219E-3</v>
      </c>
      <c r="W44" s="50">
        <v>1.3180826538337196E-4</v>
      </c>
      <c r="X44" s="54">
        <v>3.72022215890127E-2</v>
      </c>
      <c r="Y44" s="50">
        <v>4.9217562979790195E-4</v>
      </c>
      <c r="Z44" s="54">
        <v>8.8600305881579599E-5</v>
      </c>
      <c r="AA44" s="50">
        <v>0</v>
      </c>
      <c r="AB44" s="54">
        <v>1.1490482282335522E-3</v>
      </c>
      <c r="AC44" s="50">
        <v>3.5587434984822174E-4</v>
      </c>
      <c r="AD44" s="51">
        <v>2.792652887677175E-5</v>
      </c>
      <c r="AE44" s="56">
        <v>0</v>
      </c>
    </row>
    <row r="45" spans="1:32" x14ac:dyDescent="0.25">
      <c r="A45" s="30" t="s">
        <v>32</v>
      </c>
      <c r="B45" s="31" t="s">
        <v>24</v>
      </c>
      <c r="C45" s="32">
        <v>387.13819703765978</v>
      </c>
      <c r="D45" s="44" t="s">
        <v>65</v>
      </c>
      <c r="E45" s="34">
        <v>11</v>
      </c>
      <c r="F45" s="35"/>
      <c r="G45" s="36"/>
      <c r="H45" s="37">
        <v>3.7881820745562747E-2</v>
      </c>
      <c r="I45" s="38">
        <v>5.0081604279834969E-2</v>
      </c>
      <c r="J45" s="39" t="e">
        <f>VLOOKUP($A45,'Additional Tables'!$A:$I,5,FALSE)</f>
        <v>#N/A</v>
      </c>
      <c r="K45" s="39" t="e">
        <f>VLOOKUP($A45,'Additional Tables'!$A:$I,6,FALSE)</f>
        <v>#N/A</v>
      </c>
      <c r="L45" s="34">
        <v>1</v>
      </c>
      <c r="M45" s="35"/>
      <c r="N45" s="36"/>
      <c r="O45" s="37">
        <v>6.0247777108985226E-3</v>
      </c>
      <c r="P45" s="38">
        <v>5.0035682331475179E-2</v>
      </c>
      <c r="Q45" s="39">
        <v>4.141759136296877E-2</v>
      </c>
      <c r="R45" s="30" t="s">
        <v>26</v>
      </c>
      <c r="S45" s="31" t="s">
        <v>26</v>
      </c>
      <c r="T45" s="40" t="s">
        <v>26</v>
      </c>
      <c r="U45" s="41" t="s">
        <v>26</v>
      </c>
      <c r="V45" s="40" t="s">
        <v>26</v>
      </c>
      <c r="W45" s="41" t="s">
        <v>26</v>
      </c>
      <c r="X45" s="40" t="s">
        <v>26</v>
      </c>
      <c r="Y45" s="41" t="s">
        <v>26</v>
      </c>
      <c r="Z45" s="40" t="s">
        <v>26</v>
      </c>
      <c r="AA45" s="41" t="s">
        <v>26</v>
      </c>
      <c r="AB45" s="40" t="s">
        <v>26</v>
      </c>
      <c r="AC45" s="41" t="s">
        <v>26</v>
      </c>
      <c r="AD45" s="31" t="s">
        <v>26</v>
      </c>
      <c r="AE45" s="33" t="s">
        <v>26</v>
      </c>
    </row>
    <row r="48" spans="1:32" ht="15.75" thickBot="1" x14ac:dyDescent="0.3">
      <c r="A48" t="s">
        <v>94</v>
      </c>
      <c r="B48" t="s">
        <v>24</v>
      </c>
      <c r="C48" s="45">
        <f>SUMIF($B$3:$B$41,"="&amp;$B48,C$3:C$41)</f>
        <v>1693.7710450394541</v>
      </c>
      <c r="D48" s="46"/>
      <c r="E48" s="47">
        <f t="shared" ref="E48:AE48" si="1">SUMIF($B$3:$B$41,"="&amp;$B48,E$3:E$41)</f>
        <v>72</v>
      </c>
      <c r="F48" s="61">
        <f t="shared" si="1"/>
        <v>0.38987412885822598</v>
      </c>
      <c r="G48" s="62">
        <f t="shared" si="1"/>
        <v>0.53483365996292576</v>
      </c>
      <c r="H48" s="63" t="e">
        <f t="shared" si="1"/>
        <v>#N/A</v>
      </c>
      <c r="I48" s="64" t="e">
        <f t="shared" si="1"/>
        <v>#N/A</v>
      </c>
      <c r="J48" s="65" t="e">
        <f t="shared" si="1"/>
        <v>#N/A</v>
      </c>
      <c r="K48" s="65" t="e">
        <f t="shared" si="1"/>
        <v>#N/A</v>
      </c>
      <c r="L48" s="47">
        <f t="shared" si="1"/>
        <v>14</v>
      </c>
      <c r="M48" s="61">
        <f t="shared" si="1"/>
        <v>4.7438088753492161E-2</v>
      </c>
      <c r="N48" s="62">
        <f t="shared" si="1"/>
        <v>8.2730093071354711E-3</v>
      </c>
      <c r="O48" s="63" t="e">
        <f t="shared" si="1"/>
        <v>#N/A</v>
      </c>
      <c r="P48" s="64" t="e">
        <f t="shared" si="1"/>
        <v>#N/A</v>
      </c>
      <c r="Q48" s="65" t="e">
        <f t="shared" si="1"/>
        <v>#N/A</v>
      </c>
      <c r="R48" s="66">
        <f t="shared" si="1"/>
        <v>0</v>
      </c>
      <c r="S48" s="63">
        <f t="shared" si="1"/>
        <v>0</v>
      </c>
      <c r="T48" s="61">
        <f t="shared" si="1"/>
        <v>0</v>
      </c>
      <c r="U48" s="62">
        <f t="shared" si="1"/>
        <v>0</v>
      </c>
      <c r="V48" s="61">
        <f t="shared" si="1"/>
        <v>0</v>
      </c>
      <c r="W48" s="62">
        <f t="shared" si="1"/>
        <v>0</v>
      </c>
      <c r="X48" s="61">
        <f t="shared" si="1"/>
        <v>0</v>
      </c>
      <c r="Y48" s="62">
        <f t="shared" si="1"/>
        <v>0</v>
      </c>
      <c r="Z48" s="61">
        <f t="shared" si="1"/>
        <v>0</v>
      </c>
      <c r="AA48" s="62">
        <f t="shared" si="1"/>
        <v>0</v>
      </c>
      <c r="AB48" s="61">
        <f t="shared" si="1"/>
        <v>0</v>
      </c>
      <c r="AC48" s="62">
        <f t="shared" si="1"/>
        <v>0</v>
      </c>
      <c r="AD48" s="63">
        <f t="shared" si="1"/>
        <v>0</v>
      </c>
      <c r="AE48" s="67">
        <f t="shared" si="1"/>
        <v>0</v>
      </c>
      <c r="AF48">
        <f>COUNTIF(B3:B41,"=Existing")</f>
        <v>9</v>
      </c>
    </row>
    <row r="49" spans="1:31" ht="15.75" thickBot="1" x14ac:dyDescent="0.3">
      <c r="A49" t="s">
        <v>142</v>
      </c>
      <c r="C49" s="45">
        <f>C48</f>
        <v>1693.7710450394541</v>
      </c>
      <c r="D49" s="46">
        <f t="shared" ref="D49:AE49" si="2">D48</f>
        <v>0</v>
      </c>
      <c r="E49" s="47">
        <f t="shared" si="2"/>
        <v>72</v>
      </c>
      <c r="F49" s="61">
        <f t="shared" si="2"/>
        <v>0.38987412885822598</v>
      </c>
      <c r="G49" s="62">
        <f t="shared" si="2"/>
        <v>0.53483365996292576</v>
      </c>
      <c r="H49" s="63" t="e">
        <f>H48-(1-Evaluation!$B$69)*Data!H8</f>
        <v>#N/A</v>
      </c>
      <c r="I49" s="64" t="e">
        <f>I48-(1-Evaluation!$B$69)*Data!I8</f>
        <v>#N/A</v>
      </c>
      <c r="J49" s="65" t="e">
        <f>J48-(1-Evaluation!$B$69)*Data!J8</f>
        <v>#N/A</v>
      </c>
      <c r="K49" s="65" t="e">
        <f>K48-(1-Evaluation!$B$69)*Data!K8</f>
        <v>#N/A</v>
      </c>
      <c r="L49" s="47">
        <f t="shared" si="2"/>
        <v>14</v>
      </c>
      <c r="M49" s="61">
        <f t="shared" si="2"/>
        <v>4.7438088753492161E-2</v>
      </c>
      <c r="N49" s="62">
        <f t="shared" si="2"/>
        <v>8.2730093071354711E-3</v>
      </c>
      <c r="O49" s="63" t="e">
        <f>O48-(1-Evaluation!$B$69)*Data!O8</f>
        <v>#N/A</v>
      </c>
      <c r="P49" s="64" t="e">
        <f>P48-(1-Evaluation!$B$69)*Data!P8</f>
        <v>#N/A</v>
      </c>
      <c r="Q49" s="65" t="e">
        <f>Q48-(1-Evaluation!$B$69)*Data!Q8</f>
        <v>#N/A</v>
      </c>
      <c r="R49" s="66">
        <f t="shared" si="2"/>
        <v>0</v>
      </c>
      <c r="S49" s="63">
        <f t="shared" si="2"/>
        <v>0</v>
      </c>
      <c r="T49" s="61">
        <f t="shared" si="2"/>
        <v>0</v>
      </c>
      <c r="U49" s="62">
        <f t="shared" si="2"/>
        <v>0</v>
      </c>
      <c r="V49" s="61">
        <f t="shared" si="2"/>
        <v>0</v>
      </c>
      <c r="W49" s="62">
        <f t="shared" si="2"/>
        <v>0</v>
      </c>
      <c r="X49" s="61">
        <f t="shared" si="2"/>
        <v>0</v>
      </c>
      <c r="Y49" s="62">
        <f t="shared" si="2"/>
        <v>0</v>
      </c>
      <c r="Z49" s="61">
        <f t="shared" si="2"/>
        <v>0</v>
      </c>
      <c r="AA49" s="62">
        <f t="shared" si="2"/>
        <v>0</v>
      </c>
      <c r="AB49" s="61">
        <f t="shared" si="2"/>
        <v>0</v>
      </c>
      <c r="AC49" s="62">
        <f t="shared" si="2"/>
        <v>0</v>
      </c>
      <c r="AD49" s="63">
        <f t="shared" si="2"/>
        <v>0</v>
      </c>
      <c r="AE49" s="67">
        <f t="shared" si="2"/>
        <v>0</v>
      </c>
    </row>
  </sheetData>
  <sortState ref="A4:AF17">
    <sortCondition ref="D4:D17"/>
    <sortCondition ref="A4:A17"/>
  </sortState>
  <mergeCells count="15">
    <mergeCell ref="C1:C2"/>
    <mergeCell ref="E1:K1"/>
    <mergeCell ref="L1:Q1"/>
    <mergeCell ref="R1:AD1"/>
    <mergeCell ref="F2:G2"/>
    <mergeCell ref="H2:K2"/>
    <mergeCell ref="M2:N2"/>
    <mergeCell ref="O2:Q2"/>
    <mergeCell ref="R2:S2"/>
    <mergeCell ref="T2:U2"/>
    <mergeCell ref="V2:W2"/>
    <mergeCell ref="X2:Y2"/>
    <mergeCell ref="Z2:AA2"/>
    <mergeCell ref="AB2:AC2"/>
    <mergeCell ref="AD2:AE2"/>
  </mergeCells>
  <conditionalFormatting sqref="E44">
    <cfRule type="colorScale" priority="121">
      <colorScale>
        <cfvo type="min"/>
        <cfvo type="max"/>
        <color rgb="FFFFEF9C"/>
        <color rgb="FFFF7128"/>
      </colorScale>
    </cfRule>
  </conditionalFormatting>
  <conditionalFormatting sqref="F44">
    <cfRule type="colorScale" priority="120">
      <colorScale>
        <cfvo type="min"/>
        <cfvo type="max"/>
        <color rgb="FFFFEF9C"/>
        <color rgb="FFFF7128"/>
      </colorScale>
    </cfRule>
  </conditionalFormatting>
  <conditionalFormatting sqref="G44">
    <cfRule type="colorScale" priority="119">
      <colorScale>
        <cfvo type="min"/>
        <cfvo type="max"/>
        <color rgb="FFFFEF9C"/>
        <color rgb="FFFF7128"/>
      </colorScale>
    </cfRule>
  </conditionalFormatting>
  <conditionalFormatting sqref="H44">
    <cfRule type="colorScale" priority="118">
      <colorScale>
        <cfvo type="min"/>
        <cfvo type="max"/>
        <color rgb="FFFFEF9C"/>
        <color rgb="FFFF7128"/>
      </colorScale>
    </cfRule>
  </conditionalFormatting>
  <conditionalFormatting sqref="I44">
    <cfRule type="colorScale" priority="117">
      <colorScale>
        <cfvo type="min"/>
        <cfvo type="max"/>
        <color rgb="FFFFEF9C"/>
        <color rgb="FFFF7128"/>
      </colorScale>
    </cfRule>
  </conditionalFormatting>
  <conditionalFormatting sqref="K44">
    <cfRule type="colorScale" priority="115">
      <colorScale>
        <cfvo type="min"/>
        <cfvo type="max"/>
        <color rgb="FFFFEF9C"/>
        <color rgb="FFFF7128"/>
      </colorScale>
    </cfRule>
  </conditionalFormatting>
  <conditionalFormatting sqref="L44">
    <cfRule type="colorScale" priority="114">
      <colorScale>
        <cfvo type="min"/>
        <cfvo type="max"/>
        <color rgb="FFFFEF9C"/>
        <color rgb="FFFF7128"/>
      </colorScale>
    </cfRule>
  </conditionalFormatting>
  <conditionalFormatting sqref="M44">
    <cfRule type="colorScale" priority="113">
      <colorScale>
        <cfvo type="min"/>
        <cfvo type="max"/>
        <color rgb="FFFFEF9C"/>
        <color rgb="FFFF7128"/>
      </colorScale>
    </cfRule>
  </conditionalFormatting>
  <conditionalFormatting sqref="N44">
    <cfRule type="colorScale" priority="112">
      <colorScale>
        <cfvo type="min"/>
        <cfvo type="max"/>
        <color rgb="FFFFEF9C"/>
        <color rgb="FFFF7128"/>
      </colorScale>
    </cfRule>
  </conditionalFormatting>
  <conditionalFormatting sqref="O44">
    <cfRule type="colorScale" priority="111">
      <colorScale>
        <cfvo type="min"/>
        <cfvo type="max"/>
        <color rgb="FFFFEF9C"/>
        <color rgb="FFFF7128"/>
      </colorScale>
    </cfRule>
  </conditionalFormatting>
  <conditionalFormatting sqref="P44">
    <cfRule type="colorScale" priority="110">
      <colorScale>
        <cfvo type="min"/>
        <cfvo type="max"/>
        <color rgb="FFFFEF9C"/>
        <color rgb="FFFF7128"/>
      </colorScale>
    </cfRule>
  </conditionalFormatting>
  <conditionalFormatting sqref="Q44">
    <cfRule type="colorScale" priority="108">
      <colorScale>
        <cfvo type="min"/>
        <cfvo type="max"/>
        <color rgb="FFFFEF9C"/>
        <color rgb="FFFF7128"/>
      </colorScale>
    </cfRule>
  </conditionalFormatting>
  <conditionalFormatting sqref="R44">
    <cfRule type="colorScale" priority="107">
      <colorScale>
        <cfvo type="min"/>
        <cfvo type="max"/>
        <color rgb="FFFFEF9C"/>
        <color rgb="FFFF7128"/>
      </colorScale>
    </cfRule>
  </conditionalFormatting>
  <conditionalFormatting sqref="S44">
    <cfRule type="colorScale" priority="106">
      <colorScale>
        <cfvo type="min"/>
        <cfvo type="max"/>
        <color rgb="FFFFEF9C"/>
        <color rgb="FFFF7128"/>
      </colorScale>
    </cfRule>
  </conditionalFormatting>
  <conditionalFormatting sqref="T44">
    <cfRule type="colorScale" priority="105">
      <colorScale>
        <cfvo type="min"/>
        <cfvo type="max"/>
        <color rgb="FFFFEF9C"/>
        <color rgb="FFFF7128"/>
      </colorScale>
    </cfRule>
  </conditionalFormatting>
  <conditionalFormatting sqref="U44">
    <cfRule type="colorScale" priority="104">
      <colorScale>
        <cfvo type="min"/>
        <cfvo type="max"/>
        <color rgb="FFFFEF9C"/>
        <color rgb="FFFF7128"/>
      </colorScale>
    </cfRule>
  </conditionalFormatting>
  <conditionalFormatting sqref="V44">
    <cfRule type="colorScale" priority="103">
      <colorScale>
        <cfvo type="min"/>
        <cfvo type="max"/>
        <color rgb="FFFFEF9C"/>
        <color rgb="FFFF7128"/>
      </colorScale>
    </cfRule>
  </conditionalFormatting>
  <conditionalFormatting sqref="W44">
    <cfRule type="colorScale" priority="102">
      <colorScale>
        <cfvo type="min"/>
        <cfvo type="max"/>
        <color rgb="FFFFEF9C"/>
        <color rgb="FFFF7128"/>
      </colorScale>
    </cfRule>
  </conditionalFormatting>
  <conditionalFormatting sqref="X44">
    <cfRule type="colorScale" priority="101">
      <colorScale>
        <cfvo type="min"/>
        <cfvo type="max"/>
        <color rgb="FFFFEF9C"/>
        <color rgb="FFFF7128"/>
      </colorScale>
    </cfRule>
  </conditionalFormatting>
  <conditionalFormatting sqref="Y44">
    <cfRule type="colorScale" priority="100">
      <colorScale>
        <cfvo type="min"/>
        <cfvo type="max"/>
        <color rgb="FFFFEF9C"/>
        <color rgb="FFFF7128"/>
      </colorScale>
    </cfRule>
  </conditionalFormatting>
  <conditionalFormatting sqref="Z44">
    <cfRule type="colorScale" priority="99">
      <colorScale>
        <cfvo type="min"/>
        <cfvo type="max"/>
        <color rgb="FFFFEF9C"/>
        <color rgb="FFFF7128"/>
      </colorScale>
    </cfRule>
  </conditionalFormatting>
  <conditionalFormatting sqref="AA44">
    <cfRule type="colorScale" priority="98">
      <colorScale>
        <cfvo type="min"/>
        <cfvo type="max"/>
        <color rgb="FFFFEF9C"/>
        <color rgb="FFFF7128"/>
      </colorScale>
    </cfRule>
  </conditionalFormatting>
  <conditionalFormatting sqref="AB44">
    <cfRule type="colorScale" priority="97">
      <colorScale>
        <cfvo type="min"/>
        <cfvo type="max"/>
        <color rgb="FFFFEF9C"/>
        <color rgb="FFFF7128"/>
      </colorScale>
    </cfRule>
  </conditionalFormatting>
  <conditionalFormatting sqref="AC44">
    <cfRule type="colorScale" priority="96">
      <colorScale>
        <cfvo type="min"/>
        <cfvo type="max"/>
        <color rgb="FFFFEF9C"/>
        <color rgb="FFFF7128"/>
      </colorScale>
    </cfRule>
  </conditionalFormatting>
  <conditionalFormatting sqref="AD44">
    <cfRule type="colorScale" priority="95">
      <colorScale>
        <cfvo type="min"/>
        <cfvo type="max"/>
        <color rgb="FFFFEF9C"/>
        <color rgb="FFFF7128"/>
      </colorScale>
    </cfRule>
  </conditionalFormatting>
  <conditionalFormatting sqref="AE44">
    <cfRule type="colorScale" priority="94">
      <colorScale>
        <cfvo type="min"/>
        <cfvo type="max"/>
        <color rgb="FFFFEF9C"/>
        <color rgb="FFFF7128"/>
      </colorScale>
    </cfRule>
  </conditionalFormatting>
  <conditionalFormatting sqref="C44">
    <cfRule type="colorScale" priority="93">
      <colorScale>
        <cfvo type="min"/>
        <cfvo type="max"/>
        <color rgb="FFFFEF9C"/>
        <color rgb="FFFF7128"/>
      </colorScale>
    </cfRule>
  </conditionalFormatting>
  <conditionalFormatting sqref="E45">
    <cfRule type="colorScale" priority="92">
      <colorScale>
        <cfvo type="min"/>
        <cfvo type="max"/>
        <color rgb="FFFFEF9C"/>
        <color rgb="FFFF7128"/>
      </colorScale>
    </cfRule>
  </conditionalFormatting>
  <conditionalFormatting sqref="F45">
    <cfRule type="colorScale" priority="91">
      <colorScale>
        <cfvo type="min"/>
        <cfvo type="max"/>
        <color rgb="FFFFEF9C"/>
        <color rgb="FFFF7128"/>
      </colorScale>
    </cfRule>
  </conditionalFormatting>
  <conditionalFormatting sqref="G45">
    <cfRule type="colorScale" priority="90">
      <colorScale>
        <cfvo type="min"/>
        <cfvo type="max"/>
        <color rgb="FFFFEF9C"/>
        <color rgb="FFFF7128"/>
      </colorScale>
    </cfRule>
  </conditionalFormatting>
  <conditionalFormatting sqref="H45">
    <cfRule type="colorScale" priority="89">
      <colorScale>
        <cfvo type="min"/>
        <cfvo type="max"/>
        <color rgb="FFFFEF9C"/>
        <color rgb="FFFF7128"/>
      </colorScale>
    </cfRule>
  </conditionalFormatting>
  <conditionalFormatting sqref="I45">
    <cfRule type="colorScale" priority="88">
      <colorScale>
        <cfvo type="min"/>
        <cfvo type="max"/>
        <color rgb="FFFFEF9C"/>
        <color rgb="FFFF7128"/>
      </colorScale>
    </cfRule>
  </conditionalFormatting>
  <conditionalFormatting sqref="K45">
    <cfRule type="colorScale" priority="86">
      <colorScale>
        <cfvo type="min"/>
        <cfvo type="max"/>
        <color rgb="FFFFEF9C"/>
        <color rgb="FFFF7128"/>
      </colorScale>
    </cfRule>
  </conditionalFormatting>
  <conditionalFormatting sqref="L45">
    <cfRule type="colorScale" priority="85">
      <colorScale>
        <cfvo type="min"/>
        <cfvo type="max"/>
        <color rgb="FFFFEF9C"/>
        <color rgb="FFFF7128"/>
      </colorScale>
    </cfRule>
  </conditionalFormatting>
  <conditionalFormatting sqref="M45">
    <cfRule type="colorScale" priority="84">
      <colorScale>
        <cfvo type="min"/>
        <cfvo type="max"/>
        <color rgb="FFFFEF9C"/>
        <color rgb="FFFF7128"/>
      </colorScale>
    </cfRule>
  </conditionalFormatting>
  <conditionalFormatting sqref="N45">
    <cfRule type="colorScale" priority="83">
      <colorScale>
        <cfvo type="min"/>
        <cfvo type="max"/>
        <color rgb="FFFFEF9C"/>
        <color rgb="FFFF7128"/>
      </colorScale>
    </cfRule>
  </conditionalFormatting>
  <conditionalFormatting sqref="O45">
    <cfRule type="colorScale" priority="82">
      <colorScale>
        <cfvo type="min"/>
        <cfvo type="max"/>
        <color rgb="FFFFEF9C"/>
        <color rgb="FFFF7128"/>
      </colorScale>
    </cfRule>
  </conditionalFormatting>
  <conditionalFormatting sqref="P45">
    <cfRule type="colorScale" priority="81">
      <colorScale>
        <cfvo type="min"/>
        <cfvo type="max"/>
        <color rgb="FFFFEF9C"/>
        <color rgb="FFFF7128"/>
      </colorScale>
    </cfRule>
  </conditionalFormatting>
  <conditionalFormatting sqref="Q45">
    <cfRule type="colorScale" priority="79">
      <colorScale>
        <cfvo type="min"/>
        <cfvo type="max"/>
        <color rgb="FFFFEF9C"/>
        <color rgb="FFFF7128"/>
      </colorScale>
    </cfRule>
  </conditionalFormatting>
  <conditionalFormatting sqref="R45">
    <cfRule type="colorScale" priority="78">
      <colorScale>
        <cfvo type="min"/>
        <cfvo type="max"/>
        <color rgb="FFFFEF9C"/>
        <color rgb="FFFF7128"/>
      </colorScale>
    </cfRule>
  </conditionalFormatting>
  <conditionalFormatting sqref="S45">
    <cfRule type="colorScale" priority="77">
      <colorScale>
        <cfvo type="min"/>
        <cfvo type="max"/>
        <color rgb="FFFFEF9C"/>
        <color rgb="FFFF7128"/>
      </colorScale>
    </cfRule>
  </conditionalFormatting>
  <conditionalFormatting sqref="T45">
    <cfRule type="colorScale" priority="76">
      <colorScale>
        <cfvo type="min"/>
        <cfvo type="max"/>
        <color rgb="FFFFEF9C"/>
        <color rgb="FFFF7128"/>
      </colorScale>
    </cfRule>
  </conditionalFormatting>
  <conditionalFormatting sqref="U45">
    <cfRule type="colorScale" priority="75">
      <colorScale>
        <cfvo type="min"/>
        <cfvo type="max"/>
        <color rgb="FFFFEF9C"/>
        <color rgb="FFFF7128"/>
      </colorScale>
    </cfRule>
  </conditionalFormatting>
  <conditionalFormatting sqref="V45">
    <cfRule type="colorScale" priority="74">
      <colorScale>
        <cfvo type="min"/>
        <cfvo type="max"/>
        <color rgb="FFFFEF9C"/>
        <color rgb="FFFF7128"/>
      </colorScale>
    </cfRule>
  </conditionalFormatting>
  <conditionalFormatting sqref="W45">
    <cfRule type="colorScale" priority="73">
      <colorScale>
        <cfvo type="min"/>
        <cfvo type="max"/>
        <color rgb="FFFFEF9C"/>
        <color rgb="FFFF7128"/>
      </colorScale>
    </cfRule>
  </conditionalFormatting>
  <conditionalFormatting sqref="X45">
    <cfRule type="colorScale" priority="72">
      <colorScale>
        <cfvo type="min"/>
        <cfvo type="max"/>
        <color rgb="FFFFEF9C"/>
        <color rgb="FFFF7128"/>
      </colorScale>
    </cfRule>
  </conditionalFormatting>
  <conditionalFormatting sqref="Y45">
    <cfRule type="colorScale" priority="71">
      <colorScale>
        <cfvo type="min"/>
        <cfvo type="max"/>
        <color rgb="FFFFEF9C"/>
        <color rgb="FFFF7128"/>
      </colorScale>
    </cfRule>
  </conditionalFormatting>
  <conditionalFormatting sqref="Z45">
    <cfRule type="colorScale" priority="70">
      <colorScale>
        <cfvo type="min"/>
        <cfvo type="max"/>
        <color rgb="FFFFEF9C"/>
        <color rgb="FFFF7128"/>
      </colorScale>
    </cfRule>
  </conditionalFormatting>
  <conditionalFormatting sqref="AA45">
    <cfRule type="colorScale" priority="69">
      <colorScale>
        <cfvo type="min"/>
        <cfvo type="max"/>
        <color rgb="FFFFEF9C"/>
        <color rgb="FFFF7128"/>
      </colorScale>
    </cfRule>
  </conditionalFormatting>
  <conditionalFormatting sqref="AB45">
    <cfRule type="colorScale" priority="68">
      <colorScale>
        <cfvo type="min"/>
        <cfvo type="max"/>
        <color rgb="FFFFEF9C"/>
        <color rgb="FFFF7128"/>
      </colorScale>
    </cfRule>
  </conditionalFormatting>
  <conditionalFormatting sqref="AC45">
    <cfRule type="colorScale" priority="67">
      <colorScale>
        <cfvo type="min"/>
        <cfvo type="max"/>
        <color rgb="FFFFEF9C"/>
        <color rgb="FFFF7128"/>
      </colorScale>
    </cfRule>
  </conditionalFormatting>
  <conditionalFormatting sqref="AD45">
    <cfRule type="colorScale" priority="66">
      <colorScale>
        <cfvo type="min"/>
        <cfvo type="max"/>
        <color rgb="FFFFEF9C"/>
        <color rgb="FFFF7128"/>
      </colorScale>
    </cfRule>
  </conditionalFormatting>
  <conditionalFormatting sqref="AE45">
    <cfRule type="colorScale" priority="65">
      <colorScale>
        <cfvo type="min"/>
        <cfvo type="max"/>
        <color rgb="FFFFEF9C"/>
        <color rgb="FFFF7128"/>
      </colorScale>
    </cfRule>
  </conditionalFormatting>
  <conditionalFormatting sqref="C45">
    <cfRule type="colorScale" priority="64">
      <colorScale>
        <cfvo type="min"/>
        <cfvo type="max"/>
        <color rgb="FFFFEF9C"/>
        <color rgb="FFFF7128"/>
      </colorScale>
    </cfRule>
  </conditionalFormatting>
  <conditionalFormatting sqref="E48">
    <cfRule type="colorScale" priority="63">
      <colorScale>
        <cfvo type="min"/>
        <cfvo type="max"/>
        <color rgb="FFFFEF9C"/>
        <color rgb="FFFF7128"/>
      </colorScale>
    </cfRule>
  </conditionalFormatting>
  <conditionalFormatting sqref="F48">
    <cfRule type="colorScale" priority="62">
      <colorScale>
        <cfvo type="min"/>
        <cfvo type="max"/>
        <color rgb="FFFFEF9C"/>
        <color rgb="FFFF7128"/>
      </colorScale>
    </cfRule>
  </conditionalFormatting>
  <conditionalFormatting sqref="G48">
    <cfRule type="colorScale" priority="61">
      <colorScale>
        <cfvo type="min"/>
        <cfvo type="max"/>
        <color rgb="FFFFEF9C"/>
        <color rgb="FFFF7128"/>
      </colorScale>
    </cfRule>
  </conditionalFormatting>
  <conditionalFormatting sqref="H48">
    <cfRule type="colorScale" priority="60">
      <colorScale>
        <cfvo type="min"/>
        <cfvo type="max"/>
        <color rgb="FFFFEF9C"/>
        <color rgb="FFFF7128"/>
      </colorScale>
    </cfRule>
  </conditionalFormatting>
  <conditionalFormatting sqref="I48">
    <cfRule type="colorScale" priority="59">
      <colorScale>
        <cfvo type="min"/>
        <cfvo type="max"/>
        <color rgb="FFFFEF9C"/>
        <color rgb="FFFF7128"/>
      </colorScale>
    </cfRule>
  </conditionalFormatting>
  <conditionalFormatting sqref="K48">
    <cfRule type="colorScale" priority="57">
      <colorScale>
        <cfvo type="min"/>
        <cfvo type="max"/>
        <color rgb="FFFFEF9C"/>
        <color rgb="FFFF7128"/>
      </colorScale>
    </cfRule>
  </conditionalFormatting>
  <conditionalFormatting sqref="L48">
    <cfRule type="colorScale" priority="56">
      <colorScale>
        <cfvo type="min"/>
        <cfvo type="max"/>
        <color rgb="FFFFEF9C"/>
        <color rgb="FFFF7128"/>
      </colorScale>
    </cfRule>
  </conditionalFormatting>
  <conditionalFormatting sqref="M48">
    <cfRule type="colorScale" priority="55">
      <colorScale>
        <cfvo type="min"/>
        <cfvo type="max"/>
        <color rgb="FFFFEF9C"/>
        <color rgb="FFFF7128"/>
      </colorScale>
    </cfRule>
  </conditionalFormatting>
  <conditionalFormatting sqref="N48">
    <cfRule type="colorScale" priority="54">
      <colorScale>
        <cfvo type="min"/>
        <cfvo type="max"/>
        <color rgb="FFFFEF9C"/>
        <color rgb="FFFF7128"/>
      </colorScale>
    </cfRule>
  </conditionalFormatting>
  <conditionalFormatting sqref="O48">
    <cfRule type="colorScale" priority="53">
      <colorScale>
        <cfvo type="min"/>
        <cfvo type="max"/>
        <color rgb="FFFFEF9C"/>
        <color rgb="FFFF7128"/>
      </colorScale>
    </cfRule>
  </conditionalFormatting>
  <conditionalFormatting sqref="P48">
    <cfRule type="colorScale" priority="52">
      <colorScale>
        <cfvo type="min"/>
        <cfvo type="max"/>
        <color rgb="FFFFEF9C"/>
        <color rgb="FFFF7128"/>
      </colorScale>
    </cfRule>
  </conditionalFormatting>
  <conditionalFormatting sqref="Q48">
    <cfRule type="colorScale" priority="50">
      <colorScale>
        <cfvo type="min"/>
        <cfvo type="max"/>
        <color rgb="FFFFEF9C"/>
        <color rgb="FFFF7128"/>
      </colorScale>
    </cfRule>
  </conditionalFormatting>
  <conditionalFormatting sqref="R48">
    <cfRule type="colorScale" priority="49">
      <colorScale>
        <cfvo type="min"/>
        <cfvo type="max"/>
        <color rgb="FFFFEF9C"/>
        <color rgb="FFFF7128"/>
      </colorScale>
    </cfRule>
  </conditionalFormatting>
  <conditionalFormatting sqref="S48">
    <cfRule type="colorScale" priority="48">
      <colorScale>
        <cfvo type="min"/>
        <cfvo type="max"/>
        <color rgb="FFFFEF9C"/>
        <color rgb="FFFF7128"/>
      </colorScale>
    </cfRule>
  </conditionalFormatting>
  <conditionalFormatting sqref="T48">
    <cfRule type="colorScale" priority="47">
      <colorScale>
        <cfvo type="min"/>
        <cfvo type="max"/>
        <color rgb="FFFFEF9C"/>
        <color rgb="FFFF7128"/>
      </colorScale>
    </cfRule>
  </conditionalFormatting>
  <conditionalFormatting sqref="U48">
    <cfRule type="colorScale" priority="46">
      <colorScale>
        <cfvo type="min"/>
        <cfvo type="max"/>
        <color rgb="FFFFEF9C"/>
        <color rgb="FFFF7128"/>
      </colorScale>
    </cfRule>
  </conditionalFormatting>
  <conditionalFormatting sqref="V48">
    <cfRule type="colorScale" priority="45">
      <colorScale>
        <cfvo type="min"/>
        <cfvo type="max"/>
        <color rgb="FFFFEF9C"/>
        <color rgb="FFFF7128"/>
      </colorScale>
    </cfRule>
  </conditionalFormatting>
  <conditionalFormatting sqref="W48">
    <cfRule type="colorScale" priority="44">
      <colorScale>
        <cfvo type="min"/>
        <cfvo type="max"/>
        <color rgb="FFFFEF9C"/>
        <color rgb="FFFF7128"/>
      </colorScale>
    </cfRule>
  </conditionalFormatting>
  <conditionalFormatting sqref="X48">
    <cfRule type="colorScale" priority="43">
      <colorScale>
        <cfvo type="min"/>
        <cfvo type="max"/>
        <color rgb="FFFFEF9C"/>
        <color rgb="FFFF7128"/>
      </colorScale>
    </cfRule>
  </conditionalFormatting>
  <conditionalFormatting sqref="Y48">
    <cfRule type="colorScale" priority="42">
      <colorScale>
        <cfvo type="min"/>
        <cfvo type="max"/>
        <color rgb="FFFFEF9C"/>
        <color rgb="FFFF7128"/>
      </colorScale>
    </cfRule>
  </conditionalFormatting>
  <conditionalFormatting sqref="Z48">
    <cfRule type="colorScale" priority="41">
      <colorScale>
        <cfvo type="min"/>
        <cfvo type="max"/>
        <color rgb="FFFFEF9C"/>
        <color rgb="FFFF7128"/>
      </colorScale>
    </cfRule>
  </conditionalFormatting>
  <conditionalFormatting sqref="AA48">
    <cfRule type="colorScale" priority="40">
      <colorScale>
        <cfvo type="min"/>
        <cfvo type="max"/>
        <color rgb="FFFFEF9C"/>
        <color rgb="FFFF7128"/>
      </colorScale>
    </cfRule>
  </conditionalFormatting>
  <conditionalFormatting sqref="AB48">
    <cfRule type="colorScale" priority="39">
      <colorScale>
        <cfvo type="min"/>
        <cfvo type="max"/>
        <color rgb="FFFFEF9C"/>
        <color rgb="FFFF7128"/>
      </colorScale>
    </cfRule>
  </conditionalFormatting>
  <conditionalFormatting sqref="AC48">
    <cfRule type="colorScale" priority="38">
      <colorScale>
        <cfvo type="min"/>
        <cfvo type="max"/>
        <color rgb="FFFFEF9C"/>
        <color rgb="FFFF7128"/>
      </colorScale>
    </cfRule>
  </conditionalFormatting>
  <conditionalFormatting sqref="AD48">
    <cfRule type="colorScale" priority="37">
      <colorScale>
        <cfvo type="min"/>
        <cfvo type="max"/>
        <color rgb="FFFFEF9C"/>
        <color rgb="FFFF7128"/>
      </colorScale>
    </cfRule>
  </conditionalFormatting>
  <conditionalFormatting sqref="AE48">
    <cfRule type="colorScale" priority="36">
      <colorScale>
        <cfvo type="min"/>
        <cfvo type="max"/>
        <color rgb="FFFFEF9C"/>
        <color rgb="FFFF7128"/>
      </colorScale>
    </cfRule>
  </conditionalFormatting>
  <conditionalFormatting sqref="C48">
    <cfRule type="colorScale" priority="35">
      <colorScale>
        <cfvo type="min"/>
        <cfvo type="max"/>
        <color rgb="FFFFEF9C"/>
        <color rgb="FFFF7128"/>
      </colorScale>
    </cfRule>
  </conditionalFormatting>
  <conditionalFormatting sqref="J44">
    <cfRule type="colorScale" priority="33">
      <colorScale>
        <cfvo type="min"/>
        <cfvo type="max"/>
        <color rgb="FFFFEF9C"/>
        <color rgb="FFFF7128"/>
      </colorScale>
    </cfRule>
  </conditionalFormatting>
  <conditionalFormatting sqref="J45">
    <cfRule type="colorScale" priority="32">
      <colorScale>
        <cfvo type="min"/>
        <cfvo type="max"/>
        <color rgb="FFFFEF9C"/>
        <color rgb="FFFF7128"/>
      </colorScale>
    </cfRule>
  </conditionalFormatting>
  <conditionalFormatting sqref="J48">
    <cfRule type="colorScale" priority="31">
      <colorScale>
        <cfvo type="min"/>
        <cfvo type="max"/>
        <color rgb="FFFFEF9C"/>
        <color rgb="FFFF7128"/>
      </colorScale>
    </cfRule>
  </conditionalFormatting>
  <conditionalFormatting sqref="J49">
    <cfRule type="colorScale" priority="1">
      <colorScale>
        <cfvo type="min"/>
        <cfvo type="max"/>
        <color rgb="FFFFEF9C"/>
        <color rgb="FFFF7128"/>
      </colorScale>
    </cfRule>
  </conditionalFormatting>
  <conditionalFormatting sqref="E49">
    <cfRule type="colorScale" priority="30">
      <colorScale>
        <cfvo type="min"/>
        <cfvo type="max"/>
        <color rgb="FFFFEF9C"/>
        <color rgb="FFFF7128"/>
      </colorScale>
    </cfRule>
  </conditionalFormatting>
  <conditionalFormatting sqref="F49">
    <cfRule type="colorScale" priority="29">
      <colorScale>
        <cfvo type="min"/>
        <cfvo type="max"/>
        <color rgb="FFFFEF9C"/>
        <color rgb="FFFF7128"/>
      </colorScale>
    </cfRule>
  </conditionalFormatting>
  <conditionalFormatting sqref="G49">
    <cfRule type="colorScale" priority="28">
      <colorScale>
        <cfvo type="min"/>
        <cfvo type="max"/>
        <color rgb="FFFFEF9C"/>
        <color rgb="FFFF7128"/>
      </colorScale>
    </cfRule>
  </conditionalFormatting>
  <conditionalFormatting sqref="H49">
    <cfRule type="colorScale" priority="27">
      <colorScale>
        <cfvo type="min"/>
        <cfvo type="max"/>
        <color rgb="FFFFEF9C"/>
        <color rgb="FFFF7128"/>
      </colorScale>
    </cfRule>
  </conditionalFormatting>
  <conditionalFormatting sqref="I49">
    <cfRule type="colorScale" priority="26">
      <colorScale>
        <cfvo type="min"/>
        <cfvo type="max"/>
        <color rgb="FFFFEF9C"/>
        <color rgb="FFFF7128"/>
      </colorScale>
    </cfRule>
  </conditionalFormatting>
  <conditionalFormatting sqref="K49">
    <cfRule type="colorScale" priority="24">
      <colorScale>
        <cfvo type="min"/>
        <cfvo type="max"/>
        <color rgb="FFFFEF9C"/>
        <color rgb="FFFF7128"/>
      </colorScale>
    </cfRule>
  </conditionalFormatting>
  <conditionalFormatting sqref="L49">
    <cfRule type="colorScale" priority="23">
      <colorScale>
        <cfvo type="min"/>
        <cfvo type="max"/>
        <color rgb="FFFFEF9C"/>
        <color rgb="FFFF7128"/>
      </colorScale>
    </cfRule>
  </conditionalFormatting>
  <conditionalFormatting sqref="M49">
    <cfRule type="colorScale" priority="22">
      <colorScale>
        <cfvo type="min"/>
        <cfvo type="max"/>
        <color rgb="FFFFEF9C"/>
        <color rgb="FFFF7128"/>
      </colorScale>
    </cfRule>
  </conditionalFormatting>
  <conditionalFormatting sqref="N49">
    <cfRule type="colorScale" priority="21">
      <colorScale>
        <cfvo type="min"/>
        <cfvo type="max"/>
        <color rgb="FFFFEF9C"/>
        <color rgb="FFFF7128"/>
      </colorScale>
    </cfRule>
  </conditionalFormatting>
  <conditionalFormatting sqref="O49">
    <cfRule type="colorScale" priority="20">
      <colorScale>
        <cfvo type="min"/>
        <cfvo type="max"/>
        <color rgb="FFFFEF9C"/>
        <color rgb="FFFF7128"/>
      </colorScale>
    </cfRule>
  </conditionalFormatting>
  <conditionalFormatting sqref="P49">
    <cfRule type="colorScale" priority="19">
      <colorScale>
        <cfvo type="min"/>
        <cfvo type="max"/>
        <color rgb="FFFFEF9C"/>
        <color rgb="FFFF7128"/>
      </colorScale>
    </cfRule>
  </conditionalFormatting>
  <conditionalFormatting sqref="Q49">
    <cfRule type="colorScale" priority="17">
      <colorScale>
        <cfvo type="min"/>
        <cfvo type="max"/>
        <color rgb="FFFFEF9C"/>
        <color rgb="FFFF7128"/>
      </colorScale>
    </cfRule>
  </conditionalFormatting>
  <conditionalFormatting sqref="R49">
    <cfRule type="colorScale" priority="16">
      <colorScale>
        <cfvo type="min"/>
        <cfvo type="max"/>
        <color rgb="FFFFEF9C"/>
        <color rgb="FFFF7128"/>
      </colorScale>
    </cfRule>
  </conditionalFormatting>
  <conditionalFormatting sqref="S49">
    <cfRule type="colorScale" priority="15">
      <colorScale>
        <cfvo type="min"/>
        <cfvo type="max"/>
        <color rgb="FFFFEF9C"/>
        <color rgb="FFFF7128"/>
      </colorScale>
    </cfRule>
  </conditionalFormatting>
  <conditionalFormatting sqref="T49">
    <cfRule type="colorScale" priority="14">
      <colorScale>
        <cfvo type="min"/>
        <cfvo type="max"/>
        <color rgb="FFFFEF9C"/>
        <color rgb="FFFF7128"/>
      </colorScale>
    </cfRule>
  </conditionalFormatting>
  <conditionalFormatting sqref="U49">
    <cfRule type="colorScale" priority="13">
      <colorScale>
        <cfvo type="min"/>
        <cfvo type="max"/>
        <color rgb="FFFFEF9C"/>
        <color rgb="FFFF7128"/>
      </colorScale>
    </cfRule>
  </conditionalFormatting>
  <conditionalFormatting sqref="V49">
    <cfRule type="colorScale" priority="12">
      <colorScale>
        <cfvo type="min"/>
        <cfvo type="max"/>
        <color rgb="FFFFEF9C"/>
        <color rgb="FFFF7128"/>
      </colorScale>
    </cfRule>
  </conditionalFormatting>
  <conditionalFormatting sqref="W49">
    <cfRule type="colorScale" priority="11">
      <colorScale>
        <cfvo type="min"/>
        <cfvo type="max"/>
        <color rgb="FFFFEF9C"/>
        <color rgb="FFFF7128"/>
      </colorScale>
    </cfRule>
  </conditionalFormatting>
  <conditionalFormatting sqref="X49">
    <cfRule type="colorScale" priority="10">
      <colorScale>
        <cfvo type="min"/>
        <cfvo type="max"/>
        <color rgb="FFFFEF9C"/>
        <color rgb="FFFF7128"/>
      </colorScale>
    </cfRule>
  </conditionalFormatting>
  <conditionalFormatting sqref="Y49">
    <cfRule type="colorScale" priority="9">
      <colorScale>
        <cfvo type="min"/>
        <cfvo type="max"/>
        <color rgb="FFFFEF9C"/>
        <color rgb="FFFF7128"/>
      </colorScale>
    </cfRule>
  </conditionalFormatting>
  <conditionalFormatting sqref="Z49">
    <cfRule type="colorScale" priority="8">
      <colorScale>
        <cfvo type="min"/>
        <cfvo type="max"/>
        <color rgb="FFFFEF9C"/>
        <color rgb="FFFF7128"/>
      </colorScale>
    </cfRule>
  </conditionalFormatting>
  <conditionalFormatting sqref="AA49">
    <cfRule type="colorScale" priority="7">
      <colorScale>
        <cfvo type="min"/>
        <cfvo type="max"/>
        <color rgb="FFFFEF9C"/>
        <color rgb="FFFF7128"/>
      </colorScale>
    </cfRule>
  </conditionalFormatting>
  <conditionalFormatting sqref="AB49">
    <cfRule type="colorScale" priority="6">
      <colorScale>
        <cfvo type="min"/>
        <cfvo type="max"/>
        <color rgb="FFFFEF9C"/>
        <color rgb="FFFF7128"/>
      </colorScale>
    </cfRule>
  </conditionalFormatting>
  <conditionalFormatting sqref="AC49">
    <cfRule type="colorScale" priority="5">
      <colorScale>
        <cfvo type="min"/>
        <cfvo type="max"/>
        <color rgb="FFFFEF9C"/>
        <color rgb="FFFF7128"/>
      </colorScale>
    </cfRule>
  </conditionalFormatting>
  <conditionalFormatting sqref="AD49">
    <cfRule type="colorScale" priority="4">
      <colorScale>
        <cfvo type="min"/>
        <cfvo type="max"/>
        <color rgb="FFFFEF9C"/>
        <color rgb="FFFF7128"/>
      </colorScale>
    </cfRule>
  </conditionalFormatting>
  <conditionalFormatting sqref="AE49">
    <cfRule type="colorScale" priority="3">
      <colorScale>
        <cfvo type="min"/>
        <cfvo type="max"/>
        <color rgb="FFFFEF9C"/>
        <color rgb="FFFF7128"/>
      </colorScale>
    </cfRule>
  </conditionalFormatting>
  <conditionalFormatting sqref="C49">
    <cfRule type="colorScale" priority="2">
      <colorScale>
        <cfvo type="min"/>
        <cfvo type="max"/>
        <color rgb="FFFFEF9C"/>
        <color rgb="FFFF7128"/>
      </colorScale>
    </cfRule>
  </conditionalFormatting>
  <conditionalFormatting sqref="E4:E41">
    <cfRule type="colorScale" priority="210">
      <colorScale>
        <cfvo type="min"/>
        <cfvo type="max"/>
        <color rgb="FFFFEF9C"/>
        <color rgb="FFFF7128"/>
      </colorScale>
    </cfRule>
  </conditionalFormatting>
  <conditionalFormatting sqref="F4:F41">
    <cfRule type="colorScale" priority="212">
      <colorScale>
        <cfvo type="min"/>
        <cfvo type="max"/>
        <color rgb="FFFFEF9C"/>
        <color rgb="FFFF7128"/>
      </colorScale>
    </cfRule>
  </conditionalFormatting>
  <conditionalFormatting sqref="G4:G41">
    <cfRule type="colorScale" priority="214">
      <colorScale>
        <cfvo type="min"/>
        <cfvo type="max"/>
        <color rgb="FFFFEF9C"/>
        <color rgb="FFFF7128"/>
      </colorScale>
    </cfRule>
  </conditionalFormatting>
  <conditionalFormatting sqref="H4:H41">
    <cfRule type="colorScale" priority="216">
      <colorScale>
        <cfvo type="min"/>
        <cfvo type="max"/>
        <color rgb="FFFFEF9C"/>
        <color rgb="FFFF7128"/>
      </colorScale>
    </cfRule>
  </conditionalFormatting>
  <conditionalFormatting sqref="I4:I41">
    <cfRule type="colorScale" priority="218">
      <colorScale>
        <cfvo type="min"/>
        <cfvo type="max"/>
        <color rgb="FFFFEF9C"/>
        <color rgb="FFFF7128"/>
      </colorScale>
    </cfRule>
  </conditionalFormatting>
  <conditionalFormatting sqref="K4:K41">
    <cfRule type="colorScale" priority="220">
      <colorScale>
        <cfvo type="min"/>
        <cfvo type="max"/>
        <color rgb="FFFFEF9C"/>
        <color rgb="FFFF7128"/>
      </colorScale>
    </cfRule>
  </conditionalFormatting>
  <conditionalFormatting sqref="L4:L41">
    <cfRule type="colorScale" priority="222">
      <colorScale>
        <cfvo type="min"/>
        <cfvo type="max"/>
        <color rgb="FFFFEF9C"/>
        <color rgb="FFFF7128"/>
      </colorScale>
    </cfRule>
  </conditionalFormatting>
  <conditionalFormatting sqref="M4:M41">
    <cfRule type="colorScale" priority="224">
      <colorScale>
        <cfvo type="min"/>
        <cfvo type="max"/>
        <color rgb="FFFFEF9C"/>
        <color rgb="FFFF7128"/>
      </colorScale>
    </cfRule>
  </conditionalFormatting>
  <conditionalFormatting sqref="N4:N41">
    <cfRule type="colorScale" priority="226">
      <colorScale>
        <cfvo type="min"/>
        <cfvo type="max"/>
        <color rgb="FFFFEF9C"/>
        <color rgb="FFFF7128"/>
      </colorScale>
    </cfRule>
  </conditionalFormatting>
  <conditionalFormatting sqref="O4:O41">
    <cfRule type="colorScale" priority="228">
      <colorScale>
        <cfvo type="min"/>
        <cfvo type="max"/>
        <color rgb="FFFFEF9C"/>
        <color rgb="FFFF7128"/>
      </colorScale>
    </cfRule>
  </conditionalFormatting>
  <conditionalFormatting sqref="P4:P41">
    <cfRule type="colorScale" priority="230">
      <colorScale>
        <cfvo type="min"/>
        <cfvo type="max"/>
        <color rgb="FFFFEF9C"/>
        <color rgb="FFFF7128"/>
      </colorScale>
    </cfRule>
  </conditionalFormatting>
  <conditionalFormatting sqref="Q4:Q41">
    <cfRule type="colorScale" priority="232">
      <colorScale>
        <cfvo type="min"/>
        <cfvo type="max"/>
        <color rgb="FFFFEF9C"/>
        <color rgb="FFFF7128"/>
      </colorScale>
    </cfRule>
  </conditionalFormatting>
  <conditionalFormatting sqref="R4:R41">
    <cfRule type="colorScale" priority="234">
      <colorScale>
        <cfvo type="min"/>
        <cfvo type="max"/>
        <color rgb="FFFFEF9C"/>
        <color rgb="FFFF7128"/>
      </colorScale>
    </cfRule>
  </conditionalFormatting>
  <conditionalFormatting sqref="S4:S41">
    <cfRule type="colorScale" priority="236">
      <colorScale>
        <cfvo type="min"/>
        <cfvo type="max"/>
        <color rgb="FFFFEF9C"/>
        <color rgb="FFFF7128"/>
      </colorScale>
    </cfRule>
  </conditionalFormatting>
  <conditionalFormatting sqref="T4:T41">
    <cfRule type="colorScale" priority="238">
      <colorScale>
        <cfvo type="min"/>
        <cfvo type="max"/>
        <color rgb="FFFFEF9C"/>
        <color rgb="FFFF7128"/>
      </colorScale>
    </cfRule>
  </conditionalFormatting>
  <conditionalFormatting sqref="U4:U41">
    <cfRule type="colorScale" priority="240">
      <colorScale>
        <cfvo type="min"/>
        <cfvo type="max"/>
        <color rgb="FFFFEF9C"/>
        <color rgb="FFFF7128"/>
      </colorScale>
    </cfRule>
  </conditionalFormatting>
  <conditionalFormatting sqref="V4:V41">
    <cfRule type="colorScale" priority="242">
      <colorScale>
        <cfvo type="min"/>
        <cfvo type="max"/>
        <color rgb="FFFFEF9C"/>
        <color rgb="FFFF7128"/>
      </colorScale>
    </cfRule>
  </conditionalFormatting>
  <conditionalFormatting sqref="W4:W41">
    <cfRule type="colorScale" priority="244">
      <colorScale>
        <cfvo type="min"/>
        <cfvo type="max"/>
        <color rgb="FFFFEF9C"/>
        <color rgb="FFFF7128"/>
      </colorScale>
    </cfRule>
  </conditionalFormatting>
  <conditionalFormatting sqref="X4:X41">
    <cfRule type="colorScale" priority="246">
      <colorScale>
        <cfvo type="min"/>
        <cfvo type="max"/>
        <color rgb="FFFFEF9C"/>
        <color rgb="FFFF7128"/>
      </colorScale>
    </cfRule>
  </conditionalFormatting>
  <conditionalFormatting sqref="Y4:Y41">
    <cfRule type="colorScale" priority="248">
      <colorScale>
        <cfvo type="min"/>
        <cfvo type="max"/>
        <color rgb="FFFFEF9C"/>
        <color rgb="FFFF7128"/>
      </colorScale>
    </cfRule>
  </conditionalFormatting>
  <conditionalFormatting sqref="Z4:Z41">
    <cfRule type="colorScale" priority="250">
      <colorScale>
        <cfvo type="min"/>
        <cfvo type="max"/>
        <color rgb="FFFFEF9C"/>
        <color rgb="FFFF7128"/>
      </colorScale>
    </cfRule>
  </conditionalFormatting>
  <conditionalFormatting sqref="AA4:AA41">
    <cfRule type="colorScale" priority="252">
      <colorScale>
        <cfvo type="min"/>
        <cfvo type="max"/>
        <color rgb="FFFFEF9C"/>
        <color rgb="FFFF7128"/>
      </colorScale>
    </cfRule>
  </conditionalFormatting>
  <conditionalFormatting sqref="AB4:AB41">
    <cfRule type="colorScale" priority="254">
      <colorScale>
        <cfvo type="min"/>
        <cfvo type="max"/>
        <color rgb="FFFFEF9C"/>
        <color rgb="FFFF7128"/>
      </colorScale>
    </cfRule>
  </conditionalFormatting>
  <conditionalFormatting sqref="AC4:AC41">
    <cfRule type="colorScale" priority="256">
      <colorScale>
        <cfvo type="min"/>
        <cfvo type="max"/>
        <color rgb="FFFFEF9C"/>
        <color rgb="FFFF7128"/>
      </colorScale>
    </cfRule>
  </conditionalFormatting>
  <conditionalFormatting sqref="AD4:AD41">
    <cfRule type="colorScale" priority="258">
      <colorScale>
        <cfvo type="min"/>
        <cfvo type="max"/>
        <color rgb="FFFFEF9C"/>
        <color rgb="FFFF7128"/>
      </colorScale>
    </cfRule>
  </conditionalFormatting>
  <conditionalFormatting sqref="AE4:AE41">
    <cfRule type="colorScale" priority="260">
      <colorScale>
        <cfvo type="min"/>
        <cfvo type="max"/>
        <color rgb="FFFFEF9C"/>
        <color rgb="FFFF7128"/>
      </colorScale>
    </cfRule>
  </conditionalFormatting>
  <conditionalFormatting sqref="C4:C41">
    <cfRule type="colorScale" priority="262">
      <colorScale>
        <cfvo type="min"/>
        <cfvo type="max"/>
        <color rgb="FFFFEF9C"/>
        <color rgb="FFFF7128"/>
      </colorScale>
    </cfRule>
  </conditionalFormatting>
  <conditionalFormatting sqref="J4:J41">
    <cfRule type="colorScale" priority="264">
      <colorScale>
        <cfvo type="min"/>
        <cfvo type="max"/>
        <color rgb="FFFFEF9C"/>
        <color rgb="FFFF7128"/>
      </colorScale>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6"/>
  <sheetViews>
    <sheetView zoomScale="115" zoomScaleNormal="115" workbookViewId="0">
      <pane ySplit="3" topLeftCell="A4" activePane="bottomLeft" state="frozen"/>
      <selection pane="bottomLeft" activeCell="AB18" sqref="AB18"/>
    </sheetView>
  </sheetViews>
  <sheetFormatPr defaultRowHeight="15" x14ac:dyDescent="0.25"/>
  <cols>
    <col min="1" max="1" width="24.28515625" hidden="1" customWidth="1"/>
    <col min="2" max="2" width="10.140625" hidden="1" customWidth="1"/>
    <col min="3" max="3" width="6.140625" hidden="1" customWidth="1"/>
    <col min="4" max="4" width="6.28515625" hidden="1" customWidth="1"/>
    <col min="5" max="5" width="5.42578125" hidden="1" customWidth="1"/>
    <col min="6" max="7" width="7.5703125" hidden="1" customWidth="1"/>
    <col min="8" max="9" width="5.42578125" hidden="1" customWidth="1"/>
    <col min="10" max="10" width="7.5703125" hidden="1" customWidth="1"/>
    <col min="11" max="11" width="5.42578125" hidden="1" customWidth="1"/>
    <col min="12" max="25" width="8.5703125" hidden="1" customWidth="1"/>
    <col min="26" max="26" width="9.42578125" style="121" hidden="1" customWidth="1"/>
    <col min="27" max="27" width="9.140625" hidden="1" customWidth="1"/>
    <col min="28" max="28" width="22" customWidth="1"/>
    <col min="29" max="29" width="10.140625" bestFit="1" customWidth="1"/>
    <col min="30" max="30" width="6.28515625" bestFit="1" customWidth="1"/>
    <col min="31" max="31" width="8.42578125" bestFit="1" customWidth="1"/>
    <col min="32" max="32" width="10.5703125" bestFit="1" customWidth="1"/>
    <col min="33" max="33" width="8.85546875" bestFit="1" customWidth="1"/>
    <col min="34" max="34" width="8.85546875" style="433" bestFit="1" customWidth="1"/>
    <col min="35" max="35" width="4.28515625" bestFit="1" customWidth="1"/>
    <col min="36" max="36" width="13.140625" bestFit="1" customWidth="1"/>
    <col min="37" max="37" width="8.5703125" bestFit="1" customWidth="1"/>
    <col min="38" max="38" width="20.7109375" bestFit="1" customWidth="1"/>
  </cols>
  <sheetData>
    <row r="1" spans="1:38" x14ac:dyDescent="0.25">
      <c r="A1" s="4" t="s">
        <v>76</v>
      </c>
      <c r="B1" s="5"/>
      <c r="C1" s="717"/>
      <c r="D1" s="6"/>
      <c r="E1" s="832" t="s">
        <v>4</v>
      </c>
      <c r="F1" s="754"/>
      <c r="G1" s="754"/>
      <c r="H1" s="751"/>
      <c r="I1" s="832" t="s">
        <v>4</v>
      </c>
      <c r="J1" s="754"/>
      <c r="K1" s="751"/>
      <c r="L1" s="719" t="s">
        <v>2</v>
      </c>
      <c r="M1" s="720"/>
      <c r="N1" s="720"/>
      <c r="O1" s="720"/>
      <c r="P1" s="720"/>
      <c r="Q1" s="720"/>
      <c r="R1" s="720"/>
      <c r="S1" s="720"/>
      <c r="T1" s="720"/>
      <c r="U1" s="720"/>
      <c r="V1" s="720"/>
      <c r="W1" s="720"/>
      <c r="X1" s="720"/>
      <c r="Y1" s="6"/>
      <c r="AB1" s="4" t="s">
        <v>75</v>
      </c>
      <c r="AC1" s="5"/>
      <c r="AD1" s="6"/>
      <c r="AE1" s="832" t="s">
        <v>4</v>
      </c>
      <c r="AF1" s="754"/>
      <c r="AG1" s="754"/>
      <c r="AH1" s="751"/>
      <c r="AI1" s="832" t="s">
        <v>4</v>
      </c>
      <c r="AJ1" s="754"/>
      <c r="AK1" s="751"/>
      <c r="AL1" s="829" t="s">
        <v>90</v>
      </c>
    </row>
    <row r="2" spans="1:38" ht="15" customHeight="1" x14ac:dyDescent="0.25">
      <c r="A2" s="10"/>
      <c r="B2" s="8"/>
      <c r="C2" s="718"/>
      <c r="D2" s="11"/>
      <c r="E2" s="833"/>
      <c r="F2" s="834"/>
      <c r="G2" s="834"/>
      <c r="H2" s="835"/>
      <c r="I2" s="833"/>
      <c r="J2" s="834"/>
      <c r="K2" s="835"/>
      <c r="L2" s="726" t="s">
        <v>5</v>
      </c>
      <c r="M2" s="723"/>
      <c r="N2" s="722" t="s">
        <v>6</v>
      </c>
      <c r="O2" s="723"/>
      <c r="P2" s="722" t="s">
        <v>7</v>
      </c>
      <c r="Q2" s="723"/>
      <c r="R2" s="722" t="s">
        <v>8</v>
      </c>
      <c r="S2" s="723"/>
      <c r="T2" s="722" t="s">
        <v>9</v>
      </c>
      <c r="U2" s="723"/>
      <c r="V2" s="722" t="s">
        <v>10</v>
      </c>
      <c r="W2" s="723"/>
      <c r="X2" s="722" t="s">
        <v>11</v>
      </c>
      <c r="Y2" s="727"/>
      <c r="AB2" s="10"/>
      <c r="AC2" s="8"/>
      <c r="AD2" s="11"/>
      <c r="AE2" s="833"/>
      <c r="AF2" s="834"/>
      <c r="AG2" s="834"/>
      <c r="AH2" s="835"/>
      <c r="AI2" s="833"/>
      <c r="AJ2" s="834"/>
      <c r="AK2" s="835"/>
      <c r="AL2" s="830"/>
    </row>
    <row r="3" spans="1:38" ht="30.75" thickBot="1" x14ac:dyDescent="0.3">
      <c r="A3" s="12" t="s">
        <v>12</v>
      </c>
      <c r="B3" s="13" t="s">
        <v>13</v>
      </c>
      <c r="C3" s="14" t="s">
        <v>63</v>
      </c>
      <c r="D3" s="15" t="s">
        <v>14</v>
      </c>
      <c r="E3" s="13" t="s">
        <v>18</v>
      </c>
      <c r="F3" s="14" t="s">
        <v>19</v>
      </c>
      <c r="G3" s="14" t="s">
        <v>198</v>
      </c>
      <c r="H3" s="19" t="s">
        <v>199</v>
      </c>
      <c r="I3" s="13" t="s">
        <v>18</v>
      </c>
      <c r="J3" s="14" t="s">
        <v>19</v>
      </c>
      <c r="K3" s="19" t="s">
        <v>20</v>
      </c>
      <c r="L3" s="12" t="s">
        <v>21</v>
      </c>
      <c r="M3" s="13" t="s">
        <v>22</v>
      </c>
      <c r="N3" s="17" t="s">
        <v>21</v>
      </c>
      <c r="O3" s="18" t="s">
        <v>22</v>
      </c>
      <c r="P3" s="17" t="s">
        <v>21</v>
      </c>
      <c r="Q3" s="18" t="s">
        <v>22</v>
      </c>
      <c r="R3" s="17" t="s">
        <v>21</v>
      </c>
      <c r="S3" s="18" t="s">
        <v>22</v>
      </c>
      <c r="T3" s="17" t="s">
        <v>21</v>
      </c>
      <c r="U3" s="18" t="s">
        <v>22</v>
      </c>
      <c r="V3" s="17" t="s">
        <v>21</v>
      </c>
      <c r="W3" s="18" t="s">
        <v>22</v>
      </c>
      <c r="X3" s="13" t="s">
        <v>21</v>
      </c>
      <c r="Y3" s="15" t="s">
        <v>22</v>
      </c>
      <c r="AB3" s="12" t="s">
        <v>12</v>
      </c>
      <c r="AC3" s="13" t="s">
        <v>13</v>
      </c>
      <c r="AD3" s="15" t="s">
        <v>14</v>
      </c>
      <c r="AE3" s="13" t="s">
        <v>194</v>
      </c>
      <c r="AF3" s="14" t="s">
        <v>195</v>
      </c>
      <c r="AG3" s="14" t="s">
        <v>196</v>
      </c>
      <c r="AH3" s="19" t="s">
        <v>197</v>
      </c>
      <c r="AI3" s="13" t="s">
        <v>18</v>
      </c>
      <c r="AJ3" s="14" t="s">
        <v>19</v>
      </c>
      <c r="AK3" s="19" t="s">
        <v>20</v>
      </c>
      <c r="AL3" s="830"/>
    </row>
    <row r="4" spans="1:38" ht="15.75" thickBot="1" x14ac:dyDescent="0.3">
      <c r="A4" s="91" t="s">
        <v>73</v>
      </c>
      <c r="B4" s="92"/>
      <c r="C4" s="93"/>
      <c r="D4" s="94"/>
      <c r="E4" s="92"/>
      <c r="F4" s="93"/>
      <c r="G4" s="93"/>
      <c r="H4" s="95"/>
      <c r="I4" s="92"/>
      <c r="J4" s="93"/>
      <c r="K4" s="95"/>
      <c r="L4" s="91"/>
      <c r="M4" s="92"/>
      <c r="N4" s="96"/>
      <c r="O4" s="97"/>
      <c r="P4" s="96"/>
      <c r="Q4" s="97"/>
      <c r="R4" s="96"/>
      <c r="S4" s="97"/>
      <c r="T4" s="96"/>
      <c r="U4" s="97"/>
      <c r="V4" s="96"/>
      <c r="W4" s="97"/>
      <c r="X4" s="92"/>
      <c r="Y4" s="94"/>
      <c r="Z4" s="122" t="s">
        <v>70</v>
      </c>
      <c r="AB4" s="91" t="s">
        <v>73</v>
      </c>
      <c r="AC4" s="92"/>
      <c r="AD4" s="94"/>
      <c r="AE4" s="92"/>
      <c r="AF4" s="93"/>
      <c r="AG4" s="93"/>
      <c r="AH4" s="95"/>
      <c r="AI4" s="92"/>
      <c r="AJ4" s="93"/>
      <c r="AK4" s="95"/>
      <c r="AL4" s="831"/>
    </row>
    <row r="5" spans="1:38" x14ac:dyDescent="0.25">
      <c r="A5" s="48" t="s">
        <v>50</v>
      </c>
      <c r="B5" s="49" t="s">
        <v>36</v>
      </c>
      <c r="C5" s="32">
        <f>Evaluation!D5</f>
        <v>21.967395184679404</v>
      </c>
      <c r="D5" s="44" t="s">
        <v>49</v>
      </c>
      <c r="E5" s="51">
        <f>Evaluation!G5/$C5</f>
        <v>0</v>
      </c>
      <c r="F5" s="52">
        <f>Evaluation!H5/$C5</f>
        <v>3.3573595514180949E-4</v>
      </c>
      <c r="G5" s="53">
        <f>Evaluation!I5/$C5</f>
        <v>4.5066790653925602E-4</v>
      </c>
      <c r="H5" s="53">
        <f>Evaluation!J5/$C5</f>
        <v>1.6387923874154763E-4</v>
      </c>
      <c r="I5" s="51">
        <f>Evaluation!K5/$C5</f>
        <v>0</v>
      </c>
      <c r="J5" s="52">
        <f>Evaluation!L5/$C5</f>
        <v>3.4267436044011363E-4</v>
      </c>
      <c r="K5" s="53">
        <f>Evaluation!M5/$C5</f>
        <v>2.1067514409064554E-4</v>
      </c>
      <c r="L5" s="57">
        <f>Evaluation!N5/$C5</f>
        <v>3.7847901055729608E-6</v>
      </c>
      <c r="M5" s="51">
        <f>Evaluation!O5/$C5</f>
        <v>0</v>
      </c>
      <c r="N5" s="54">
        <f>Evaluation!P5/$C5</f>
        <v>4.4878687967027398E-6</v>
      </c>
      <c r="O5" s="50">
        <f>Evaluation!Q5/$C5</f>
        <v>0</v>
      </c>
      <c r="P5" s="54">
        <f>Evaluation!R5/$C5</f>
        <v>8.0010227235666234E-7</v>
      </c>
      <c r="Q5" s="50">
        <f>Evaluation!S5/$C5</f>
        <v>0</v>
      </c>
      <c r="R5" s="54">
        <f>Evaluation!T5/$C5</f>
        <v>4.2848706488054717E-7</v>
      </c>
      <c r="S5" s="50">
        <f>Evaluation!U5/$C5</f>
        <v>0</v>
      </c>
      <c r="T5" s="54">
        <f>Evaluation!V5/$C5</f>
        <v>2.7597389819025274E-6</v>
      </c>
      <c r="U5" s="50">
        <f>Evaluation!W5/$C5</f>
        <v>0</v>
      </c>
      <c r="V5" s="54">
        <f>Evaluation!X5/$C5</f>
        <v>4.6098896166779198E-7</v>
      </c>
      <c r="W5" s="50">
        <f>Evaluation!Y5/$C5</f>
        <v>0</v>
      </c>
      <c r="X5" s="51">
        <f>Evaluation!Z5/$C5</f>
        <v>2.7739378527989828E-6</v>
      </c>
      <c r="Y5" s="56">
        <f>Evaluation!AA5/$C5</f>
        <v>0</v>
      </c>
      <c r="Z5" s="123"/>
      <c r="AB5" s="48" t="s">
        <v>50</v>
      </c>
      <c r="AC5" s="49" t="s">
        <v>36</v>
      </c>
      <c r="AD5" s="44" t="s">
        <v>49</v>
      </c>
      <c r="AE5" s="109">
        <f>RANK(E5,E$5:E$14)</f>
        <v>6</v>
      </c>
      <c r="AF5" s="110">
        <f t="shared" ref="AF5:AF13" si="0">RANK(F5,F$5:F$14)</f>
        <v>2</v>
      </c>
      <c r="AG5" s="110">
        <f t="shared" ref="AG5:AG13" si="1">RANK(G5,G$5:G$14)</f>
        <v>2</v>
      </c>
      <c r="AH5" s="111">
        <f t="shared" ref="AH5:AH13" si="2">RANK(H5,H$5:H$14)</f>
        <v>4</v>
      </c>
      <c r="AI5" s="109">
        <f t="shared" ref="AI5:AI13" si="3">RANK(I5,I$5:I$14)</f>
        <v>3</v>
      </c>
      <c r="AJ5" s="110">
        <f t="shared" ref="AJ5:AJ13" si="4">RANK(J5,J$5:J$14)</f>
        <v>2</v>
      </c>
      <c r="AK5" s="111">
        <f t="shared" ref="AK5:AK13" si="5">RANK(K5,K$5:K$14)</f>
        <v>2</v>
      </c>
      <c r="AL5" s="153">
        <v>1</v>
      </c>
    </row>
    <row r="6" spans="1:38" x14ac:dyDescent="0.25">
      <c r="A6" s="48" t="s">
        <v>53</v>
      </c>
      <c r="B6" s="49" t="s">
        <v>36</v>
      </c>
      <c r="C6" s="32">
        <f>Evaluation!D6</f>
        <v>9.8591332767577313</v>
      </c>
      <c r="D6" s="44" t="s">
        <v>49</v>
      </c>
      <c r="E6" s="51">
        <f>Evaluation!G6/$C6</f>
        <v>0</v>
      </c>
      <c r="F6" s="52">
        <f>Evaluation!H6/$C6</f>
        <v>0</v>
      </c>
      <c r="G6" s="53">
        <f>Evaluation!I6/$C6</f>
        <v>1.0142879418796735E-5</v>
      </c>
      <c r="H6" s="53">
        <f>Evaluation!J6/$C6</f>
        <v>0</v>
      </c>
      <c r="I6" s="51">
        <f>Evaluation!K6/$C6</f>
        <v>0</v>
      </c>
      <c r="J6" s="52">
        <f>Evaluation!L6/$C6</f>
        <v>0</v>
      </c>
      <c r="K6" s="53">
        <f>Evaluation!M6/$C6</f>
        <v>2.7554438775769194E-6</v>
      </c>
      <c r="L6" s="57">
        <f>Evaluation!N6/$C6</f>
        <v>1.321984082463943E-5</v>
      </c>
      <c r="M6" s="51">
        <f>Evaluation!O6/$C6</f>
        <v>4.9541602921548716E-7</v>
      </c>
      <c r="N6" s="54">
        <f>Evaluation!P6/$C6</f>
        <v>1.0336447405322486E-5</v>
      </c>
      <c r="O6" s="50">
        <f>Evaluation!Q6/$C6</f>
        <v>1.9142940418866075E-5</v>
      </c>
      <c r="P6" s="54">
        <f>Evaluation!R6/$C6</f>
        <v>3.2394621293611518E-6</v>
      </c>
      <c r="Q6" s="50">
        <f>Evaluation!S6/$C6</f>
        <v>2.5437417280840002E-10</v>
      </c>
      <c r="R6" s="54">
        <f>Evaluation!T6/$C6</f>
        <v>4.1149126947031863E-7</v>
      </c>
      <c r="S6" s="50">
        <f>Evaluation!U6/$C6</f>
        <v>5.0565972742166364E-6</v>
      </c>
      <c r="T6" s="54">
        <f>Evaluation!V6/$C6</f>
        <v>1.0611011563523979E-6</v>
      </c>
      <c r="U6" s="50">
        <f>Evaluation!W6/$C6</f>
        <v>0</v>
      </c>
      <c r="V6" s="54">
        <f>Evaluation!X6/$C6</f>
        <v>4.8060589899415286E-6</v>
      </c>
      <c r="W6" s="50">
        <f>Evaluation!Y6/$C6</f>
        <v>3.4444043335484707E-6</v>
      </c>
      <c r="X6" s="51">
        <f>Evaluation!Z6/$C6</f>
        <v>3.8879505563057094E-5</v>
      </c>
      <c r="Y6" s="56">
        <f>Evaluation!AA6/$C6</f>
        <v>5.8105596163797833E-6</v>
      </c>
      <c r="Z6" s="124"/>
      <c r="AB6" s="48" t="s">
        <v>88</v>
      </c>
      <c r="AC6" s="49" t="s">
        <v>36</v>
      </c>
      <c r="AD6" s="44" t="s">
        <v>49</v>
      </c>
      <c r="AE6" s="109">
        <f t="shared" ref="AE6:AE13" si="6">RANK(E6,E$5:E$14)</f>
        <v>6</v>
      </c>
      <c r="AF6" s="110">
        <f t="shared" si="0"/>
        <v>8</v>
      </c>
      <c r="AG6" s="110">
        <f t="shared" si="1"/>
        <v>8</v>
      </c>
      <c r="AH6" s="111">
        <f t="shared" si="2"/>
        <v>8</v>
      </c>
      <c r="AI6" s="109">
        <f t="shared" si="3"/>
        <v>3</v>
      </c>
      <c r="AJ6" s="110">
        <f t="shared" si="4"/>
        <v>8</v>
      </c>
      <c r="AK6" s="111">
        <f t="shared" si="5"/>
        <v>8</v>
      </c>
      <c r="AL6" s="153">
        <v>0</v>
      </c>
    </row>
    <row r="7" spans="1:38" x14ac:dyDescent="0.25">
      <c r="A7" s="48" t="s">
        <v>43</v>
      </c>
      <c r="B7" s="49" t="s">
        <v>36</v>
      </c>
      <c r="C7" s="32">
        <f>Evaluation!D7</f>
        <v>2.4673660862597364</v>
      </c>
      <c r="D7" s="33" t="s">
        <v>49</v>
      </c>
      <c r="E7" s="51">
        <f>Evaluation!G7/$C7</f>
        <v>0</v>
      </c>
      <c r="F7" s="52">
        <f>Evaluation!H7/$C7</f>
        <v>5.6064172348347708E-4</v>
      </c>
      <c r="G7" s="53">
        <f>Evaluation!I7/$C7</f>
        <v>5.6740668026375061E-4</v>
      </c>
      <c r="H7" s="53">
        <f>Evaluation!J7/$C7</f>
        <v>2.0264524295133952E-4</v>
      </c>
      <c r="I7" s="51">
        <f>Evaluation!K7/$C7</f>
        <v>0</v>
      </c>
      <c r="J7" s="52">
        <f>Evaluation!L7/$C7</f>
        <v>5.7222808903382473E-4</v>
      </c>
      <c r="K7" s="53">
        <f>Evaluation!M7/$C7</f>
        <v>2.161372053341136E-4</v>
      </c>
      <c r="L7" s="57">
        <f>Evaluation!N7/$C7</f>
        <v>8.8351211379224855E-5</v>
      </c>
      <c r="M7" s="51">
        <f>Evaluation!O7/$C7</f>
        <v>0</v>
      </c>
      <c r="N7" s="54">
        <f>Evaluation!P7/$C7</f>
        <v>8.7868757219137307E-5</v>
      </c>
      <c r="O7" s="50">
        <f>Evaluation!Q7/$C7</f>
        <v>2.5087481077375824E-4</v>
      </c>
      <c r="P7" s="54">
        <f>Evaluation!R7/$C7</f>
        <v>1.2477108116124551E-5</v>
      </c>
      <c r="Q7" s="50">
        <f>Evaluation!S7/$C7</f>
        <v>4.5392534421100047E-5</v>
      </c>
      <c r="R7" s="54">
        <f>Evaluation!T7/$C7</f>
        <v>3.3268530951811313E-6</v>
      </c>
      <c r="S7" s="50">
        <f>Evaluation!U7/$C7</f>
        <v>0</v>
      </c>
      <c r="T7" s="54">
        <f>Evaluation!V7/$C7</f>
        <v>4.1135257618320179E-6</v>
      </c>
      <c r="U7" s="50">
        <f>Evaluation!W7/$C7</f>
        <v>0</v>
      </c>
      <c r="V7" s="54">
        <f>Evaluation!X7/$C7</f>
        <v>1.9177609318858037E-5</v>
      </c>
      <c r="W7" s="50">
        <f>Evaluation!Y7/$C7</f>
        <v>1.7468019942405466E-4</v>
      </c>
      <c r="X7" s="51">
        <f>Evaluation!Z7/$C7</f>
        <v>5.4960491708258693E-5</v>
      </c>
      <c r="Y7" s="56">
        <f>Evaluation!AA7/$C7</f>
        <v>0</v>
      </c>
      <c r="Z7" s="124"/>
      <c r="AB7" s="48" t="s">
        <v>91</v>
      </c>
      <c r="AC7" s="49" t="s">
        <v>36</v>
      </c>
      <c r="AD7" s="33" t="s">
        <v>49</v>
      </c>
      <c r="AE7" s="109">
        <f t="shared" si="6"/>
        <v>6</v>
      </c>
      <c r="AF7" s="110">
        <f t="shared" si="0"/>
        <v>1</v>
      </c>
      <c r="AG7" s="110">
        <f t="shared" si="1"/>
        <v>1</v>
      </c>
      <c r="AH7" s="111">
        <f t="shared" si="2"/>
        <v>1</v>
      </c>
      <c r="AI7" s="109">
        <f t="shared" si="3"/>
        <v>3</v>
      </c>
      <c r="AJ7" s="110">
        <f t="shared" si="4"/>
        <v>1</v>
      </c>
      <c r="AK7" s="111">
        <f t="shared" si="5"/>
        <v>1</v>
      </c>
      <c r="AL7" s="153">
        <v>1</v>
      </c>
    </row>
    <row r="8" spans="1:38" x14ac:dyDescent="0.25">
      <c r="A8" s="48" t="s">
        <v>43</v>
      </c>
      <c r="B8" s="49" t="s">
        <v>36</v>
      </c>
      <c r="C8" s="32">
        <f>Evaluation!D8</f>
        <v>44.326556966859116</v>
      </c>
      <c r="D8" s="33" t="s">
        <v>49</v>
      </c>
      <c r="E8" s="51">
        <f>Evaluation!G8/$C8</f>
        <v>5.9239365821821656E-4</v>
      </c>
      <c r="F8" s="52">
        <f>Evaluation!H8/$C8</f>
        <v>1.8764272595115749E-4</v>
      </c>
      <c r="G8" s="53">
        <f>Evaluation!I8/$C8</f>
        <v>2.4815823182983019E-4</v>
      </c>
      <c r="H8" s="53">
        <f>Evaluation!J8/$C8</f>
        <v>8.5727389177577711E-5</v>
      </c>
      <c r="I8" s="51">
        <f>Evaluation!K8/$C8</f>
        <v>5.4968041378949126E-4</v>
      </c>
      <c r="J8" s="52">
        <f>Evaluation!L8/$C8</f>
        <v>1.8825598650480609E-4</v>
      </c>
      <c r="K8" s="53">
        <f>Evaluation!M8/$C8</f>
        <v>1.3954487674708435E-4</v>
      </c>
      <c r="L8" s="57">
        <f>Evaluation!N8/$C8</f>
        <v>2.9653849045175657E-5</v>
      </c>
      <c r="M8" s="51">
        <f>Evaluation!O8/$C8</f>
        <v>2.097486625566042E-6</v>
      </c>
      <c r="N8" s="54">
        <f>Evaluation!P8/$C8</f>
        <v>2.2664167011243226E-5</v>
      </c>
      <c r="O8" s="50">
        <f>Evaluation!Q8/$C8</f>
        <v>5.1843166658986785E-6</v>
      </c>
      <c r="P8" s="54">
        <f>Evaluation!R8/$C8</f>
        <v>7.3419782382389558E-6</v>
      </c>
      <c r="Q8" s="50">
        <f>Evaluation!S8/$C8</f>
        <v>1.3970434048037536E-6</v>
      </c>
      <c r="R8" s="54">
        <f>Evaluation!T8/$C8</f>
        <v>3.9539490893136894E-6</v>
      </c>
      <c r="S8" s="50">
        <f>Evaluation!U8/$C8</f>
        <v>3.4045101469887347E-6</v>
      </c>
      <c r="T8" s="54">
        <f>Evaluation!V8/$C8</f>
        <v>2.8818213855315507E-5</v>
      </c>
      <c r="U8" s="50">
        <f>Evaluation!W8/$C8</f>
        <v>0</v>
      </c>
      <c r="V8" s="54">
        <f>Evaluation!X8/$C8</f>
        <v>5.0987429306909134E-6</v>
      </c>
      <c r="W8" s="50">
        <f>Evaluation!Y8/$C8</f>
        <v>3.4644118351575317E-6</v>
      </c>
      <c r="X8" s="51">
        <f>Evaluation!Z8/$C8</f>
        <v>4.4768815852988448E-5</v>
      </c>
      <c r="Y8" s="56">
        <f>Evaluation!AA8/$C8</f>
        <v>2.9018324438238585E-6</v>
      </c>
      <c r="Z8" s="124"/>
      <c r="AB8" s="48" t="s">
        <v>43</v>
      </c>
      <c r="AC8" s="49" t="s">
        <v>36</v>
      </c>
      <c r="AD8" s="33" t="s">
        <v>49</v>
      </c>
      <c r="AE8" s="109">
        <f t="shared" si="6"/>
        <v>1</v>
      </c>
      <c r="AF8" s="110">
        <f t="shared" si="0"/>
        <v>5</v>
      </c>
      <c r="AG8" s="110">
        <f t="shared" si="1"/>
        <v>4</v>
      </c>
      <c r="AH8" s="111">
        <f t="shared" si="2"/>
        <v>6</v>
      </c>
      <c r="AI8" s="109">
        <f t="shared" si="3"/>
        <v>2</v>
      </c>
      <c r="AJ8" s="110">
        <f t="shared" si="4"/>
        <v>5</v>
      </c>
      <c r="AK8" s="111">
        <f t="shared" si="5"/>
        <v>4</v>
      </c>
      <c r="AL8" s="153">
        <v>0</v>
      </c>
    </row>
    <row r="9" spans="1:38" x14ac:dyDescent="0.25">
      <c r="A9" s="48" t="s">
        <v>44</v>
      </c>
      <c r="B9" s="49" t="s">
        <v>36</v>
      </c>
      <c r="C9" s="32">
        <f>Evaluation!D9</f>
        <v>42.834713294685194</v>
      </c>
      <c r="D9" s="33" t="s">
        <v>49</v>
      </c>
      <c r="E9" s="51">
        <f>Evaluation!G9/$C9</f>
        <v>5.442320367113157E-4</v>
      </c>
      <c r="F9" s="52">
        <f>Evaluation!H9/$C9</f>
        <v>2.5363481262122669E-4</v>
      </c>
      <c r="G9" s="53">
        <f>Evaluation!I9/$C9</f>
        <v>2.638047305758918E-4</v>
      </c>
      <c r="H9" s="53">
        <f>Evaluation!J9/$C9</f>
        <v>9.1047650375750282E-5</v>
      </c>
      <c r="I9" s="51">
        <f>Evaluation!K9/$C9</f>
        <v>0</v>
      </c>
      <c r="J9" s="52">
        <f>Evaluation!L9/$C9</f>
        <v>2.5388839492806754E-4</v>
      </c>
      <c r="K9" s="53">
        <f>Evaluation!M9/$C9</f>
        <v>1.4462679333285112E-4</v>
      </c>
      <c r="L9" s="57">
        <f>Evaluation!N9/$C9</f>
        <v>3.1603922912914476E-5</v>
      </c>
      <c r="M9" s="51">
        <f>Evaluation!O9/$C9</f>
        <v>3.9068851469891345E-5</v>
      </c>
      <c r="N9" s="54">
        <f>Evaluation!P9/$C9</f>
        <v>2.8604943901423198E-5</v>
      </c>
      <c r="O9" s="50">
        <f>Evaluation!Q9/$C9</f>
        <v>1.0841694351119417E-4</v>
      </c>
      <c r="P9" s="54">
        <f>Evaluation!R9/$C9</f>
        <v>7.855354672986276E-6</v>
      </c>
      <c r="Q9" s="50">
        <f>Evaluation!S9/$C9</f>
        <v>3.5100045786887193E-6</v>
      </c>
      <c r="R9" s="54">
        <f>Evaluation!T9/$C9</f>
        <v>3.6039440837576111E-6</v>
      </c>
      <c r="S9" s="50">
        <f>Evaluation!U9/$C9</f>
        <v>9.47033137223595E-6</v>
      </c>
      <c r="T9" s="54">
        <f>Evaluation!V9/$C9</f>
        <v>3.3974523341091292E-5</v>
      </c>
      <c r="U9" s="50">
        <f>Evaluation!W9/$C9</f>
        <v>1.7290905962823628E-4</v>
      </c>
      <c r="V9" s="54">
        <f>Evaluation!X9/$C9</f>
        <v>3.7191469078748107E-6</v>
      </c>
      <c r="W9" s="50">
        <f>Evaluation!Y9/$C9</f>
        <v>5.3841616820894879E-5</v>
      </c>
      <c r="X9" s="51">
        <f>Evaluation!Z9/$C9</f>
        <v>3.7589249016759872E-5</v>
      </c>
      <c r="Y9" s="56">
        <f>Evaluation!AA9/$C9</f>
        <v>1.2368516418781035E-4</v>
      </c>
      <c r="Z9" s="124"/>
      <c r="AB9" s="48" t="s">
        <v>44</v>
      </c>
      <c r="AC9" s="49" t="s">
        <v>36</v>
      </c>
      <c r="AD9" s="33" t="s">
        <v>49</v>
      </c>
      <c r="AE9" s="109">
        <f t="shared" si="6"/>
        <v>2</v>
      </c>
      <c r="AF9" s="110">
        <f t="shared" si="0"/>
        <v>3</v>
      </c>
      <c r="AG9" s="110">
        <f t="shared" si="1"/>
        <v>3</v>
      </c>
      <c r="AH9" s="111">
        <f t="shared" si="2"/>
        <v>5</v>
      </c>
      <c r="AI9" s="109">
        <f t="shared" si="3"/>
        <v>3</v>
      </c>
      <c r="AJ9" s="110">
        <f t="shared" si="4"/>
        <v>3</v>
      </c>
      <c r="AK9" s="111">
        <f t="shared" si="5"/>
        <v>3</v>
      </c>
      <c r="AL9" s="153">
        <v>0</v>
      </c>
    </row>
    <row r="10" spans="1:38" x14ac:dyDescent="0.25">
      <c r="A10" s="48" t="s">
        <v>54</v>
      </c>
      <c r="B10" s="49" t="s">
        <v>36</v>
      </c>
      <c r="C10" s="32">
        <f>Evaluation!D10</f>
        <v>26.419693492351392</v>
      </c>
      <c r="D10" s="44" t="s">
        <v>49</v>
      </c>
      <c r="E10" s="51">
        <f>Evaluation!G10/$C10</f>
        <v>2.7428782794986038E-4</v>
      </c>
      <c r="F10" s="52">
        <f>Evaluation!H10/$C10</f>
        <v>7.5455124856795979E-5</v>
      </c>
      <c r="G10" s="53">
        <f>Evaluation!I10/$C10</f>
        <v>2.1574815020659392E-4</v>
      </c>
      <c r="H10" s="53">
        <f>Evaluation!J10/$C10</f>
        <v>6.4345939535299937E-5</v>
      </c>
      <c r="I10" s="51">
        <f>Evaluation!K10/$C10</f>
        <v>6.6672742624883385E-4</v>
      </c>
      <c r="J10" s="52">
        <f>Evaluation!L10/$C10</f>
        <v>7.6140101034191416E-5</v>
      </c>
      <c r="K10" s="53">
        <f>Evaluation!M10/$C10</f>
        <v>1.2709254485248871E-4</v>
      </c>
      <c r="L10" s="57">
        <f>Evaluation!N10/$C10</f>
        <v>5.8762796114401859E-6</v>
      </c>
      <c r="M10" s="51">
        <f>Evaluation!O10/$C10</f>
        <v>2.588922699541558E-4</v>
      </c>
      <c r="N10" s="54">
        <f>Evaluation!P10/$C10</f>
        <v>5.6745799816308413E-6</v>
      </c>
      <c r="O10" s="50">
        <f>Evaluation!Q10/$C10</f>
        <v>1.3092471442579639E-4</v>
      </c>
      <c r="P10" s="54">
        <f>Evaluation!R10/$C10</f>
        <v>1.5353589407567001E-6</v>
      </c>
      <c r="Q10" s="50">
        <f>Evaluation!S10/$C10</f>
        <v>2.4249891022174585E-6</v>
      </c>
      <c r="R10" s="54">
        <f>Evaluation!T10/$C10</f>
        <v>2.0070389996613385E-6</v>
      </c>
      <c r="S10" s="50">
        <f>Evaluation!U10/$C10</f>
        <v>7.5910596595441301E-6</v>
      </c>
      <c r="T10" s="54">
        <f>Evaluation!V10/$C10</f>
        <v>9.2986536728459675E-6</v>
      </c>
      <c r="U10" s="50">
        <f>Evaluation!W10/$C10</f>
        <v>5.5284512795417194E-5</v>
      </c>
      <c r="V10" s="54">
        <f>Evaluation!X10/$C10</f>
        <v>6.3097305126726097E-7</v>
      </c>
      <c r="W10" s="50">
        <f>Evaluation!Y10/$C10</f>
        <v>5.4229226832542121E-5</v>
      </c>
      <c r="X10" s="51">
        <f>Evaluation!Z10/$C10</f>
        <v>5.5101858081263523E-6</v>
      </c>
      <c r="Y10" s="56">
        <f>Evaluation!AA10/$C10</f>
        <v>3.2290116014520721E-4</v>
      </c>
      <c r="Z10" s="124"/>
      <c r="AB10" s="48" t="s">
        <v>54</v>
      </c>
      <c r="AC10" s="49" t="s">
        <v>36</v>
      </c>
      <c r="AD10" s="44" t="s">
        <v>49</v>
      </c>
      <c r="AE10" s="109">
        <f t="shared" si="6"/>
        <v>3</v>
      </c>
      <c r="AF10" s="110">
        <f t="shared" si="0"/>
        <v>7</v>
      </c>
      <c r="AG10" s="110">
        <f t="shared" si="1"/>
        <v>5</v>
      </c>
      <c r="AH10" s="111">
        <f t="shared" si="2"/>
        <v>7</v>
      </c>
      <c r="AI10" s="109">
        <f t="shared" si="3"/>
        <v>1</v>
      </c>
      <c r="AJ10" s="110">
        <f t="shared" si="4"/>
        <v>7</v>
      </c>
      <c r="AK10" s="111">
        <f t="shared" si="5"/>
        <v>5</v>
      </c>
      <c r="AL10" s="153">
        <v>0</v>
      </c>
    </row>
    <row r="11" spans="1:38" x14ac:dyDescent="0.25">
      <c r="A11" s="48" t="s">
        <v>47</v>
      </c>
      <c r="B11" s="49" t="s">
        <v>36</v>
      </c>
      <c r="C11" s="32">
        <f>Evaluation!D11</f>
        <v>72.39463672800774</v>
      </c>
      <c r="D11" s="33" t="s">
        <v>49</v>
      </c>
      <c r="E11" s="51">
        <f>Evaluation!G11/$C11</f>
        <v>2.4863943906244514E-4</v>
      </c>
      <c r="F11" s="52">
        <f>Evaluation!H11/$C11</f>
        <v>1.4798945772687597E-4</v>
      </c>
      <c r="G11" s="53">
        <f>Evaluation!I11/$C11</f>
        <v>1.9338449134842799E-4</v>
      </c>
      <c r="H11" s="53">
        <f>Evaluation!J11/$C11</f>
        <v>1.9338449134842799E-4</v>
      </c>
      <c r="I11" s="51">
        <f>Evaluation!K11/$C11</f>
        <v>0</v>
      </c>
      <c r="J11" s="52">
        <f>Evaluation!L11/$C11</f>
        <v>1.4153558465069852E-4</v>
      </c>
      <c r="K11" s="53">
        <f>Evaluation!M11/$C11</f>
        <v>3.6163697955842772E-5</v>
      </c>
      <c r="L11" s="57">
        <f>Evaluation!N11/$C11</f>
        <v>4.8792776014156844E-6</v>
      </c>
      <c r="M11" s="51">
        <f>Evaluation!O11/$C11</f>
        <v>8.2883803516078271E-5</v>
      </c>
      <c r="N11" s="54">
        <f>Evaluation!P11/$C11</f>
        <v>1.2381867001579923E-6</v>
      </c>
      <c r="O11" s="50">
        <f>Evaluation!Q11/$C11</f>
        <v>5.8174107406627323E-5</v>
      </c>
      <c r="P11" s="54">
        <f>Evaluation!R11/$C11</f>
        <v>1.5389596980358049E-6</v>
      </c>
      <c r="Q11" s="50">
        <f>Evaluation!S11/$C11</f>
        <v>2.7397678591316733E-5</v>
      </c>
      <c r="R11" s="54">
        <f>Evaluation!T11/$C11</f>
        <v>4.8022900608625141E-7</v>
      </c>
      <c r="S11" s="50">
        <f>Evaluation!U11/$C11</f>
        <v>1.6502753884921336E-5</v>
      </c>
      <c r="T11" s="54">
        <f>Evaluation!V11/$C11</f>
        <v>1.2754081789979129E-6</v>
      </c>
      <c r="U11" s="50">
        <f>Evaluation!W11/$C11</f>
        <v>0</v>
      </c>
      <c r="V11" s="54">
        <f>Evaluation!X11/$C11</f>
        <v>7.9871145408527887E-7</v>
      </c>
      <c r="W11" s="50">
        <f>Evaluation!Y11/$C11</f>
        <v>3.8465895909063786E-5</v>
      </c>
      <c r="X11" s="51">
        <f>Evaluation!Z11/$C11</f>
        <v>6.8311468854946853E-6</v>
      </c>
      <c r="Y11" s="56">
        <f>Evaluation!AA11/$C11</f>
        <v>9.7382945144917649E-5</v>
      </c>
      <c r="Z11" s="124"/>
      <c r="AB11" s="48" t="s">
        <v>47</v>
      </c>
      <c r="AC11" s="49" t="s">
        <v>36</v>
      </c>
      <c r="AD11" s="33" t="s">
        <v>49</v>
      </c>
      <c r="AE11" s="109">
        <f t="shared" si="6"/>
        <v>4</v>
      </c>
      <c r="AF11" s="110">
        <f t="shared" si="0"/>
        <v>6</v>
      </c>
      <c r="AG11" s="110">
        <f t="shared" si="1"/>
        <v>6</v>
      </c>
      <c r="AH11" s="111">
        <f t="shared" si="2"/>
        <v>2</v>
      </c>
      <c r="AI11" s="109">
        <f t="shared" si="3"/>
        <v>3</v>
      </c>
      <c r="AJ11" s="110">
        <f t="shared" si="4"/>
        <v>6</v>
      </c>
      <c r="AK11" s="111">
        <f t="shared" si="5"/>
        <v>7</v>
      </c>
      <c r="AL11" s="153">
        <v>1</v>
      </c>
    </row>
    <row r="12" spans="1:38" x14ac:dyDescent="0.25">
      <c r="A12" s="48" t="s">
        <v>82</v>
      </c>
      <c r="B12" s="49" t="s">
        <v>36</v>
      </c>
      <c r="C12" s="32">
        <f>Evaluation!D12</f>
        <v>17.751540612442341</v>
      </c>
      <c r="D12" s="33" t="s">
        <v>49</v>
      </c>
      <c r="E12" s="51">
        <f>Evaluation!G12/$C12</f>
        <v>0</v>
      </c>
      <c r="F12" s="52">
        <f>Evaluation!H12/$C12</f>
        <v>0</v>
      </c>
      <c r="G12" s="53">
        <f>Evaluation!I12/$C12</f>
        <v>0</v>
      </c>
      <c r="H12" s="53">
        <f>Evaluation!J12/$C12</f>
        <v>0</v>
      </c>
      <c r="I12" s="51">
        <f>Evaluation!K12/$C12</f>
        <v>0</v>
      </c>
      <c r="J12" s="52">
        <f>Evaluation!L12/$C12</f>
        <v>0</v>
      </c>
      <c r="K12" s="53">
        <f>Evaluation!M12/$C12</f>
        <v>0</v>
      </c>
      <c r="L12" s="57">
        <f>Evaluation!N12/$C12</f>
        <v>0</v>
      </c>
      <c r="M12" s="51">
        <f>Evaluation!O12/$C12</f>
        <v>0</v>
      </c>
      <c r="N12" s="54">
        <f>Evaluation!P12/$C12</f>
        <v>0</v>
      </c>
      <c r="O12" s="50">
        <f>Evaluation!Q12/$C12</f>
        <v>0</v>
      </c>
      <c r="P12" s="54">
        <f>Evaluation!R12/$C12</f>
        <v>0</v>
      </c>
      <c r="Q12" s="50">
        <f>Evaluation!S12/$C12</f>
        <v>0</v>
      </c>
      <c r="R12" s="54">
        <f>Evaluation!T12/$C12</f>
        <v>0</v>
      </c>
      <c r="S12" s="50">
        <f>Evaluation!U12/$C12</f>
        <v>0</v>
      </c>
      <c r="T12" s="54">
        <f>Evaluation!V12/$C12</f>
        <v>0</v>
      </c>
      <c r="U12" s="50">
        <f>Evaluation!W12/$C12</f>
        <v>0</v>
      </c>
      <c r="V12" s="54">
        <f>Evaluation!X12/$C12</f>
        <v>0</v>
      </c>
      <c r="W12" s="50">
        <f>Evaluation!Y12/$C12</f>
        <v>0</v>
      </c>
      <c r="X12" s="51">
        <f>Evaluation!Z12/$C12</f>
        <v>0</v>
      </c>
      <c r="Y12" s="56">
        <f>Evaluation!AA12/$C12</f>
        <v>0</v>
      </c>
      <c r="Z12" s="124"/>
      <c r="AB12" s="48" t="s">
        <v>82</v>
      </c>
      <c r="AC12" s="49" t="s">
        <v>36</v>
      </c>
      <c r="AD12" s="44" t="s">
        <v>49</v>
      </c>
      <c r="AE12" s="109">
        <f t="shared" ref="AE12" si="7">RANK(E12,E$5:E$14)</f>
        <v>6</v>
      </c>
      <c r="AF12" s="110">
        <f t="shared" ref="AF12" si="8">RANK(F12,F$5:F$14)</f>
        <v>8</v>
      </c>
      <c r="AG12" s="110">
        <f t="shared" si="1"/>
        <v>9</v>
      </c>
      <c r="AH12" s="111">
        <f t="shared" ref="AH12" si="9">RANK(H12,H$5:H$14)</f>
        <v>8</v>
      </c>
      <c r="AI12" s="109">
        <f t="shared" ref="AI12" si="10">RANK(I12,I$5:I$14)</f>
        <v>3</v>
      </c>
      <c r="AJ12" s="110">
        <f t="shared" ref="AJ12" si="11">RANK(J12,J$5:J$14)</f>
        <v>8</v>
      </c>
      <c r="AK12" s="111">
        <f t="shared" ref="AK12" si="12">RANK(K12,K$5:K$14)</f>
        <v>9</v>
      </c>
      <c r="AL12" s="153">
        <v>1</v>
      </c>
    </row>
    <row r="13" spans="1:38" ht="15.75" thickBot="1" x14ac:dyDescent="0.3">
      <c r="A13" s="48" t="s">
        <v>48</v>
      </c>
      <c r="B13" s="49" t="s">
        <v>36</v>
      </c>
      <c r="C13" s="32">
        <f>Evaluation!D13</f>
        <v>88.747147779287715</v>
      </c>
      <c r="D13" s="44" t="s">
        <v>49</v>
      </c>
      <c r="E13" s="51">
        <f>Evaluation!G13/$C13</f>
        <v>8.3626473239640335E-5</v>
      </c>
      <c r="F13" s="52">
        <f>Evaluation!H13/$C13</f>
        <v>1.9062057810823133E-4</v>
      </c>
      <c r="G13" s="53">
        <f>Evaluation!I13/$C13</f>
        <v>1.7239990673334965E-4</v>
      </c>
      <c r="H13" s="53">
        <f>Evaluation!J13/$C13</f>
        <v>1.893018583738741E-4</v>
      </c>
      <c r="I13" s="51">
        <f>Evaluation!K13/$C13</f>
        <v>0</v>
      </c>
      <c r="J13" s="52">
        <f>Evaluation!L13/$C13</f>
        <v>1.9455999183159409E-4</v>
      </c>
      <c r="K13" s="53">
        <f>Evaluation!M13/$C13</f>
        <v>3.8524430151440189E-5</v>
      </c>
      <c r="L13" s="57">
        <f>Evaluation!N13/$C13</f>
        <v>4.9894155122442669E-5</v>
      </c>
      <c r="M13" s="51">
        <f>Evaluation!O13/$C13</f>
        <v>3.2432269789925917E-6</v>
      </c>
      <c r="N13" s="54">
        <f>Evaluation!P13/$C13</f>
        <v>3.1499361590585576E-5</v>
      </c>
      <c r="O13" s="50">
        <f>Evaluation!Q13/$C13</f>
        <v>3.1683589247079714E-6</v>
      </c>
      <c r="P13" s="54">
        <f>Evaluation!R13/$C13</f>
        <v>7.918154545698569E-5</v>
      </c>
      <c r="Q13" s="50">
        <f>Evaluation!S13/$C13</f>
        <v>2.0585469199769055E-6</v>
      </c>
      <c r="R13" s="54">
        <f>Evaluation!T13/$C13</f>
        <v>9.8180487429127109E-6</v>
      </c>
      <c r="S13" s="50">
        <f>Evaluation!U13/$C13</f>
        <v>2.4881951275585542E-6</v>
      </c>
      <c r="T13" s="54">
        <f>Evaluation!V13/$C13</f>
        <v>2.5744984729860181E-5</v>
      </c>
      <c r="U13" s="50">
        <f>Evaluation!W13/$C13</f>
        <v>0</v>
      </c>
      <c r="V13" s="54">
        <f>Evaluation!X13/$C13</f>
        <v>2.1777614141185028E-5</v>
      </c>
      <c r="W13" s="50">
        <f>Evaluation!Y13/$C13</f>
        <v>0</v>
      </c>
      <c r="X13" s="51">
        <f>Evaluation!Z13/$C13</f>
        <v>1.310344899114538E-4</v>
      </c>
      <c r="Y13" s="56">
        <f>Evaluation!AA13/$C13</f>
        <v>0</v>
      </c>
      <c r="Z13" s="125"/>
      <c r="AB13" s="48" t="s">
        <v>48</v>
      </c>
      <c r="AC13" s="49" t="s">
        <v>36</v>
      </c>
      <c r="AD13" s="44" t="s">
        <v>49</v>
      </c>
      <c r="AE13" s="109">
        <f t="shared" si="6"/>
        <v>5</v>
      </c>
      <c r="AF13" s="110">
        <f t="shared" si="0"/>
        <v>4</v>
      </c>
      <c r="AG13" s="110">
        <f t="shared" si="1"/>
        <v>7</v>
      </c>
      <c r="AH13" s="111">
        <f t="shared" si="2"/>
        <v>3</v>
      </c>
      <c r="AI13" s="109">
        <f t="shared" si="3"/>
        <v>3</v>
      </c>
      <c r="AJ13" s="110">
        <f t="shared" si="4"/>
        <v>4</v>
      </c>
      <c r="AK13" s="111">
        <f t="shared" si="5"/>
        <v>6</v>
      </c>
      <c r="AL13" s="154">
        <v>1</v>
      </c>
    </row>
    <row r="14" spans="1:38" x14ac:dyDescent="0.25">
      <c r="A14" s="98"/>
      <c r="B14" s="99"/>
      <c r="C14" s="100"/>
      <c r="D14" s="101"/>
      <c r="E14" s="102"/>
      <c r="F14" s="103"/>
      <c r="G14" s="103"/>
      <c r="H14" s="104"/>
      <c r="I14" s="102"/>
      <c r="J14" s="103"/>
      <c r="K14" s="104"/>
      <c r="L14" s="105"/>
      <c r="M14" s="102"/>
      <c r="N14" s="106"/>
      <c r="O14" s="107"/>
      <c r="P14" s="106"/>
      <c r="Q14" s="107"/>
      <c r="R14" s="106"/>
      <c r="S14" s="107"/>
      <c r="T14" s="106"/>
      <c r="U14" s="107"/>
      <c r="V14" s="106"/>
      <c r="W14" s="107"/>
      <c r="X14" s="102"/>
      <c r="Y14" s="108"/>
      <c r="Z14" s="101"/>
      <c r="AB14" s="98"/>
      <c r="AC14" s="99"/>
      <c r="AD14" s="101"/>
      <c r="AE14" s="102"/>
      <c r="AF14" s="103"/>
      <c r="AG14" s="103"/>
      <c r="AH14" s="104"/>
      <c r="AI14" s="102"/>
      <c r="AJ14" s="103"/>
      <c r="AK14" s="104"/>
      <c r="AL14" s="101">
        <f>SUM(AL5:AL13)</f>
        <v>5</v>
      </c>
    </row>
    <row r="15" spans="1:38" ht="15.75" thickBot="1" x14ac:dyDescent="0.3">
      <c r="A15" s="48"/>
      <c r="B15" s="49"/>
      <c r="C15" s="32"/>
      <c r="D15" s="44"/>
      <c r="E15" s="51"/>
      <c r="F15" s="52"/>
      <c r="G15" s="52"/>
      <c r="H15" s="53"/>
      <c r="I15" s="51"/>
      <c r="J15" s="52"/>
      <c r="K15" s="53"/>
      <c r="L15" s="57"/>
      <c r="M15" s="51"/>
      <c r="N15" s="54"/>
      <c r="O15" s="50"/>
      <c r="P15" s="54"/>
      <c r="Q15" s="50"/>
      <c r="R15" s="54"/>
      <c r="S15" s="50"/>
      <c r="T15" s="54"/>
      <c r="U15" s="50"/>
      <c r="V15" s="54"/>
      <c r="W15" s="50"/>
      <c r="X15" s="51"/>
      <c r="Y15" s="56"/>
      <c r="AB15" s="48"/>
      <c r="AC15" s="49"/>
      <c r="AD15" s="44"/>
      <c r="AE15" s="51"/>
      <c r="AF15" s="52"/>
      <c r="AG15" s="52"/>
      <c r="AH15" s="53"/>
      <c r="AI15" s="51"/>
      <c r="AJ15" s="52"/>
      <c r="AK15" s="53"/>
      <c r="AL15" s="121"/>
    </row>
    <row r="16" spans="1:38" ht="15.75" thickBot="1" x14ac:dyDescent="0.3">
      <c r="A16" s="91" t="s">
        <v>74</v>
      </c>
      <c r="B16" s="92"/>
      <c r="C16" s="93"/>
      <c r="D16" s="94"/>
      <c r="E16" s="92"/>
      <c r="F16" s="93"/>
      <c r="G16" s="93"/>
      <c r="H16" s="95"/>
      <c r="I16" s="92"/>
      <c r="J16" s="93"/>
      <c r="K16" s="95"/>
      <c r="L16" s="91"/>
      <c r="M16" s="92"/>
      <c r="N16" s="96"/>
      <c r="O16" s="97"/>
      <c r="P16" s="96"/>
      <c r="Q16" s="97"/>
      <c r="R16" s="96"/>
      <c r="S16" s="97"/>
      <c r="T16" s="96"/>
      <c r="U16" s="97"/>
      <c r="V16" s="96"/>
      <c r="W16" s="97"/>
      <c r="X16" s="92"/>
      <c r="Y16" s="94"/>
      <c r="Z16" s="122" t="s">
        <v>70</v>
      </c>
      <c r="AB16" s="91" t="s">
        <v>74</v>
      </c>
      <c r="AC16" s="92"/>
      <c r="AD16" s="94"/>
      <c r="AE16" s="92"/>
      <c r="AF16" s="93"/>
      <c r="AG16" s="93"/>
      <c r="AH16" s="95"/>
      <c r="AI16" s="92"/>
      <c r="AJ16" s="93"/>
      <c r="AK16" s="95"/>
      <c r="AL16" s="126" t="s">
        <v>89</v>
      </c>
    </row>
    <row r="17" spans="1:38" x14ac:dyDescent="0.25">
      <c r="A17" s="30" t="s">
        <v>23</v>
      </c>
      <c r="B17" s="31" t="s">
        <v>24</v>
      </c>
      <c r="C17" s="32">
        <f>Evaluation!D17</f>
        <v>25.486774331916184</v>
      </c>
      <c r="D17" s="33" t="s">
        <v>46</v>
      </c>
      <c r="E17" s="37">
        <f>Evaluation!G17/$C17</f>
        <v>0</v>
      </c>
      <c r="F17" s="38">
        <f>Evaluation!H17/$C17</f>
        <v>3.6225963970279244E-5</v>
      </c>
      <c r="G17" s="53">
        <f>Evaluation!I17/$C17</f>
        <v>1.0986090132613052E-4</v>
      </c>
      <c r="H17" s="39">
        <f>Evaluation!J17/$C17</f>
        <v>2.4718702798379367E-4</v>
      </c>
      <c r="I17" s="37">
        <f>Evaluation!K17/$C17</f>
        <v>0</v>
      </c>
      <c r="J17" s="38">
        <f>Evaluation!L17/$C17</f>
        <v>3.6974619026427145E-5</v>
      </c>
      <c r="K17" s="39">
        <f>Evaluation!M17/$C17</f>
        <v>1.2298171338341544E-4</v>
      </c>
      <c r="L17" s="30"/>
      <c r="M17" s="31"/>
      <c r="N17" s="40"/>
      <c r="O17" s="41"/>
      <c r="P17" s="40"/>
      <c r="Q17" s="41"/>
      <c r="R17" s="40"/>
      <c r="S17" s="41"/>
      <c r="T17" s="40"/>
      <c r="U17" s="41"/>
      <c r="V17" s="40"/>
      <c r="W17" s="41"/>
      <c r="X17" s="31"/>
      <c r="Y17" s="33"/>
      <c r="Z17" s="123"/>
      <c r="AB17" s="30" t="s">
        <v>23</v>
      </c>
      <c r="AC17" s="31" t="s">
        <v>24</v>
      </c>
      <c r="AD17" s="33" t="s">
        <v>46</v>
      </c>
      <c r="AE17" s="113">
        <f t="shared" ref="AE17:AE26" si="13">RANK(E17,E$17:E$26)</f>
        <v>10</v>
      </c>
      <c r="AF17" s="114">
        <f t="shared" ref="AF17:AF26" si="14">RANK(F17,F$17:F$26)</f>
        <v>10</v>
      </c>
      <c r="AG17" s="114">
        <f t="shared" ref="AG17:AG26" si="15">RANK(G17,G$17:G$26)</f>
        <v>9</v>
      </c>
      <c r="AH17" s="115">
        <f t="shared" ref="AH17:AH26" si="16">RANK(H17,H$17:H$26)</f>
        <v>8</v>
      </c>
      <c r="AI17" s="113">
        <f t="shared" ref="AI17:AI26" si="17">RANK(I17,I$17:I$26)</f>
        <v>8</v>
      </c>
      <c r="AJ17" s="114">
        <f t="shared" ref="AJ17:AJ26" si="18">RANK(J17,J$17:J$26)</f>
        <v>10</v>
      </c>
      <c r="AK17" s="115">
        <f t="shared" ref="AK17:AK26" si="19">RANK(K17,K$17:K$26)</f>
        <v>1</v>
      </c>
      <c r="AL17" s="155">
        <v>0</v>
      </c>
    </row>
    <row r="18" spans="1:38" x14ac:dyDescent="0.25">
      <c r="A18" s="48" t="s">
        <v>35</v>
      </c>
      <c r="B18" s="49" t="s">
        <v>36</v>
      </c>
      <c r="C18" s="32">
        <f>Evaluation!D18</f>
        <v>13.417064810277948</v>
      </c>
      <c r="D18" s="33" t="s">
        <v>46</v>
      </c>
      <c r="E18" s="51">
        <f>Evaluation!G18/$C18</f>
        <v>2.6713622928899484E-3</v>
      </c>
      <c r="F18" s="52">
        <f>Evaluation!H18/$C18</f>
        <v>4.1262094839653577E-4</v>
      </c>
      <c r="G18" s="53">
        <f>Evaluation!I18/$C18</f>
        <v>2.1614265422482693E-4</v>
      </c>
      <c r="H18" s="53">
        <f>Evaluation!J18/$C18</f>
        <v>5.0681725818235289E-4</v>
      </c>
      <c r="I18" s="51">
        <f>Evaluation!K18/$C18</f>
        <v>0</v>
      </c>
      <c r="J18" s="52">
        <f>Evaluation!L18/$C18</f>
        <v>3.3067257713174339E-4</v>
      </c>
      <c r="K18" s="53">
        <f>Evaluation!M18/$C18</f>
        <v>1.2119284268940967E-4</v>
      </c>
      <c r="L18" s="55">
        <f>Evaluation!N18/$C18</f>
        <v>1.076591366090671E-4</v>
      </c>
      <c r="M18" s="37">
        <f>Evaluation!O18/$C18</f>
        <v>9.1545234868463147E-6</v>
      </c>
      <c r="N18" s="54">
        <f>Evaluation!P18/$C18</f>
        <v>1.17933640712694E-4</v>
      </c>
      <c r="O18" s="50">
        <f>Evaluation!Q18/$C18</f>
        <v>1.4851626102799826E-6</v>
      </c>
      <c r="P18" s="54">
        <f>Evaluation!R18/$C18</f>
        <v>1.6198915059268402E-4</v>
      </c>
      <c r="Q18" s="50">
        <f>Evaluation!S18/$C18</f>
        <v>1.5877945391770186E-5</v>
      </c>
      <c r="R18" s="54">
        <f>Evaluation!T18/$C18</f>
        <v>4.7455544023710472E-5</v>
      </c>
      <c r="S18" s="50">
        <f>Evaluation!U18/$C18</f>
        <v>1.2182643001945901E-5</v>
      </c>
      <c r="T18" s="54">
        <f>Evaluation!V18/$C18</f>
        <v>5.7231091331601409E-5</v>
      </c>
      <c r="U18" s="50">
        <f>Evaluation!W18/$C18</f>
        <v>0</v>
      </c>
      <c r="V18" s="54">
        <f>Evaluation!X18/$C18</f>
        <v>5.6338267873658139E-5</v>
      </c>
      <c r="W18" s="50">
        <f>Evaluation!Y18/$C18</f>
        <v>1.8442972431213541E-6</v>
      </c>
      <c r="X18" s="51">
        <f>Evaluation!Z18/$C18</f>
        <v>8.1348857918807523E-5</v>
      </c>
      <c r="Y18" s="56">
        <f>Evaluation!AA18/$C18</f>
        <v>4.3542463022132519E-7</v>
      </c>
      <c r="Z18" s="124"/>
      <c r="AB18" s="48" t="s">
        <v>35</v>
      </c>
      <c r="AC18" s="49" t="s">
        <v>36</v>
      </c>
      <c r="AD18" s="33" t="s">
        <v>46</v>
      </c>
      <c r="AE18" s="109">
        <f t="shared" si="13"/>
        <v>1</v>
      </c>
      <c r="AF18" s="110">
        <f t="shared" si="14"/>
        <v>1</v>
      </c>
      <c r="AG18" s="110">
        <f t="shared" si="15"/>
        <v>1</v>
      </c>
      <c r="AH18" s="111">
        <f t="shared" si="16"/>
        <v>1</v>
      </c>
      <c r="AI18" s="109">
        <f t="shared" si="17"/>
        <v>8</v>
      </c>
      <c r="AJ18" s="110">
        <f t="shared" si="18"/>
        <v>2</v>
      </c>
      <c r="AK18" s="111">
        <f t="shared" si="19"/>
        <v>2</v>
      </c>
      <c r="AL18" s="153">
        <v>0</v>
      </c>
    </row>
    <row r="19" spans="1:38" x14ac:dyDescent="0.25">
      <c r="A19" s="48" t="s">
        <v>37</v>
      </c>
      <c r="B19" s="49" t="s">
        <v>36</v>
      </c>
      <c r="C19" s="32">
        <f>Evaluation!D19</f>
        <v>80.418562154362306</v>
      </c>
      <c r="D19" s="33" t="s">
        <v>46</v>
      </c>
      <c r="E19" s="51">
        <f>Evaluation!G19/$C19</f>
        <v>8.0438282541521737E-4</v>
      </c>
      <c r="F19" s="52">
        <f>Evaluation!H19/$C19</f>
        <v>2.1428637181091894E-4</v>
      </c>
      <c r="G19" s="53">
        <f>Evaluation!I19/$C19</f>
        <v>1.3927132865795033E-4</v>
      </c>
      <c r="H19" s="53">
        <f>Evaluation!J19/$C19</f>
        <v>2.6237723523953147E-4</v>
      </c>
      <c r="I19" s="51">
        <f>Evaluation!K19/$C19</f>
        <v>2.2537335474808774E-4</v>
      </c>
      <c r="J19" s="52">
        <f>Evaluation!L19/$C19</f>
        <v>2.134115786233919E-4</v>
      </c>
      <c r="K19" s="53">
        <f>Evaluation!M19/$C19</f>
        <v>9.6802300697040414E-5</v>
      </c>
      <c r="L19" s="57">
        <f>Evaluation!N19/$C19</f>
        <v>7.1664820724470289E-5</v>
      </c>
      <c r="M19" s="51">
        <f>Evaluation!O19/$C19</f>
        <v>4.5858200837871548E-5</v>
      </c>
      <c r="N19" s="54">
        <f>Evaluation!P19/$C19</f>
        <v>6.6017559052883551E-5</v>
      </c>
      <c r="O19" s="50">
        <f>Evaluation!Q19/$C19</f>
        <v>4.5109303441512143E-5</v>
      </c>
      <c r="P19" s="54">
        <f>Evaluation!R19/$C19</f>
        <v>1.0636676057218475E-4</v>
      </c>
      <c r="Q19" s="50">
        <f>Evaluation!S19/$C19</f>
        <v>3.4461267599512045E-4</v>
      </c>
      <c r="R19" s="54">
        <f>Evaluation!T19/$C19</f>
        <v>2.8432277096272077E-5</v>
      </c>
      <c r="S19" s="50">
        <f>Evaluation!U19/$C19</f>
        <v>3.9306239379563277E-5</v>
      </c>
      <c r="T19" s="54">
        <f>Evaluation!V19/$C19</f>
        <v>3.2244589556819046E-5</v>
      </c>
      <c r="U19" s="50">
        <f>Evaluation!W19/$C19</f>
        <v>0</v>
      </c>
      <c r="V19" s="54">
        <f>Evaluation!X19/$C19</f>
        <v>3.7415159875321532E-5</v>
      </c>
      <c r="W19" s="50">
        <f>Evaluation!Y19/$C19</f>
        <v>9.458043005401965E-5</v>
      </c>
      <c r="X19" s="51">
        <f>Evaluation!Z19/$C19</f>
        <v>4.6406458337075096E-5</v>
      </c>
      <c r="Y19" s="56">
        <f>Evaluation!AA19/$C19</f>
        <v>1.2376974073932894E-5</v>
      </c>
      <c r="Z19" s="124"/>
      <c r="AB19" s="48" t="s">
        <v>37</v>
      </c>
      <c r="AC19" s="49" t="s">
        <v>36</v>
      </c>
      <c r="AD19" s="33" t="s">
        <v>46</v>
      </c>
      <c r="AE19" s="109">
        <f t="shared" si="13"/>
        <v>7</v>
      </c>
      <c r="AF19" s="110">
        <f t="shared" si="14"/>
        <v>7</v>
      </c>
      <c r="AG19" s="110">
        <f t="shared" si="15"/>
        <v>7</v>
      </c>
      <c r="AH19" s="111">
        <f t="shared" si="16"/>
        <v>7</v>
      </c>
      <c r="AI19" s="109">
        <f t="shared" si="17"/>
        <v>5</v>
      </c>
      <c r="AJ19" s="110">
        <f t="shared" si="18"/>
        <v>5</v>
      </c>
      <c r="AK19" s="111">
        <f t="shared" si="19"/>
        <v>7</v>
      </c>
      <c r="AL19" s="153">
        <v>0</v>
      </c>
    </row>
    <row r="20" spans="1:38" x14ac:dyDescent="0.25">
      <c r="A20" s="30" t="s">
        <v>27</v>
      </c>
      <c r="B20" s="31" t="s">
        <v>24</v>
      </c>
      <c r="C20" s="32">
        <f>Evaluation!D20</f>
        <v>73.893005735951661</v>
      </c>
      <c r="D20" s="33" t="s">
        <v>46</v>
      </c>
      <c r="E20" s="37">
        <f>Evaluation!G20/$C20</f>
        <v>1.2393352325162814E-3</v>
      </c>
      <c r="F20" s="38">
        <f>Evaluation!H20/$C20</f>
        <v>2.4997139763685127E-4</v>
      </c>
      <c r="G20" s="53">
        <f>Evaluation!I20/$C20</f>
        <v>1.556304265263475E-4</v>
      </c>
      <c r="H20" s="39">
        <f>Evaluation!J20/$C20</f>
        <v>3.8975272034424421E-4</v>
      </c>
      <c r="I20" s="37">
        <f>Evaluation!K20/$C20</f>
        <v>1.6760703108098228E-4</v>
      </c>
      <c r="J20" s="38">
        <f>Evaluation!L20/$C20</f>
        <v>2.2262330466881004E-4</v>
      </c>
      <c r="K20" s="39">
        <f>Evaluation!M20/$C20</f>
        <v>1.0652082360280514E-4</v>
      </c>
      <c r="L20" s="30"/>
      <c r="M20" s="31"/>
      <c r="N20" s="40"/>
      <c r="O20" s="41"/>
      <c r="P20" s="40"/>
      <c r="Q20" s="41"/>
      <c r="R20" s="40"/>
      <c r="S20" s="41"/>
      <c r="T20" s="40"/>
      <c r="U20" s="41"/>
      <c r="V20" s="40"/>
      <c r="W20" s="41"/>
      <c r="X20" s="31"/>
      <c r="Y20" s="33"/>
      <c r="Z20" s="124"/>
      <c r="AB20" s="30" t="s">
        <v>27</v>
      </c>
      <c r="AC20" s="31" t="s">
        <v>24</v>
      </c>
      <c r="AD20" s="33" t="s">
        <v>46</v>
      </c>
      <c r="AE20" s="113">
        <f t="shared" si="13"/>
        <v>5</v>
      </c>
      <c r="AF20" s="114">
        <f t="shared" si="14"/>
        <v>4</v>
      </c>
      <c r="AG20" s="114">
        <f t="shared" si="15"/>
        <v>4</v>
      </c>
      <c r="AH20" s="115">
        <f t="shared" si="16"/>
        <v>4</v>
      </c>
      <c r="AI20" s="113">
        <f t="shared" si="17"/>
        <v>6</v>
      </c>
      <c r="AJ20" s="114">
        <f t="shared" si="18"/>
        <v>4</v>
      </c>
      <c r="AK20" s="115">
        <f t="shared" si="19"/>
        <v>5</v>
      </c>
      <c r="AL20" s="153">
        <v>0</v>
      </c>
    </row>
    <row r="21" spans="1:38" x14ac:dyDescent="0.25">
      <c r="A21" s="48" t="s">
        <v>38</v>
      </c>
      <c r="B21" s="49" t="s">
        <v>36</v>
      </c>
      <c r="C21" s="32">
        <f>Evaluation!D21</f>
        <v>80.586734010599585</v>
      </c>
      <c r="D21" s="33" t="s">
        <v>46</v>
      </c>
      <c r="E21" s="51">
        <f>Evaluation!G21/$C21</f>
        <v>2.4933842994153215E-3</v>
      </c>
      <c r="F21" s="52">
        <f>Evaluation!H21/$C21</f>
        <v>3.6788273636634256E-4</v>
      </c>
      <c r="G21" s="53">
        <f>Evaluation!I21/$C21</f>
        <v>1.8861665243811396E-4</v>
      </c>
      <c r="H21" s="53">
        <f>Evaluation!J21/$C21</f>
        <v>5.0008230876684163E-4</v>
      </c>
      <c r="I21" s="51">
        <f>Evaluation!K21/$C21</f>
        <v>2.9638685049753741E-4</v>
      </c>
      <c r="J21" s="52">
        <f>Evaluation!L21/$C21</f>
        <v>3.0388138929586327E-4</v>
      </c>
      <c r="K21" s="53">
        <f>Evaluation!M21/$C21</f>
        <v>1.1588609702590937E-4</v>
      </c>
      <c r="L21" s="57">
        <f>Evaluation!N21/$C21</f>
        <v>6.6537926683261678E-5</v>
      </c>
      <c r="M21" s="51">
        <f>Evaluation!O21/$C21</f>
        <v>4.8549920822069737E-5</v>
      </c>
      <c r="N21" s="54">
        <f>Evaluation!P21/$C21</f>
        <v>7.2027195692701918E-5</v>
      </c>
      <c r="O21" s="50">
        <f>Evaluation!Q21/$C21</f>
        <v>8.5893687136453364E-6</v>
      </c>
      <c r="P21" s="54">
        <f>Evaluation!R21/$C21</f>
        <v>1.1043935365138146E-4</v>
      </c>
      <c r="Q21" s="50">
        <f>Evaluation!S21/$C21</f>
        <v>6.1282846171171313E-5</v>
      </c>
      <c r="R21" s="54">
        <f>Evaluation!T21/$C21</f>
        <v>4.141463503055192E-5</v>
      </c>
      <c r="S21" s="50">
        <f>Evaluation!U21/$C21</f>
        <v>2.7243731287182109E-5</v>
      </c>
      <c r="T21" s="54">
        <f>Evaluation!V21/$C21</f>
        <v>2.8261786074572489E-5</v>
      </c>
      <c r="U21" s="50">
        <f>Evaluation!W21/$C21</f>
        <v>0</v>
      </c>
      <c r="V21" s="54">
        <f>Evaluation!X21/$C21</f>
        <v>3.9416071095843327E-5</v>
      </c>
      <c r="W21" s="50">
        <f>Evaluation!Y21/$C21</f>
        <v>3.1243593418083551E-5</v>
      </c>
      <c r="X21" s="51">
        <f>Evaluation!Z21/$C21</f>
        <v>2.639407853370504E-5</v>
      </c>
      <c r="Y21" s="56">
        <f>Evaluation!AA21/$C21</f>
        <v>1.4409070095664566E-6</v>
      </c>
      <c r="Z21" s="124"/>
      <c r="AB21" s="48" t="s">
        <v>38</v>
      </c>
      <c r="AC21" s="49" t="s">
        <v>36</v>
      </c>
      <c r="AD21" s="33" t="s">
        <v>46</v>
      </c>
      <c r="AE21" s="109">
        <f t="shared" si="13"/>
        <v>3</v>
      </c>
      <c r="AF21" s="110">
        <f t="shared" si="14"/>
        <v>2</v>
      </c>
      <c r="AG21" s="110">
        <f t="shared" si="15"/>
        <v>2</v>
      </c>
      <c r="AH21" s="111">
        <f t="shared" si="16"/>
        <v>2</v>
      </c>
      <c r="AI21" s="109">
        <f t="shared" si="17"/>
        <v>3</v>
      </c>
      <c r="AJ21" s="110">
        <f t="shared" si="18"/>
        <v>3</v>
      </c>
      <c r="AK21" s="111">
        <f t="shared" si="19"/>
        <v>3</v>
      </c>
      <c r="AL21" s="153">
        <v>1</v>
      </c>
    </row>
    <row r="22" spans="1:38" x14ac:dyDescent="0.25">
      <c r="A22" s="48" t="s">
        <v>39</v>
      </c>
      <c r="B22" s="49" t="s">
        <v>36</v>
      </c>
      <c r="C22" s="32">
        <f>Evaluation!D22</f>
        <v>50.418970229565204</v>
      </c>
      <c r="D22" s="44" t="s">
        <v>46</v>
      </c>
      <c r="E22" s="51">
        <f>Evaluation!G22/$C22</f>
        <v>1.9994244685031751E-3</v>
      </c>
      <c r="F22" s="52">
        <f>Evaluation!H22/$C22</f>
        <v>2.1785607162662376E-4</v>
      </c>
      <c r="G22" s="53">
        <f>Evaluation!I22/$C22</f>
        <v>1.5867043621824859E-4</v>
      </c>
      <c r="H22" s="53">
        <f>Evaluation!J22/$C22</f>
        <v>4.105597537147182E-4</v>
      </c>
      <c r="I22" s="51">
        <f>Evaluation!K22/$C22</f>
        <v>2.0113402940957524E-3</v>
      </c>
      <c r="J22" s="52">
        <f>Evaluation!L22/$C22</f>
        <v>1.7355641932976712E-4</v>
      </c>
      <c r="K22" s="53">
        <f>Evaluation!M22/$C22</f>
        <v>1.0146605322299953E-4</v>
      </c>
      <c r="L22" s="57">
        <f>Evaluation!N22/$C22</f>
        <v>5.990432418152898E-5</v>
      </c>
      <c r="M22" s="51">
        <f>Evaluation!O22/$C22</f>
        <v>8.484547183348286E-6</v>
      </c>
      <c r="N22" s="54">
        <f>Evaluation!P22/$C22</f>
        <v>5.4757336644321988E-5</v>
      </c>
      <c r="O22" s="50">
        <f>Evaluation!Q22/$C22</f>
        <v>1.8533575374213491E-6</v>
      </c>
      <c r="P22" s="54">
        <f>Evaluation!R22/$C22</f>
        <v>1.1898348648986521E-4</v>
      </c>
      <c r="Q22" s="50">
        <f>Evaluation!S22/$C22</f>
        <v>1.7741013023000147E-5</v>
      </c>
      <c r="R22" s="54">
        <f>Evaluation!T22/$C22</f>
        <v>3.8642983943745017E-5</v>
      </c>
      <c r="S22" s="50">
        <f>Evaluation!U22/$C22</f>
        <v>6.5466030412081063E-6</v>
      </c>
      <c r="T22" s="54">
        <f>Evaluation!V22/$C22</f>
        <v>2.1626017108771322E-5</v>
      </c>
      <c r="U22" s="50">
        <f>Evaluation!W22/$C22</f>
        <v>0</v>
      </c>
      <c r="V22" s="54">
        <f>Evaluation!X22/$C22</f>
        <v>4.2967067065043288E-5</v>
      </c>
      <c r="W22" s="50">
        <f>Evaluation!Y22/$C22</f>
        <v>6.4661963373939243E-6</v>
      </c>
      <c r="X22" s="51">
        <f>Evaluation!Z22/$C22</f>
        <v>1.5669395345373848E-5</v>
      </c>
      <c r="Y22" s="56">
        <f>Evaluation!AA22/$C22</f>
        <v>0</v>
      </c>
      <c r="Z22" s="124"/>
      <c r="AB22" s="48" t="s">
        <v>39</v>
      </c>
      <c r="AC22" s="49" t="s">
        <v>36</v>
      </c>
      <c r="AD22" s="44" t="s">
        <v>46</v>
      </c>
      <c r="AE22" s="109">
        <f t="shared" si="13"/>
        <v>4</v>
      </c>
      <c r="AF22" s="110">
        <f t="shared" si="14"/>
        <v>6</v>
      </c>
      <c r="AG22" s="110">
        <f t="shared" si="15"/>
        <v>3</v>
      </c>
      <c r="AH22" s="111">
        <f t="shared" si="16"/>
        <v>3</v>
      </c>
      <c r="AI22" s="109">
        <f t="shared" si="17"/>
        <v>1</v>
      </c>
      <c r="AJ22" s="110">
        <f t="shared" si="18"/>
        <v>7</v>
      </c>
      <c r="AK22" s="111">
        <f t="shared" si="19"/>
        <v>6</v>
      </c>
      <c r="AL22" s="153">
        <v>0</v>
      </c>
    </row>
    <row r="23" spans="1:38" x14ac:dyDescent="0.25">
      <c r="A23" s="48" t="s">
        <v>79</v>
      </c>
      <c r="B23" s="49" t="s">
        <v>36</v>
      </c>
      <c r="C23" s="32">
        <f>Evaluation!D23</f>
        <v>26.813464936262818</v>
      </c>
      <c r="D23" s="44" t="s">
        <v>46</v>
      </c>
      <c r="E23" s="51">
        <f>Evaluation!G23/$C23</f>
        <v>9.7004824566497333E-4</v>
      </c>
      <c r="F23" s="52">
        <f>Evaluation!H23/$C23</f>
        <v>3.6739408488364091E-4</v>
      </c>
      <c r="G23" s="53">
        <f>Evaluation!I23/$C23</f>
        <v>1.5290825000595563E-4</v>
      </c>
      <c r="H23" s="53">
        <f>Evaluation!J23/$C23</f>
        <v>3.2819331708595353E-4</v>
      </c>
      <c r="I23" s="51">
        <f>Evaluation!K23/$C23</f>
        <v>2.6146658171591412E-4</v>
      </c>
      <c r="J23" s="52">
        <f>Evaluation!L23/$C23</f>
        <v>3.7073569577549323E-4</v>
      </c>
      <c r="K23" s="53">
        <f>Evaluation!M23/$C23</f>
        <v>9.6794609175569169E-5</v>
      </c>
      <c r="L23" s="57">
        <f>Evaluation!N23/$C23</f>
        <v>2.5581679744345769E-4</v>
      </c>
      <c r="M23" s="51">
        <f>Evaluation!O23/$C23</f>
        <v>5.3928446585945276E-5</v>
      </c>
      <c r="N23" s="54">
        <f>Evaluation!P23/$C23</f>
        <v>2.895418751482324E-4</v>
      </c>
      <c r="O23" s="50">
        <f>Evaluation!Q23/$C23</f>
        <v>5.1807111840572821E-5</v>
      </c>
      <c r="P23" s="54">
        <f>Evaluation!R23/$C23</f>
        <v>3.1144325141550929E-4</v>
      </c>
      <c r="Q23" s="50">
        <f>Evaluation!S23/$C23</f>
        <v>4.0158567378008645E-4</v>
      </c>
      <c r="R23" s="54">
        <f>Evaluation!T23/$C23</f>
        <v>5.9352308021995209E-5</v>
      </c>
      <c r="S23" s="50">
        <f>Evaluation!U23/$C23</f>
        <v>4.3545542346991506E-5</v>
      </c>
      <c r="T23" s="54">
        <f>Evaluation!V23/$C23</f>
        <v>1.4856401136000216E-5</v>
      </c>
      <c r="U23" s="50">
        <f>Evaluation!W23/$C23</f>
        <v>0</v>
      </c>
      <c r="V23" s="54">
        <f>Evaluation!X23/$C23</f>
        <v>1.7132504534631761E-4</v>
      </c>
      <c r="W23" s="50">
        <f>Evaluation!Y23/$C23</f>
        <v>1.1369280141654388E-4</v>
      </c>
      <c r="X23" s="51">
        <f>Evaluation!Z23/$C23</f>
        <v>1.7161381211094651E-4</v>
      </c>
      <c r="Y23" s="56">
        <f>Evaluation!AA23/$C23</f>
        <v>1.3327710699829463E-5</v>
      </c>
      <c r="Z23" s="124"/>
      <c r="AB23" s="48" t="s">
        <v>79</v>
      </c>
      <c r="AC23" s="49" t="s">
        <v>36</v>
      </c>
      <c r="AD23" s="44" t="s">
        <v>46</v>
      </c>
      <c r="AE23" s="109">
        <f t="shared" si="13"/>
        <v>6</v>
      </c>
      <c r="AF23" s="110">
        <f t="shared" si="14"/>
        <v>3</v>
      </c>
      <c r="AG23" s="110">
        <f t="shared" si="15"/>
        <v>5</v>
      </c>
      <c r="AH23" s="111">
        <f t="shared" si="16"/>
        <v>5</v>
      </c>
      <c r="AI23" s="109">
        <f t="shared" si="17"/>
        <v>4</v>
      </c>
      <c r="AJ23" s="110">
        <f t="shared" si="18"/>
        <v>1</v>
      </c>
      <c r="AK23" s="111">
        <f t="shared" si="19"/>
        <v>8</v>
      </c>
      <c r="AL23" s="153">
        <v>1</v>
      </c>
    </row>
    <row r="24" spans="1:38" x14ac:dyDescent="0.25">
      <c r="A24" s="48" t="s">
        <v>42</v>
      </c>
      <c r="B24" s="49" t="s">
        <v>36</v>
      </c>
      <c r="C24" s="32">
        <f>Evaluation!D24</f>
        <v>53.535572304011666</v>
      </c>
      <c r="D24" s="44" t="s">
        <v>46</v>
      </c>
      <c r="E24" s="51">
        <f>Evaluation!G24/$C24</f>
        <v>5.0289806662985386E-4</v>
      </c>
      <c r="F24" s="52">
        <f>Evaluation!H24/$C24</f>
        <v>1.2952367866113875E-4</v>
      </c>
      <c r="G24" s="53">
        <f>Evaluation!I24/$C24</f>
        <v>9.7131678549560211E-5</v>
      </c>
      <c r="H24" s="53">
        <f>Evaluation!J24/$C24</f>
        <v>2.0547085847022353E-4</v>
      </c>
      <c r="I24" s="51">
        <f>Evaluation!K24/$C24</f>
        <v>2.7766901025438012E-5</v>
      </c>
      <c r="J24" s="52">
        <f>Evaluation!L24/$C24</f>
        <v>1.1797541030697987E-4</v>
      </c>
      <c r="K24" s="53">
        <f>Evaluation!M24/$C24</f>
        <v>5.6320130013168793E-5</v>
      </c>
      <c r="L24" s="57">
        <f>Evaluation!N24/$C24</f>
        <v>7.6032604966172555E-5</v>
      </c>
      <c r="M24" s="51">
        <f>Evaluation!O24/$C24</f>
        <v>3.0456592058427512E-6</v>
      </c>
      <c r="N24" s="54">
        <f>Evaluation!P24/$C24</f>
        <v>5.4642878758189699E-5</v>
      </c>
      <c r="O24" s="50">
        <f>Evaluation!Q24/$C24</f>
        <v>7.4282594825582801E-6</v>
      </c>
      <c r="P24" s="54">
        <f>Evaluation!R24/$C24</f>
        <v>1.1588356623600591E-4</v>
      </c>
      <c r="Q24" s="50">
        <f>Evaluation!S24/$C24</f>
        <v>8.9179687027672892E-5</v>
      </c>
      <c r="R24" s="54">
        <f>Evaluation!T24/$C24</f>
        <v>2.6166207767483925E-5</v>
      </c>
      <c r="S24" s="50">
        <f>Evaluation!U24/$C24</f>
        <v>1.1353370794022041E-5</v>
      </c>
      <c r="T24" s="54">
        <f>Evaluation!V24/$C24</f>
        <v>2.0360625626651432E-5</v>
      </c>
      <c r="U24" s="50">
        <f>Evaluation!W24/$C24</f>
        <v>0</v>
      </c>
      <c r="V24" s="54">
        <f>Evaluation!X24/$C24</f>
        <v>3.9694766931498204E-5</v>
      </c>
      <c r="W24" s="50">
        <f>Evaluation!Y24/$C24</f>
        <v>1.0173458434962383E-5</v>
      </c>
      <c r="X24" s="51">
        <f>Evaluation!Z24/$C24</f>
        <v>3.5162508148348804E-5</v>
      </c>
      <c r="Y24" s="56">
        <f>Evaluation!AA24/$C24</f>
        <v>1.0883280117613794E-6</v>
      </c>
      <c r="Z24" s="124"/>
      <c r="AB24" s="48" t="s">
        <v>42</v>
      </c>
      <c r="AC24" s="49" t="s">
        <v>36</v>
      </c>
      <c r="AD24" s="44" t="s">
        <v>46</v>
      </c>
      <c r="AE24" s="109">
        <f t="shared" si="13"/>
        <v>9</v>
      </c>
      <c r="AF24" s="110">
        <f t="shared" si="14"/>
        <v>9</v>
      </c>
      <c r="AG24" s="110">
        <f t="shared" si="15"/>
        <v>10</v>
      </c>
      <c r="AH24" s="111">
        <f t="shared" si="16"/>
        <v>10</v>
      </c>
      <c r="AI24" s="109">
        <f t="shared" si="17"/>
        <v>7</v>
      </c>
      <c r="AJ24" s="110">
        <f t="shared" si="18"/>
        <v>8</v>
      </c>
      <c r="AK24" s="111">
        <f t="shared" si="19"/>
        <v>10</v>
      </c>
      <c r="AL24" s="153">
        <v>0</v>
      </c>
    </row>
    <row r="25" spans="1:38" x14ac:dyDescent="0.25">
      <c r="A25" s="30" t="s">
        <v>30</v>
      </c>
      <c r="B25" s="31" t="s">
        <v>24</v>
      </c>
      <c r="C25" s="32">
        <f>Evaluation!D25</f>
        <v>66.869240575577706</v>
      </c>
      <c r="D25" s="33" t="s">
        <v>46</v>
      </c>
      <c r="E25" s="37">
        <f>Evaluation!G25/$C25</f>
        <v>5.6938963790650627E-4</v>
      </c>
      <c r="F25" s="38">
        <f>Evaluation!H25/$C25</f>
        <v>2.188188450332691E-4</v>
      </c>
      <c r="G25" s="53">
        <f>Evaluation!I25/$C25</f>
        <v>1.5253650127029097E-4</v>
      </c>
      <c r="H25" s="39">
        <f>Evaluation!J25/$C25</f>
        <v>2.9759572306654804E-4</v>
      </c>
      <c r="I25" s="37">
        <f>Evaluation!K25/$C25</f>
        <v>3.7746183430711037E-4</v>
      </c>
      <c r="J25" s="38">
        <f>Evaluation!L25/$C25</f>
        <v>2.0281417402396107E-4</v>
      </c>
      <c r="K25" s="39">
        <f>Evaluation!M25/$C25</f>
        <v>1.1392875447434991E-4</v>
      </c>
      <c r="L25" s="30"/>
      <c r="M25" s="31"/>
      <c r="N25" s="40"/>
      <c r="O25" s="41"/>
      <c r="P25" s="40"/>
      <c r="Q25" s="41"/>
      <c r="R25" s="40"/>
      <c r="S25" s="41"/>
      <c r="T25" s="40"/>
      <c r="U25" s="41"/>
      <c r="V25" s="40"/>
      <c r="W25" s="41"/>
      <c r="X25" s="31"/>
      <c r="Y25" s="33"/>
      <c r="Z25" s="124"/>
      <c r="AB25" s="30" t="s">
        <v>30</v>
      </c>
      <c r="AC25" s="31" t="s">
        <v>24</v>
      </c>
      <c r="AD25" s="33" t="s">
        <v>46</v>
      </c>
      <c r="AE25" s="113">
        <f t="shared" si="13"/>
        <v>8</v>
      </c>
      <c r="AF25" s="114">
        <f t="shared" si="14"/>
        <v>5</v>
      </c>
      <c r="AG25" s="114">
        <f t="shared" si="15"/>
        <v>6</v>
      </c>
      <c r="AH25" s="115">
        <f t="shared" si="16"/>
        <v>6</v>
      </c>
      <c r="AI25" s="113">
        <f t="shared" si="17"/>
        <v>2</v>
      </c>
      <c r="AJ25" s="114">
        <f t="shared" si="18"/>
        <v>6</v>
      </c>
      <c r="AK25" s="115">
        <f t="shared" si="19"/>
        <v>4</v>
      </c>
      <c r="AL25" s="153">
        <v>1</v>
      </c>
    </row>
    <row r="26" spans="1:38" ht="15.75" thickBot="1" x14ac:dyDescent="0.3">
      <c r="A26" s="59" t="s">
        <v>45</v>
      </c>
      <c r="B26" s="60" t="s">
        <v>36</v>
      </c>
      <c r="C26" s="45">
        <f>Evaluation!D26</f>
        <v>12.536395410948526</v>
      </c>
      <c r="D26" s="46" t="s">
        <v>46</v>
      </c>
      <c r="E26" s="63">
        <f>Evaluation!G26/$C26</f>
        <v>2.6688556263307389E-3</v>
      </c>
      <c r="F26" s="64">
        <f>Evaluation!H26/$C26</f>
        <v>1.731854100976979E-4</v>
      </c>
      <c r="G26" s="53">
        <f>Evaluation!I26/$C26</f>
        <v>1.3560516753606251E-4</v>
      </c>
      <c r="H26" s="65">
        <f>Evaluation!J26/$C26</f>
        <v>2.233496877064559E-4</v>
      </c>
      <c r="I26" s="63">
        <f>Evaluation!K26/$C26</f>
        <v>0</v>
      </c>
      <c r="J26" s="64">
        <f>Evaluation!L26/$C26</f>
        <v>8.252683729101193E-5</v>
      </c>
      <c r="K26" s="65">
        <f>Evaluation!M26/$C26</f>
        <v>6.2377587019402193E-5</v>
      </c>
      <c r="L26" s="66">
        <f>Evaluation!N26/$C26</f>
        <v>1.5169059178054807E-4</v>
      </c>
      <c r="M26" s="63">
        <f>Evaluation!O26/$C26</f>
        <v>1.8570709905330616E-5</v>
      </c>
      <c r="N26" s="61">
        <f>Evaluation!P26/$C26</f>
        <v>1.0690264532049179E-4</v>
      </c>
      <c r="O26" s="62">
        <f>Evaluation!Q26/$C26</f>
        <v>2.4156331754863388E-5</v>
      </c>
      <c r="P26" s="61">
        <f>Evaluation!R26/$C26</f>
        <v>2.2556648126510686E-4</v>
      </c>
      <c r="Q26" s="62">
        <f>Evaluation!S26/$C26</f>
        <v>2.4817857534982503E-5</v>
      </c>
      <c r="R26" s="61">
        <f>Evaluation!T26/$C26</f>
        <v>5.1770946833402237E-5</v>
      </c>
      <c r="S26" s="62">
        <f>Evaluation!U26/$C26</f>
        <v>4.785677273918265E-5</v>
      </c>
      <c r="T26" s="61">
        <f>Evaluation!V26/$C26</f>
        <v>4.2952107130902353E-5</v>
      </c>
      <c r="U26" s="62">
        <f>Evaluation!W26/$C26</f>
        <v>0</v>
      </c>
      <c r="V26" s="61">
        <f>Evaluation!X26/$C26</f>
        <v>7.9174716429892649E-5</v>
      </c>
      <c r="W26" s="62">
        <f>Evaluation!Y26/$C26</f>
        <v>3.6500430713074783E-6</v>
      </c>
      <c r="X26" s="63">
        <f>Evaluation!Z26/$C26</f>
        <v>7.4290372173871225E-5</v>
      </c>
      <c r="Y26" s="67">
        <f>Evaluation!AA26/$C26</f>
        <v>0</v>
      </c>
      <c r="Z26" s="125"/>
      <c r="AB26" s="59" t="s">
        <v>45</v>
      </c>
      <c r="AC26" s="60" t="s">
        <v>36</v>
      </c>
      <c r="AD26" s="46" t="s">
        <v>46</v>
      </c>
      <c r="AE26" s="112">
        <f t="shared" si="13"/>
        <v>2</v>
      </c>
      <c r="AF26" s="116">
        <f t="shared" si="14"/>
        <v>8</v>
      </c>
      <c r="AG26" s="116">
        <f t="shared" si="15"/>
        <v>8</v>
      </c>
      <c r="AH26" s="117">
        <f t="shared" si="16"/>
        <v>9</v>
      </c>
      <c r="AI26" s="112">
        <f t="shared" si="17"/>
        <v>8</v>
      </c>
      <c r="AJ26" s="116">
        <f t="shared" si="18"/>
        <v>9</v>
      </c>
      <c r="AK26" s="117">
        <f t="shared" si="19"/>
        <v>9</v>
      </c>
      <c r="AL26" s="154">
        <v>1</v>
      </c>
    </row>
    <row r="27" spans="1:38" ht="15.75" thickBot="1" x14ac:dyDescent="0.3">
      <c r="A27" s="80"/>
      <c r="B27" s="81"/>
      <c r="C27" s="82"/>
      <c r="D27" s="83"/>
      <c r="E27" s="84"/>
      <c r="F27" s="85"/>
      <c r="G27" s="85"/>
      <c r="H27" s="86"/>
      <c r="I27" s="84"/>
      <c r="J27" s="85"/>
      <c r="K27" s="86"/>
      <c r="L27" s="87"/>
      <c r="M27" s="84"/>
      <c r="N27" s="88"/>
      <c r="O27" s="89"/>
      <c r="P27" s="88"/>
      <c r="Q27" s="89"/>
      <c r="R27" s="88"/>
      <c r="S27" s="89"/>
      <c r="T27" s="88"/>
      <c r="U27" s="89"/>
      <c r="V27" s="88"/>
      <c r="W27" s="89"/>
      <c r="X27" s="84"/>
      <c r="Y27" s="90"/>
      <c r="Z27" s="83"/>
      <c r="AB27" s="80"/>
      <c r="AC27" s="81"/>
      <c r="AD27" s="83"/>
      <c r="AE27" s="84"/>
      <c r="AF27" s="85"/>
      <c r="AG27" s="85"/>
      <c r="AH27" s="86"/>
      <c r="AI27" s="84"/>
      <c r="AJ27" s="85"/>
      <c r="AK27" s="86"/>
      <c r="AL27" s="226">
        <f>SUM(AL17:AL26)</f>
        <v>4</v>
      </c>
    </row>
    <row r="28" spans="1:38" ht="15.75" thickBot="1" x14ac:dyDescent="0.3">
      <c r="A28" s="48"/>
      <c r="B28" s="49"/>
      <c r="C28" s="32"/>
      <c r="D28" s="44"/>
      <c r="E28" s="51"/>
      <c r="F28" s="52"/>
      <c r="G28" s="52"/>
      <c r="H28" s="53"/>
      <c r="I28" s="51"/>
      <c r="J28" s="52"/>
      <c r="K28" s="53"/>
      <c r="L28" s="57"/>
      <c r="M28" s="51"/>
      <c r="N28" s="54"/>
      <c r="O28" s="50"/>
      <c r="P28" s="54"/>
      <c r="Q28" s="50"/>
      <c r="R28" s="54"/>
      <c r="S28" s="50"/>
      <c r="T28" s="54"/>
      <c r="U28" s="50"/>
      <c r="V28" s="54"/>
      <c r="W28" s="50"/>
      <c r="X28" s="51"/>
      <c r="Y28" s="56"/>
      <c r="AB28" s="48"/>
      <c r="AC28" s="49"/>
      <c r="AD28" s="44"/>
      <c r="AE28" s="51"/>
      <c r="AF28" s="52"/>
      <c r="AG28" s="52"/>
      <c r="AH28" s="53"/>
      <c r="AI28" s="51"/>
      <c r="AJ28" s="52"/>
      <c r="AK28" s="53"/>
      <c r="AL28" s="121"/>
    </row>
    <row r="29" spans="1:38" ht="15.75" thickBot="1" x14ac:dyDescent="0.3">
      <c r="A29" s="91" t="s">
        <v>72</v>
      </c>
      <c r="B29" s="92"/>
      <c r="C29" s="93"/>
      <c r="D29" s="94"/>
      <c r="E29" s="92"/>
      <c r="F29" s="93"/>
      <c r="G29" s="93"/>
      <c r="H29" s="95"/>
      <c r="I29" s="92"/>
      <c r="J29" s="93"/>
      <c r="K29" s="95"/>
      <c r="L29" s="91"/>
      <c r="M29" s="92"/>
      <c r="N29" s="96"/>
      <c r="O29" s="97"/>
      <c r="P29" s="96"/>
      <c r="Q29" s="97"/>
      <c r="R29" s="96"/>
      <c r="S29" s="97"/>
      <c r="T29" s="96"/>
      <c r="U29" s="97"/>
      <c r="V29" s="96"/>
      <c r="W29" s="97"/>
      <c r="X29" s="92"/>
      <c r="Y29" s="94"/>
      <c r="Z29" s="122" t="s">
        <v>70</v>
      </c>
      <c r="AB29" s="91" t="s">
        <v>72</v>
      </c>
      <c r="AC29" s="92"/>
      <c r="AD29" s="94"/>
      <c r="AE29" s="92"/>
      <c r="AF29" s="93"/>
      <c r="AG29" s="93"/>
      <c r="AH29" s="95"/>
      <c r="AI29" s="92"/>
      <c r="AJ29" s="93"/>
      <c r="AK29" s="95"/>
      <c r="AL29" s="126" t="s">
        <v>89</v>
      </c>
    </row>
    <row r="30" spans="1:38" x14ac:dyDescent="0.25">
      <c r="A30" s="30" t="s">
        <v>28</v>
      </c>
      <c r="B30" s="31" t="s">
        <v>24</v>
      </c>
      <c r="C30" s="32">
        <f>Evaluation!D30</f>
        <v>101.49553996155278</v>
      </c>
      <c r="D30" s="33" t="s">
        <v>64</v>
      </c>
      <c r="E30" s="37">
        <f>Evaluation!G30/$C30</f>
        <v>0</v>
      </c>
      <c r="F30" s="38">
        <f>Evaluation!H30/$C30</f>
        <v>0</v>
      </c>
      <c r="G30" s="53">
        <f>Evaluation!I30/$C30</f>
        <v>0</v>
      </c>
      <c r="H30" s="39">
        <f>Evaluation!J30/$C30</f>
        <v>0</v>
      </c>
      <c r="I30" s="37">
        <f>Evaluation!K30/$C30</f>
        <v>0</v>
      </c>
      <c r="J30" s="38">
        <f>Evaluation!L30/$C30</f>
        <v>0</v>
      </c>
      <c r="K30" s="39">
        <f>Evaluation!M30/$C30</f>
        <v>0</v>
      </c>
      <c r="L30" s="30"/>
      <c r="M30" s="31"/>
      <c r="N30" s="40"/>
      <c r="O30" s="41"/>
      <c r="P30" s="40"/>
      <c r="Q30" s="41"/>
      <c r="R30" s="40"/>
      <c r="S30" s="41"/>
      <c r="T30" s="40"/>
      <c r="U30" s="41"/>
      <c r="V30" s="40"/>
      <c r="W30" s="41"/>
      <c r="X30" s="31"/>
      <c r="Y30" s="33"/>
      <c r="Z30" s="123"/>
      <c r="AB30" s="30" t="s">
        <v>28</v>
      </c>
      <c r="AC30" s="31" t="s">
        <v>24</v>
      </c>
      <c r="AD30" s="33" t="s">
        <v>64</v>
      </c>
      <c r="AE30" s="113">
        <f t="shared" ref="AE30:AK31" si="20">RANK(E30,E$30:E$35)</f>
        <v>4</v>
      </c>
      <c r="AF30" s="114">
        <f t="shared" si="20"/>
        <v>6</v>
      </c>
      <c r="AG30" s="114">
        <f t="shared" si="20"/>
        <v>6</v>
      </c>
      <c r="AH30" s="115">
        <f t="shared" si="20"/>
        <v>6</v>
      </c>
      <c r="AI30" s="113">
        <f t="shared" si="20"/>
        <v>5</v>
      </c>
      <c r="AJ30" s="114">
        <f t="shared" si="20"/>
        <v>6</v>
      </c>
      <c r="AK30" s="115">
        <f t="shared" si="20"/>
        <v>6</v>
      </c>
      <c r="AL30" s="155">
        <v>1</v>
      </c>
    </row>
    <row r="31" spans="1:38" x14ac:dyDescent="0.25">
      <c r="A31" s="48" t="s">
        <v>41</v>
      </c>
      <c r="B31" s="49" t="s">
        <v>36</v>
      </c>
      <c r="C31" s="32">
        <f>Evaluation!D31</f>
        <v>79.018206200126698</v>
      </c>
      <c r="D31" s="44" t="s">
        <v>64</v>
      </c>
      <c r="E31" s="51">
        <f>Evaluation!G31/$C31</f>
        <v>6.1834655205541427E-4</v>
      </c>
      <c r="F31" s="52">
        <f>Evaluation!H31/$C31</f>
        <v>3.0092294984994774E-4</v>
      </c>
      <c r="G31" s="53">
        <f>Evaluation!I31/$C31</f>
        <v>1.2275651987635791E-4</v>
      </c>
      <c r="H31" s="53">
        <f>Evaluation!J31/$C31</f>
        <v>4.3154611626637158E-4</v>
      </c>
      <c r="I31" s="51">
        <f>Evaluation!K31/$C31</f>
        <v>1.4174277901394699E-3</v>
      </c>
      <c r="J31" s="52">
        <f>Evaluation!L31/$C31</f>
        <v>2.9373475319817335E-4</v>
      </c>
      <c r="K31" s="53">
        <f>Evaluation!M31/$C31</f>
        <v>2.3718419674054623E-4</v>
      </c>
      <c r="L31" s="57">
        <f>Evaluation!N31/$C31</f>
        <v>3.149871160971207E-5</v>
      </c>
      <c r="M31" s="51">
        <f>Evaluation!O31/$C31</f>
        <v>5.3195826508202515E-7</v>
      </c>
      <c r="N31" s="54">
        <f>Evaluation!P31/$C31</f>
        <v>3.6012621890135885E-5</v>
      </c>
      <c r="O31" s="50">
        <f>Evaluation!Q31/$C31</f>
        <v>8.5373911982574468E-7</v>
      </c>
      <c r="P31" s="54">
        <f>Evaluation!R31/$C31</f>
        <v>4.2536834927634294E-5</v>
      </c>
      <c r="Q31" s="50">
        <f>Evaluation!S31/$C31</f>
        <v>1.5447839877538986E-6</v>
      </c>
      <c r="R31" s="54">
        <f>Evaluation!T31/$C31</f>
        <v>1.2709611112072094E-5</v>
      </c>
      <c r="S31" s="50">
        <f>Evaluation!U31/$C31</f>
        <v>4.3422926793709386E-7</v>
      </c>
      <c r="T31" s="54">
        <f>Evaluation!V31/$C31</f>
        <v>1.2372270893777494E-5</v>
      </c>
      <c r="U31" s="50">
        <f>Evaluation!W31/$C31</f>
        <v>0</v>
      </c>
      <c r="V31" s="54">
        <f>Evaluation!X31/$C31</f>
        <v>1.345535636972868E-5</v>
      </c>
      <c r="W31" s="50">
        <f>Evaluation!Y31/$C31</f>
        <v>3.2017413407241147E-7</v>
      </c>
      <c r="X31" s="51">
        <f>Evaluation!Z31/$C31</f>
        <v>2.5017661018733464E-5</v>
      </c>
      <c r="Y31" s="56">
        <f>Evaluation!AA31/$C31</f>
        <v>0</v>
      </c>
      <c r="Z31" s="124"/>
      <c r="AB31" s="48" t="s">
        <v>41</v>
      </c>
      <c r="AC31" s="49" t="s">
        <v>36</v>
      </c>
      <c r="AD31" s="44" t="s">
        <v>64</v>
      </c>
      <c r="AE31" s="109">
        <f t="shared" si="20"/>
        <v>3</v>
      </c>
      <c r="AF31" s="110">
        <f t="shared" si="20"/>
        <v>1</v>
      </c>
      <c r="AG31" s="110">
        <f t="shared" si="20"/>
        <v>4</v>
      </c>
      <c r="AH31" s="111">
        <f t="shared" si="20"/>
        <v>3</v>
      </c>
      <c r="AI31" s="109">
        <f t="shared" si="20"/>
        <v>1</v>
      </c>
      <c r="AJ31" s="110">
        <f t="shared" si="20"/>
        <v>1</v>
      </c>
      <c r="AK31" s="111">
        <f t="shared" si="20"/>
        <v>4</v>
      </c>
      <c r="AL31" s="153">
        <v>1</v>
      </c>
    </row>
    <row r="32" spans="1:38" x14ac:dyDescent="0.25">
      <c r="A32" s="48" t="s">
        <v>80</v>
      </c>
      <c r="B32" s="49" t="s">
        <v>36</v>
      </c>
      <c r="C32" s="32">
        <f>Evaluation!D32</f>
        <v>91.336973086565536</v>
      </c>
      <c r="D32" s="44" t="s">
        <v>64</v>
      </c>
      <c r="E32" s="51">
        <f>Evaluation!G32/$C32</f>
        <v>0</v>
      </c>
      <c r="F32" s="52">
        <f>Evaluation!H32/$C32</f>
        <v>2.2028621168484127E-4</v>
      </c>
      <c r="G32" s="53">
        <f>Evaluation!I32/$C32</f>
        <v>1.5108886942115883E-4</v>
      </c>
      <c r="H32" s="53">
        <f>Evaluation!J32/$C32</f>
        <v>4.390335988252514E-4</v>
      </c>
      <c r="I32" s="51">
        <f>Evaluation!K32/$C32</f>
        <v>8.9745244166704427E-4</v>
      </c>
      <c r="J32" s="52">
        <f>Evaluation!L32/$C32</f>
        <v>2.3433133395855041E-4</v>
      </c>
      <c r="K32" s="53">
        <f>Evaluation!M32/$C32</f>
        <v>2.7634522803426432E-4</v>
      </c>
      <c r="L32" s="57">
        <f>Evaluation!N32/$C32</f>
        <v>6.7731132158672155E-5</v>
      </c>
      <c r="M32" s="51">
        <f>Evaluation!O32/$C32</f>
        <v>0</v>
      </c>
      <c r="N32" s="54">
        <f>Evaluation!P32/$C32</f>
        <v>6.9527452354892083E-5</v>
      </c>
      <c r="O32" s="50">
        <f>Evaluation!Q32/$C32</f>
        <v>0</v>
      </c>
      <c r="P32" s="54">
        <f>Evaluation!R32/$C32</f>
        <v>6.3109038669995979E-5</v>
      </c>
      <c r="Q32" s="50">
        <f>Evaluation!S32/$C32</f>
        <v>0</v>
      </c>
      <c r="R32" s="54">
        <f>Evaluation!T32/$C32</f>
        <v>1.2375898239990552E-5</v>
      </c>
      <c r="S32" s="50">
        <f>Evaluation!U32/$C32</f>
        <v>0</v>
      </c>
      <c r="T32" s="54">
        <f>Evaluation!V32/$C32</f>
        <v>2.3050198481290611E-6</v>
      </c>
      <c r="U32" s="50">
        <f>Evaluation!W32/$C32</f>
        <v>0</v>
      </c>
      <c r="V32" s="54">
        <f>Evaluation!X32/$C32</f>
        <v>3.1843478054596587E-5</v>
      </c>
      <c r="W32" s="50">
        <f>Evaluation!Y32/$C32</f>
        <v>0</v>
      </c>
      <c r="X32" s="51">
        <f>Evaluation!Z32/$C32</f>
        <v>5.3020118702175033E-5</v>
      </c>
      <c r="Y32" s="56">
        <f>Evaluation!AA32/$C32</f>
        <v>0</v>
      </c>
      <c r="Z32" s="124"/>
      <c r="AB32" s="48" t="s">
        <v>80</v>
      </c>
      <c r="AC32" s="49" t="s">
        <v>36</v>
      </c>
      <c r="AD32" s="44" t="s">
        <v>64</v>
      </c>
      <c r="AE32" s="109">
        <f t="shared" ref="AE32" si="21">RANK(E32,E$30:E$35)</f>
        <v>4</v>
      </c>
      <c r="AF32" s="110">
        <f t="shared" ref="AF32" si="22">RANK(F32,F$30:F$35)</f>
        <v>3</v>
      </c>
      <c r="AG32" s="110">
        <f>RANK(G32,G$30:G$35)</f>
        <v>1</v>
      </c>
      <c r="AH32" s="111">
        <f t="shared" ref="AH32" si="23">RANK(H32,H$30:H$35)</f>
        <v>2</v>
      </c>
      <c r="AI32" s="109">
        <f t="shared" ref="AI32" si="24">RANK(I32,I$30:I$35)</f>
        <v>4</v>
      </c>
      <c r="AJ32" s="110">
        <f t="shared" ref="AJ32" si="25">RANK(J32,J$30:J$35)</f>
        <v>2</v>
      </c>
      <c r="AK32" s="111">
        <f t="shared" ref="AK32" si="26">RANK(K32,K$30:K$35)</f>
        <v>2</v>
      </c>
      <c r="AL32" s="153">
        <v>0</v>
      </c>
    </row>
    <row r="33" spans="1:38" x14ac:dyDescent="0.25">
      <c r="A33" s="48" t="s">
        <v>51</v>
      </c>
      <c r="B33" s="49" t="s">
        <v>36</v>
      </c>
      <c r="C33" s="32">
        <f>Evaluation!D33</f>
        <v>74.335577372379845</v>
      </c>
      <c r="D33" s="44" t="s">
        <v>64</v>
      </c>
      <c r="E33" s="51">
        <f>Evaluation!G33/$C33</f>
        <v>0</v>
      </c>
      <c r="F33" s="52">
        <f>Evaluation!H33/$C33</f>
        <v>2.1065272284631246E-4</v>
      </c>
      <c r="G33" s="53">
        <f>Evaluation!I33/$C33</f>
        <v>1.4932284637267539E-4</v>
      </c>
      <c r="H33" s="53">
        <f>Evaluation!J33/$C33</f>
        <v>4.4527803738158151E-4</v>
      </c>
      <c r="I33" s="51">
        <f>Evaluation!K33/$C33</f>
        <v>0</v>
      </c>
      <c r="J33" s="52">
        <f>Evaluation!L33/$C33</f>
        <v>2.1500612600708412E-4</v>
      </c>
      <c r="K33" s="53">
        <f>Evaluation!M33/$C33</f>
        <v>2.6264886427235657E-4</v>
      </c>
      <c r="L33" s="57">
        <f>Evaluation!N33/$C33</f>
        <v>1.8600386733801157E-5</v>
      </c>
      <c r="M33" s="51">
        <f>Evaluation!O33/$C33</f>
        <v>2.8385787006012947E-12</v>
      </c>
      <c r="N33" s="54">
        <f>Evaluation!P33/$C33</f>
        <v>1.1448168101067577E-5</v>
      </c>
      <c r="O33" s="50">
        <f>Evaluation!Q33/$C33</f>
        <v>5.5347819828284679E-8</v>
      </c>
      <c r="P33" s="54">
        <f>Evaluation!R33/$C33</f>
        <v>2.5592175382863077E-5</v>
      </c>
      <c r="Q33" s="50">
        <f>Evaluation!S33/$C33</f>
        <v>1.0665179411199089E-7</v>
      </c>
      <c r="R33" s="54">
        <f>Evaluation!T33/$C33</f>
        <v>2.9681844644875121E-6</v>
      </c>
      <c r="S33" s="50">
        <f>Evaluation!U33/$C33</f>
        <v>3.3517808487007928E-7</v>
      </c>
      <c r="T33" s="54">
        <f>Evaluation!V33/$C33</f>
        <v>2.6876477762499255E-6</v>
      </c>
      <c r="U33" s="50">
        <f>Evaluation!W33/$C33</f>
        <v>0</v>
      </c>
      <c r="V33" s="54">
        <f>Evaluation!X33/$C33</f>
        <v>5.1596197289899436E-6</v>
      </c>
      <c r="W33" s="50">
        <f>Evaluation!Y33/$C33</f>
        <v>8.0518639407065713E-8</v>
      </c>
      <c r="X33" s="51">
        <f>Evaluation!Z33/$C33</f>
        <v>1.1221576647477306E-5</v>
      </c>
      <c r="Y33" s="56">
        <f>Evaluation!AA33/$C33</f>
        <v>0</v>
      </c>
      <c r="Z33" s="124"/>
      <c r="AB33" s="48" t="s">
        <v>51</v>
      </c>
      <c r="AC33" s="49" t="s">
        <v>36</v>
      </c>
      <c r="AD33" s="44" t="s">
        <v>64</v>
      </c>
      <c r="AE33" s="109">
        <f t="shared" ref="AE33:AF35" si="27">RANK(E33,E$30:E$35)</f>
        <v>4</v>
      </c>
      <c r="AF33" s="110">
        <f t="shared" si="27"/>
        <v>4</v>
      </c>
      <c r="AG33" s="110">
        <f>RANK(G33,G$30:G$35)</f>
        <v>2</v>
      </c>
      <c r="AH33" s="111">
        <f t="shared" ref="AH33:AK35" si="28">RANK(H33,H$30:H$35)</f>
        <v>1</v>
      </c>
      <c r="AI33" s="109">
        <f t="shared" si="28"/>
        <v>5</v>
      </c>
      <c r="AJ33" s="110">
        <f t="shared" si="28"/>
        <v>4</v>
      </c>
      <c r="AK33" s="111">
        <f t="shared" si="28"/>
        <v>3</v>
      </c>
      <c r="AL33" s="153">
        <v>1</v>
      </c>
    </row>
    <row r="34" spans="1:38" x14ac:dyDescent="0.25">
      <c r="A34" s="48" t="s">
        <v>60</v>
      </c>
      <c r="B34" s="49" t="s">
        <v>36</v>
      </c>
      <c r="C34" s="32">
        <f>Evaluation!D34</f>
        <v>22.641638808372765</v>
      </c>
      <c r="D34" s="44" t="s">
        <v>64</v>
      </c>
      <c r="E34" s="51">
        <f>Evaluation!G34/$C34</f>
        <v>1.4423647285318618E-3</v>
      </c>
      <c r="F34" s="52">
        <f>Evaluation!H34/$C34</f>
        <v>8.2634104137983727E-5</v>
      </c>
      <c r="G34" s="53">
        <f>Evaluation!I34/$C34</f>
        <v>1.4133252575412766E-4</v>
      </c>
      <c r="H34" s="53">
        <f>Evaluation!J34/$C34</f>
        <v>3.9308108725366755E-4</v>
      </c>
      <c r="I34" s="51">
        <f>Evaluation!K34/$C34</f>
        <v>9.8645057704130974E-4</v>
      </c>
      <c r="J34" s="52">
        <f>Evaluation!L34/$C34</f>
        <v>2.8531864304578271E-5</v>
      </c>
      <c r="K34" s="53">
        <f>Evaluation!M34/$C34</f>
        <v>2.9128058566987012E-4</v>
      </c>
      <c r="L34" s="57">
        <f>Evaluation!N34/$C34</f>
        <v>7.3610689757593539E-5</v>
      </c>
      <c r="M34" s="51">
        <f>Evaluation!O34/$C34</f>
        <v>0</v>
      </c>
      <c r="N34" s="54">
        <f>Evaluation!P34/$C34</f>
        <v>1.2360131048162946E-4</v>
      </c>
      <c r="O34" s="50">
        <f>Evaluation!Q34/$C34</f>
        <v>0</v>
      </c>
      <c r="P34" s="54">
        <f>Evaluation!R34/$C34</f>
        <v>1.1704386169818195E-4</v>
      </c>
      <c r="Q34" s="50">
        <f>Evaluation!S34/$C34</f>
        <v>0</v>
      </c>
      <c r="R34" s="54">
        <f>Evaluation!T34/$C34</f>
        <v>4.63529429968109E-5</v>
      </c>
      <c r="S34" s="50">
        <f>Evaluation!U34/$C34</f>
        <v>0</v>
      </c>
      <c r="T34" s="54">
        <f>Evaluation!V34/$C34</f>
        <v>4.9820315295075802E-5</v>
      </c>
      <c r="U34" s="50">
        <f>Evaluation!W34/$C34</f>
        <v>0</v>
      </c>
      <c r="V34" s="54">
        <f>Evaluation!X34/$C34</f>
        <v>4.3513594760984252E-5</v>
      </c>
      <c r="W34" s="50">
        <f>Evaluation!Y34/$C34</f>
        <v>0</v>
      </c>
      <c r="X34" s="51">
        <f>Evaluation!Z34/$C34</f>
        <v>4.0642036071705432E-5</v>
      </c>
      <c r="Y34" s="56">
        <f>Evaluation!AA34/$C34</f>
        <v>0</v>
      </c>
      <c r="Z34" s="124"/>
      <c r="AB34" s="48" t="s">
        <v>60</v>
      </c>
      <c r="AC34" s="49" t="s">
        <v>36</v>
      </c>
      <c r="AD34" s="44" t="s">
        <v>64</v>
      </c>
      <c r="AE34" s="109">
        <f t="shared" si="27"/>
        <v>1</v>
      </c>
      <c r="AF34" s="110">
        <f t="shared" si="27"/>
        <v>5</v>
      </c>
      <c r="AG34" s="110">
        <f>RANK(G34,G$30:G$35)</f>
        <v>3</v>
      </c>
      <c r="AH34" s="111">
        <f t="shared" si="28"/>
        <v>4</v>
      </c>
      <c r="AI34" s="109">
        <f t="shared" si="28"/>
        <v>3</v>
      </c>
      <c r="AJ34" s="110">
        <f t="shared" si="28"/>
        <v>5</v>
      </c>
      <c r="AK34" s="111">
        <f t="shared" si="28"/>
        <v>1</v>
      </c>
      <c r="AL34" s="153">
        <v>0</v>
      </c>
    </row>
    <row r="35" spans="1:38" ht="15.75" thickBot="1" x14ac:dyDescent="0.3">
      <c r="A35" s="48" t="s">
        <v>61</v>
      </c>
      <c r="B35" s="49" t="s">
        <v>36</v>
      </c>
      <c r="C35" s="32">
        <f>Evaluation!D35</f>
        <v>45.330448118318941</v>
      </c>
      <c r="D35" s="44" t="s">
        <v>64</v>
      </c>
      <c r="E35" s="51">
        <f>Evaluation!G35/$C35</f>
        <v>1.1596276777628236E-3</v>
      </c>
      <c r="F35" s="52">
        <f>Evaluation!H35/$C35</f>
        <v>2.4010917494901625E-4</v>
      </c>
      <c r="G35" s="53">
        <f>Evaluation!I35/$C35</f>
        <v>9.2652955669827054E-5</v>
      </c>
      <c r="H35" s="53">
        <f>Evaluation!J35/$C35</f>
        <v>3.1987329933630773E-4</v>
      </c>
      <c r="I35" s="51">
        <f>Evaluation!K35/$C35</f>
        <v>1.1499895741345733E-3</v>
      </c>
      <c r="J35" s="52">
        <f>Evaluation!L35/$C35</f>
        <v>2.1552129425957118E-4</v>
      </c>
      <c r="K35" s="53">
        <f>Evaluation!M35/$C35</f>
        <v>2.122212468889555E-4</v>
      </c>
      <c r="L35" s="57">
        <f>Evaluation!N35/$C35</f>
        <v>6.8480961855113266E-5</v>
      </c>
      <c r="M35" s="51">
        <f>Evaluation!O35/$C35</f>
        <v>0</v>
      </c>
      <c r="N35" s="54">
        <f>Evaluation!P35/$C35</f>
        <v>1.1507739491696093E-4</v>
      </c>
      <c r="O35" s="50">
        <f>Evaluation!Q35/$C35</f>
        <v>0</v>
      </c>
      <c r="P35" s="54">
        <f>Evaluation!R35/$C35</f>
        <v>1.0735061244071095E-4</v>
      </c>
      <c r="Q35" s="50">
        <f>Evaluation!S35/$C35</f>
        <v>0</v>
      </c>
      <c r="R35" s="54">
        <f>Evaluation!T35/$C35</f>
        <v>4.2802738917480447E-5</v>
      </c>
      <c r="S35" s="50">
        <f>Evaluation!U35/$C35</f>
        <v>0</v>
      </c>
      <c r="T35" s="54">
        <f>Evaluation!V35/$C35</f>
        <v>4.6810025732984673E-5</v>
      </c>
      <c r="U35" s="50">
        <f>Evaluation!W35/$C35</f>
        <v>0</v>
      </c>
      <c r="V35" s="54">
        <f>Evaluation!X35/$C35</f>
        <v>4.0117803689792352E-5</v>
      </c>
      <c r="W35" s="50">
        <f>Evaluation!Y35/$C35</f>
        <v>0</v>
      </c>
      <c r="X35" s="51">
        <f>Evaluation!Z35/$C35</f>
        <v>3.6130304420131187E-5</v>
      </c>
      <c r="Y35" s="56">
        <f>Evaluation!AA35/$C35</f>
        <v>0</v>
      </c>
      <c r="Z35" s="125"/>
      <c r="AB35" s="48" t="s">
        <v>61</v>
      </c>
      <c r="AC35" s="49" t="s">
        <v>36</v>
      </c>
      <c r="AD35" s="44" t="s">
        <v>64</v>
      </c>
      <c r="AE35" s="109">
        <f t="shared" si="27"/>
        <v>2</v>
      </c>
      <c r="AF35" s="110">
        <f t="shared" si="27"/>
        <v>2</v>
      </c>
      <c r="AG35" s="110">
        <f>RANK(G35,G$30:G$35)</f>
        <v>5</v>
      </c>
      <c r="AH35" s="111">
        <f t="shared" si="28"/>
        <v>5</v>
      </c>
      <c r="AI35" s="109">
        <f t="shared" si="28"/>
        <v>2</v>
      </c>
      <c r="AJ35" s="110">
        <f t="shared" si="28"/>
        <v>3</v>
      </c>
      <c r="AK35" s="111">
        <f t="shared" si="28"/>
        <v>5</v>
      </c>
      <c r="AL35" s="154">
        <v>1</v>
      </c>
    </row>
    <row r="36" spans="1:38" ht="15.75" thickBot="1" x14ac:dyDescent="0.3">
      <c r="A36" s="80"/>
      <c r="B36" s="81"/>
      <c r="C36" s="82"/>
      <c r="D36" s="83"/>
      <c r="E36" s="84"/>
      <c r="F36" s="85"/>
      <c r="G36" s="85"/>
      <c r="H36" s="86"/>
      <c r="I36" s="84"/>
      <c r="J36" s="85"/>
      <c r="K36" s="86"/>
      <c r="L36" s="87"/>
      <c r="M36" s="84"/>
      <c r="N36" s="88"/>
      <c r="O36" s="89"/>
      <c r="P36" s="88"/>
      <c r="Q36" s="89"/>
      <c r="R36" s="88"/>
      <c r="S36" s="89"/>
      <c r="T36" s="88"/>
      <c r="U36" s="89"/>
      <c r="V36" s="88"/>
      <c r="W36" s="89"/>
      <c r="X36" s="84"/>
      <c r="Y36" s="90"/>
      <c r="Z36" s="83"/>
      <c r="AB36" s="80"/>
      <c r="AC36" s="81"/>
      <c r="AD36" s="83"/>
      <c r="AE36" s="84"/>
      <c r="AF36" s="85"/>
      <c r="AG36" s="85"/>
      <c r="AH36" s="86"/>
      <c r="AI36" s="84"/>
      <c r="AJ36" s="85"/>
      <c r="AK36" s="86"/>
      <c r="AL36" s="226">
        <f>SUM(AL30:AL35)</f>
        <v>4</v>
      </c>
    </row>
    <row r="37" spans="1:38" ht="15.75" thickBot="1" x14ac:dyDescent="0.3">
      <c r="A37" s="48"/>
      <c r="B37" s="49"/>
      <c r="C37" s="32"/>
      <c r="D37" s="44"/>
      <c r="E37" s="51"/>
      <c r="F37" s="52"/>
      <c r="G37" s="52"/>
      <c r="H37" s="53"/>
      <c r="I37" s="51"/>
      <c r="J37" s="52"/>
      <c r="K37" s="53"/>
      <c r="L37" s="57"/>
      <c r="M37" s="51"/>
      <c r="N37" s="54"/>
      <c r="O37" s="50"/>
      <c r="P37" s="54"/>
      <c r="Q37" s="50"/>
      <c r="R37" s="54"/>
      <c r="S37" s="50"/>
      <c r="T37" s="54"/>
      <c r="U37" s="50"/>
      <c r="V37" s="54"/>
      <c r="W37" s="50"/>
      <c r="X37" s="51"/>
      <c r="Y37" s="56"/>
      <c r="AB37" s="48"/>
      <c r="AC37" s="49"/>
      <c r="AD37" s="44"/>
      <c r="AE37" s="51"/>
      <c r="AF37" s="52"/>
      <c r="AG37" s="52"/>
      <c r="AH37" s="53"/>
      <c r="AI37" s="51"/>
      <c r="AJ37" s="52"/>
      <c r="AK37" s="53"/>
      <c r="AL37" s="121"/>
    </row>
    <row r="38" spans="1:38" ht="15.75" thickBot="1" x14ac:dyDescent="0.3">
      <c r="A38" s="91" t="s">
        <v>69</v>
      </c>
      <c r="B38" s="92"/>
      <c r="C38" s="93"/>
      <c r="D38" s="94"/>
      <c r="E38" s="92"/>
      <c r="F38" s="93"/>
      <c r="G38" s="93"/>
      <c r="H38" s="95"/>
      <c r="I38" s="92"/>
      <c r="J38" s="93"/>
      <c r="K38" s="95"/>
      <c r="L38" s="91"/>
      <c r="M38" s="92"/>
      <c r="N38" s="96"/>
      <c r="O38" s="97"/>
      <c r="P38" s="96"/>
      <c r="Q38" s="97"/>
      <c r="R38" s="96"/>
      <c r="S38" s="97"/>
      <c r="T38" s="96"/>
      <c r="U38" s="97"/>
      <c r="V38" s="96"/>
      <c r="W38" s="97"/>
      <c r="X38" s="92"/>
      <c r="Y38" s="94"/>
      <c r="Z38" s="122" t="s">
        <v>70</v>
      </c>
      <c r="AB38" s="91" t="s">
        <v>69</v>
      </c>
      <c r="AC38" s="92"/>
      <c r="AD38" s="94"/>
      <c r="AE38" s="92"/>
      <c r="AF38" s="93"/>
      <c r="AG38" s="93"/>
      <c r="AH38" s="95"/>
      <c r="AI38" s="92"/>
      <c r="AJ38" s="93"/>
      <c r="AK38" s="95"/>
      <c r="AL38" s="126" t="s">
        <v>89</v>
      </c>
    </row>
    <row r="39" spans="1:38" x14ac:dyDescent="0.25">
      <c r="A39" s="68" t="s">
        <v>40</v>
      </c>
      <c r="B39" s="69" t="s">
        <v>36</v>
      </c>
      <c r="C39" s="22">
        <f>Evaluation!D39</f>
        <v>85.373403217248836</v>
      </c>
      <c r="D39" s="70" t="s">
        <v>65</v>
      </c>
      <c r="E39" s="73">
        <f>Evaluation!G39/$C39</f>
        <v>1.3042412278163029E-4</v>
      </c>
      <c r="F39" s="74">
        <f>Evaluation!H39/$C39</f>
        <v>2.8841956475717672E-4</v>
      </c>
      <c r="G39" s="53">
        <f>Evaluation!I39/$C39</f>
        <v>5.6223599143464951E-5</v>
      </c>
      <c r="H39" s="75">
        <f>Evaluation!J39/$C39</f>
        <v>1.3235972298357375E-4</v>
      </c>
      <c r="I39" s="73">
        <f>Evaluation!K39/$C39</f>
        <v>8.227617405756469E-4</v>
      </c>
      <c r="J39" s="74">
        <f>Evaluation!L39/$C39</f>
        <v>3.0050172903681421E-4</v>
      </c>
      <c r="K39" s="75">
        <f>Evaluation!M39/$C39</f>
        <v>3.2782598609855862E-4</v>
      </c>
      <c r="L39" s="76">
        <f>Evaluation!N39/$C39</f>
        <v>2.5946055042092746E-5</v>
      </c>
      <c r="M39" s="73">
        <f>Evaluation!O39/$C39</f>
        <v>0</v>
      </c>
      <c r="N39" s="71">
        <f>Evaluation!P39/$C39</f>
        <v>3.2042436339457305E-5</v>
      </c>
      <c r="O39" s="72">
        <f>Evaluation!Q39/$C39</f>
        <v>8.57623011434527E-6</v>
      </c>
      <c r="P39" s="71">
        <f>Evaluation!R39/$C39</f>
        <v>1.4944641467631843E-5</v>
      </c>
      <c r="Q39" s="72">
        <f>Evaluation!S39/$C39</f>
        <v>2.0687072087977374E-6</v>
      </c>
      <c r="R39" s="71">
        <f>Evaluation!T39/$C39</f>
        <v>1.4184698447391042E-5</v>
      </c>
      <c r="S39" s="72">
        <f>Evaluation!U39/$C39</f>
        <v>2.6347172458873337E-5</v>
      </c>
      <c r="T39" s="71">
        <f>Evaluation!V39/$C39</f>
        <v>1.6024387379980501E-5</v>
      </c>
      <c r="U39" s="72">
        <f>Evaluation!W39/$C39</f>
        <v>0</v>
      </c>
      <c r="V39" s="71">
        <f>Evaluation!X39/$C39</f>
        <v>3.8034420930664798E-6</v>
      </c>
      <c r="W39" s="72">
        <f>Evaluation!Y39/$C39</f>
        <v>8.5682881206203456E-6</v>
      </c>
      <c r="X39" s="73">
        <f>Evaluation!Z39/$C39</f>
        <v>2.5469593141609595E-6</v>
      </c>
      <c r="Y39" s="77">
        <f>Evaluation!AA39/$C39</f>
        <v>4.8484310038286775E-7</v>
      </c>
      <c r="Z39" s="123"/>
      <c r="AB39" s="68" t="s">
        <v>40</v>
      </c>
      <c r="AC39" s="69" t="s">
        <v>36</v>
      </c>
      <c r="AD39" s="70" t="s">
        <v>65</v>
      </c>
      <c r="AE39" s="118" t="e">
        <f t="shared" ref="AE39:AF47" si="29">RANK(E39,E$39:E$47)</f>
        <v>#N/A</v>
      </c>
      <c r="AF39" s="119" t="e">
        <f t="shared" si="29"/>
        <v>#N/A</v>
      </c>
      <c r="AG39" s="119" t="e">
        <f t="shared" ref="AG39:AK42" si="30">RANK(G39,G$39:G$47)</f>
        <v>#N/A</v>
      </c>
      <c r="AH39" s="120" t="e">
        <f t="shared" si="30"/>
        <v>#N/A</v>
      </c>
      <c r="AI39" s="118" t="e">
        <f t="shared" si="30"/>
        <v>#N/A</v>
      </c>
      <c r="AJ39" s="119" t="e">
        <f t="shared" si="30"/>
        <v>#N/A</v>
      </c>
      <c r="AK39" s="120" t="e">
        <f t="shared" si="30"/>
        <v>#N/A</v>
      </c>
      <c r="AL39" s="155">
        <v>1</v>
      </c>
    </row>
    <row r="40" spans="1:38" x14ac:dyDescent="0.25">
      <c r="A40" s="30" t="s">
        <v>29</v>
      </c>
      <c r="B40" s="31" t="s">
        <v>24</v>
      </c>
      <c r="C40" s="32">
        <f>Evaluation!D40</f>
        <v>137.02318723869843</v>
      </c>
      <c r="D40" s="44" t="s">
        <v>65</v>
      </c>
      <c r="E40" s="37">
        <f>Evaluation!G40/$C40</f>
        <v>1.7918776462533915E-4</v>
      </c>
      <c r="F40" s="38">
        <f>Evaluation!H40/$C40</f>
        <v>1.3559620478879614E-4</v>
      </c>
      <c r="G40" s="53">
        <f>Evaluation!I40/$C40</f>
        <v>2.627292557228795E-5</v>
      </c>
      <c r="H40" s="39">
        <f>Evaluation!J40/$C40</f>
        <v>7.0061134859434525E-5</v>
      </c>
      <c r="I40" s="37">
        <f>Evaluation!K40/$C40</f>
        <v>3.3064905480172357E-4</v>
      </c>
      <c r="J40" s="38">
        <f>Evaluation!L40/$C40</f>
        <v>1.3724494941311428E-4</v>
      </c>
      <c r="K40" s="39">
        <f>Evaluation!M40/$C40</f>
        <v>1.8670805686760275E-4</v>
      </c>
      <c r="L40" s="30"/>
      <c r="M40" s="31"/>
      <c r="N40" s="40"/>
      <c r="O40" s="41"/>
      <c r="P40" s="40"/>
      <c r="Q40" s="41"/>
      <c r="R40" s="40"/>
      <c r="S40" s="41"/>
      <c r="T40" s="40"/>
      <c r="U40" s="41"/>
      <c r="V40" s="40"/>
      <c r="W40" s="41"/>
      <c r="X40" s="31"/>
      <c r="Y40" s="33"/>
      <c r="Z40" s="124"/>
      <c r="AB40" s="30" t="s">
        <v>29</v>
      </c>
      <c r="AC40" s="31" t="s">
        <v>24</v>
      </c>
      <c r="AD40" s="44" t="s">
        <v>65</v>
      </c>
      <c r="AE40" s="113" t="e">
        <f t="shared" si="29"/>
        <v>#N/A</v>
      </c>
      <c r="AF40" s="114" t="e">
        <f t="shared" si="29"/>
        <v>#N/A</v>
      </c>
      <c r="AG40" s="114" t="e">
        <f t="shared" si="30"/>
        <v>#N/A</v>
      </c>
      <c r="AH40" s="115" t="e">
        <f t="shared" si="30"/>
        <v>#N/A</v>
      </c>
      <c r="AI40" s="113" t="e">
        <f t="shared" si="30"/>
        <v>#N/A</v>
      </c>
      <c r="AJ40" s="114" t="e">
        <f t="shared" si="30"/>
        <v>#N/A</v>
      </c>
      <c r="AK40" s="115" t="e">
        <f t="shared" si="30"/>
        <v>#N/A</v>
      </c>
      <c r="AL40" s="153">
        <v>1</v>
      </c>
    </row>
    <row r="41" spans="1:38" x14ac:dyDescent="0.25">
      <c r="A41" s="42" t="s">
        <v>32</v>
      </c>
      <c r="B41" s="43" t="s">
        <v>24</v>
      </c>
      <c r="C41" s="32">
        <f>Evaluation!D41</f>
        <v>925.07457039227711</v>
      </c>
      <c r="D41" s="44" t="s">
        <v>65</v>
      </c>
      <c r="E41" s="37" t="e">
        <f>Evaluation!G41/$C41</f>
        <v>#N/A</v>
      </c>
      <c r="F41" s="38" t="e">
        <f>Evaluation!H41/$C41</f>
        <v>#N/A</v>
      </c>
      <c r="G41" s="53" t="e">
        <f>Evaluation!I41/$C41</f>
        <v>#N/A</v>
      </c>
      <c r="H41" s="39" t="e">
        <f>Evaluation!J41/$C41</f>
        <v>#N/A</v>
      </c>
      <c r="I41" s="37" t="e">
        <f>Evaluation!K41/$C41</f>
        <v>#N/A</v>
      </c>
      <c r="J41" s="38" t="e">
        <f>Evaluation!L41/$C41</f>
        <v>#N/A</v>
      </c>
      <c r="K41" s="39" t="e">
        <f>Evaluation!M41/$C41</f>
        <v>#N/A</v>
      </c>
      <c r="L41" s="30"/>
      <c r="M41" s="31"/>
      <c r="N41" s="40"/>
      <c r="O41" s="41"/>
      <c r="P41" s="40"/>
      <c r="Q41" s="41"/>
      <c r="R41" s="40"/>
      <c r="S41" s="41"/>
      <c r="T41" s="40"/>
      <c r="U41" s="41"/>
      <c r="V41" s="40"/>
      <c r="W41" s="41"/>
      <c r="X41" s="31"/>
      <c r="Y41" s="33"/>
      <c r="Z41" s="124"/>
      <c r="AB41" s="128" t="s">
        <v>92</v>
      </c>
      <c r="AC41" s="43" t="s">
        <v>24</v>
      </c>
      <c r="AD41" s="44" t="s">
        <v>65</v>
      </c>
      <c r="AE41" s="113" t="e">
        <f t="shared" si="29"/>
        <v>#N/A</v>
      </c>
      <c r="AF41" s="114" t="e">
        <f t="shared" si="29"/>
        <v>#N/A</v>
      </c>
      <c r="AG41" s="114" t="e">
        <f t="shared" si="30"/>
        <v>#N/A</v>
      </c>
      <c r="AH41" s="115" t="e">
        <f t="shared" si="30"/>
        <v>#N/A</v>
      </c>
      <c r="AI41" s="113" t="e">
        <f t="shared" si="30"/>
        <v>#N/A</v>
      </c>
      <c r="AJ41" s="114" t="e">
        <f t="shared" si="30"/>
        <v>#N/A</v>
      </c>
      <c r="AK41" s="115" t="e">
        <f t="shared" si="30"/>
        <v>#N/A</v>
      </c>
      <c r="AL41" s="153">
        <v>1</v>
      </c>
    </row>
    <row r="42" spans="1:38" ht="33.75" customHeight="1" x14ac:dyDescent="0.25">
      <c r="A42" s="58" t="s">
        <v>68</v>
      </c>
      <c r="B42" s="49" t="s">
        <v>36</v>
      </c>
      <c r="C42" s="32">
        <f>Evaluation!D42</f>
        <v>687.43069920901894</v>
      </c>
      <c r="D42" s="44" t="s">
        <v>65</v>
      </c>
      <c r="E42" s="51" t="e">
        <f>Evaluation!G42/$C42</f>
        <v>#N/A</v>
      </c>
      <c r="F42" s="52" t="e">
        <f>Evaluation!H42/$C42</f>
        <v>#N/A</v>
      </c>
      <c r="G42" s="53" t="e">
        <f>Evaluation!I42/$C42</f>
        <v>#N/A</v>
      </c>
      <c r="H42" s="53" t="e">
        <f>Evaluation!J42/$C42</f>
        <v>#N/A</v>
      </c>
      <c r="I42" s="51" t="e">
        <f>Evaluation!K42/$C42</f>
        <v>#N/A</v>
      </c>
      <c r="J42" s="52" t="e">
        <f>Evaluation!L42/$C42</f>
        <v>#N/A</v>
      </c>
      <c r="K42" s="53" t="e">
        <f>Evaluation!M42/$C42</f>
        <v>#N/A</v>
      </c>
      <c r="L42" s="57">
        <f>Evaluation!N42/$C42</f>
        <v>5.5948833128368243E-8</v>
      </c>
      <c r="M42" s="51">
        <f>Evaluation!O42/$C42</f>
        <v>7.9672870162966525E-9</v>
      </c>
      <c r="N42" s="54">
        <f>Evaluation!P42/$C42</f>
        <v>5.8492520700045135E-8</v>
      </c>
      <c r="O42" s="50">
        <f>Evaluation!Q42/$C42</f>
        <v>3.8158122090757345E-7</v>
      </c>
      <c r="P42" s="54">
        <f>Evaluation!R42/$C42</f>
        <v>2.1530103174027561E-6</v>
      </c>
      <c r="Q42" s="50">
        <f>Evaluation!S42/$C42</f>
        <v>1.7970982505082821E-7</v>
      </c>
      <c r="R42" s="54">
        <f>Evaluation!T42/$C42</f>
        <v>5.182767860174888E-5</v>
      </c>
      <c r="S42" s="50">
        <f>Evaluation!U42/$C42</f>
        <v>5.9498120093350697E-7</v>
      </c>
      <c r="T42" s="54">
        <f>Evaluation!V42/$C42</f>
        <v>6.0193887472144374E-8</v>
      </c>
      <c r="U42" s="50">
        <f>Evaluation!W42/$C42</f>
        <v>0</v>
      </c>
      <c r="V42" s="54">
        <f>Evaluation!X42/$C42</f>
        <v>1.6293826031026929E-6</v>
      </c>
      <c r="W42" s="50">
        <f>Evaluation!Y42/$C42</f>
        <v>4.4209161338228994E-7</v>
      </c>
      <c r="X42" s="51">
        <f>Evaluation!Z42/$C42</f>
        <v>3.963575213139306E-8</v>
      </c>
      <c r="Y42" s="56">
        <f>Evaluation!AA42/$C42</f>
        <v>0</v>
      </c>
      <c r="Z42" s="124"/>
      <c r="AB42" s="129" t="s">
        <v>93</v>
      </c>
      <c r="AC42" s="49" t="s">
        <v>36</v>
      </c>
      <c r="AD42" s="44" t="s">
        <v>65</v>
      </c>
      <c r="AE42" s="109" t="e">
        <f t="shared" si="29"/>
        <v>#N/A</v>
      </c>
      <c r="AF42" s="110" t="e">
        <f t="shared" si="29"/>
        <v>#N/A</v>
      </c>
      <c r="AG42" s="110" t="e">
        <f t="shared" si="30"/>
        <v>#N/A</v>
      </c>
      <c r="AH42" s="111" t="e">
        <f t="shared" si="30"/>
        <v>#N/A</v>
      </c>
      <c r="AI42" s="109" t="e">
        <f t="shared" si="30"/>
        <v>#N/A</v>
      </c>
      <c r="AJ42" s="110" t="e">
        <f t="shared" si="30"/>
        <v>#N/A</v>
      </c>
      <c r="AK42" s="111" t="e">
        <f t="shared" si="30"/>
        <v>#N/A</v>
      </c>
      <c r="AL42" s="153">
        <v>1</v>
      </c>
    </row>
    <row r="43" spans="1:38" x14ac:dyDescent="0.25">
      <c r="A43" s="30" t="s">
        <v>31</v>
      </c>
      <c r="B43" s="31" t="s">
        <v>24</v>
      </c>
      <c r="C43" s="32">
        <f>Evaluation!D43</f>
        <v>107.79542960772275</v>
      </c>
      <c r="D43" s="44" t="s">
        <v>65</v>
      </c>
      <c r="E43" s="37">
        <f>Evaluation!G43/$C43</f>
        <v>3.5142325498750996E-4</v>
      </c>
      <c r="F43" s="38">
        <f>Evaluation!H43/$C43</f>
        <v>2.9602787598876826E-4</v>
      </c>
      <c r="G43" s="53">
        <f>Evaluation!I43/$C43</f>
        <v>1.0204514273035497E-5</v>
      </c>
      <c r="H43" s="39">
        <f>Evaluation!J43/$C43</f>
        <v>2.597512724045399E-5</v>
      </c>
      <c r="I43" s="37">
        <f>Evaluation!K43/$C43</f>
        <v>2.4236243394115784E-4</v>
      </c>
      <c r="J43" s="38">
        <f>Evaluation!L43/$C43</f>
        <v>3.0214566394608911E-4</v>
      </c>
      <c r="K43" s="39"/>
      <c r="L43" s="30"/>
      <c r="M43" s="31"/>
      <c r="N43" s="40"/>
      <c r="O43" s="41"/>
      <c r="P43" s="40"/>
      <c r="Q43" s="41"/>
      <c r="R43" s="40"/>
      <c r="S43" s="41"/>
      <c r="T43" s="40"/>
      <c r="U43" s="41"/>
      <c r="V43" s="40"/>
      <c r="W43" s="41"/>
      <c r="X43" s="31"/>
      <c r="Y43" s="33"/>
      <c r="Z43" s="124"/>
      <c r="AB43" s="30" t="s">
        <v>31</v>
      </c>
      <c r="AC43" s="31" t="s">
        <v>24</v>
      </c>
      <c r="AD43" s="44" t="s">
        <v>65</v>
      </c>
      <c r="AE43" s="113" t="e">
        <f t="shared" si="29"/>
        <v>#N/A</v>
      </c>
      <c r="AF43" s="114" t="e">
        <f t="shared" si="29"/>
        <v>#N/A</v>
      </c>
      <c r="AG43" s="114" t="e">
        <f t="shared" ref="AG43:AJ47" si="31">RANK(G43,G$39:G$47)</f>
        <v>#N/A</v>
      </c>
      <c r="AH43" s="115" t="e">
        <f t="shared" si="31"/>
        <v>#N/A</v>
      </c>
      <c r="AI43" s="113" t="e">
        <f t="shared" si="31"/>
        <v>#N/A</v>
      </c>
      <c r="AJ43" s="114" t="e">
        <f t="shared" si="31"/>
        <v>#N/A</v>
      </c>
      <c r="AK43" s="115"/>
      <c r="AL43" s="153">
        <v>1</v>
      </c>
    </row>
    <row r="44" spans="1:38" x14ac:dyDescent="0.25">
      <c r="A44" s="48" t="s">
        <v>55</v>
      </c>
      <c r="B44" s="49" t="s">
        <v>36</v>
      </c>
      <c r="C44" s="32">
        <f>Evaluation!D44</f>
        <v>26.593810021275132</v>
      </c>
      <c r="D44" s="44" t="s">
        <v>65</v>
      </c>
      <c r="E44" s="51">
        <f>Evaluation!G44/$C44</f>
        <v>5.6847348436518815E-4</v>
      </c>
      <c r="F44" s="52">
        <f>Evaluation!H44/$C44</f>
        <v>2.8486934256286272E-4</v>
      </c>
      <c r="G44" s="53">
        <f>Evaluation!I44/$C44</f>
        <v>3.7602735343299696E-5</v>
      </c>
      <c r="H44" s="53">
        <f>Evaluation!J44/$C44</f>
        <v>4.512328241195963E-5</v>
      </c>
      <c r="I44" s="51">
        <f>Evaluation!K44/$C44</f>
        <v>0</v>
      </c>
      <c r="J44" s="52">
        <f>Evaluation!L44/$C44</f>
        <v>2.6464162414889189E-4</v>
      </c>
      <c r="K44" s="53">
        <f>Evaluation!M44/$C44</f>
        <v>2.0717614731766693E-4</v>
      </c>
      <c r="L44" s="57">
        <f>Evaluation!N44/$C44</f>
        <v>2.1049747972132615E-8</v>
      </c>
      <c r="M44" s="51">
        <f>Evaluation!O44/$C44</f>
        <v>0</v>
      </c>
      <c r="N44" s="54">
        <f>Evaluation!P44/$C44</f>
        <v>1.6777576938652868E-8</v>
      </c>
      <c r="O44" s="50">
        <f>Evaluation!Q44/$C44</f>
        <v>1.7565668612830107E-6</v>
      </c>
      <c r="P44" s="54">
        <f>Evaluation!R44/$C44</f>
        <v>1.1999028511536351E-6</v>
      </c>
      <c r="Q44" s="50">
        <f>Evaluation!S44/$C44</f>
        <v>0</v>
      </c>
      <c r="R44" s="54">
        <f>Evaluation!T44/$C44</f>
        <v>4.0969568532170479E-5</v>
      </c>
      <c r="S44" s="50">
        <f>Evaluation!U44/$C44</f>
        <v>0</v>
      </c>
      <c r="T44" s="54">
        <f>Evaluation!V44/$C44</f>
        <v>1.2739553261606158E-6</v>
      </c>
      <c r="U44" s="50">
        <f>Evaluation!W44/$C44</f>
        <v>0</v>
      </c>
      <c r="V44" s="54">
        <f>Evaluation!X44/$C44</f>
        <v>7.3911977041120673E-7</v>
      </c>
      <c r="W44" s="50">
        <f>Evaluation!Y44/$C44</f>
        <v>1.7013194211681053E-7</v>
      </c>
      <c r="X44" s="51">
        <f>Evaluation!Z44/$C44</f>
        <v>2.1514523012068513E-8</v>
      </c>
      <c r="Y44" s="56">
        <f>Evaluation!AA44/$C44</f>
        <v>0</v>
      </c>
      <c r="Z44" s="124"/>
      <c r="AB44" s="48" t="s">
        <v>86</v>
      </c>
      <c r="AC44" s="49" t="s">
        <v>36</v>
      </c>
      <c r="AD44" s="44" t="s">
        <v>65</v>
      </c>
      <c r="AE44" s="109" t="e">
        <f t="shared" si="29"/>
        <v>#N/A</v>
      </c>
      <c r="AF44" s="110" t="e">
        <f t="shared" si="29"/>
        <v>#N/A</v>
      </c>
      <c r="AG44" s="110" t="e">
        <f t="shared" si="31"/>
        <v>#N/A</v>
      </c>
      <c r="AH44" s="111" t="e">
        <f t="shared" si="31"/>
        <v>#N/A</v>
      </c>
      <c r="AI44" s="109" t="e">
        <f t="shared" si="31"/>
        <v>#N/A</v>
      </c>
      <c r="AJ44" s="110" t="e">
        <f t="shared" si="31"/>
        <v>#N/A</v>
      </c>
      <c r="AK44" s="111" t="e">
        <f>RANK(K44,K$39:K$47)</f>
        <v>#N/A</v>
      </c>
      <c r="AL44" s="153">
        <v>1</v>
      </c>
    </row>
    <row r="45" spans="1:38" x14ac:dyDescent="0.25">
      <c r="A45" s="48" t="s">
        <v>56</v>
      </c>
      <c r="B45" s="49" t="s">
        <v>36</v>
      </c>
      <c r="C45" s="32">
        <f>Evaluation!D45</f>
        <v>10.955490769705944</v>
      </c>
      <c r="D45" s="44" t="s">
        <v>65</v>
      </c>
      <c r="E45" s="51">
        <f>Evaluation!G45/$C45</f>
        <v>1.6339821083895104E-3</v>
      </c>
      <c r="F45" s="52">
        <f>Evaluation!H45/$C45</f>
        <v>2.7900955129946787E-4</v>
      </c>
      <c r="G45" s="53">
        <f>Evaluation!I45/$C45</f>
        <v>4.5639215121480174E-5</v>
      </c>
      <c r="H45" s="53">
        <f>Evaluation!J45/$C45</f>
        <v>7.3022744194368286E-5</v>
      </c>
      <c r="I45" s="51">
        <f>Evaluation!K45/$C45</f>
        <v>7.0855231597520742E-3</v>
      </c>
      <c r="J45" s="52">
        <f>Evaluation!L45/$C45</f>
        <v>2.8477563419695203E-4</v>
      </c>
      <c r="K45" s="53">
        <f>Evaluation!M45/$C45</f>
        <v>1.9715132244354776E-4</v>
      </c>
      <c r="L45" s="57">
        <f>Evaluation!N45/$C45</f>
        <v>1.6875555473980935E-8</v>
      </c>
      <c r="M45" s="51">
        <f>Evaluation!O45/$C45</f>
        <v>0</v>
      </c>
      <c r="N45" s="54">
        <f>Evaluation!P45/$C45</f>
        <v>1.5399348540383432E-8</v>
      </c>
      <c r="O45" s="50">
        <f>Evaluation!Q45/$C45</f>
        <v>3.2544616813192765E-6</v>
      </c>
      <c r="P45" s="54">
        <f>Evaluation!R45/$C45</f>
        <v>1.5946149285301506E-6</v>
      </c>
      <c r="Q45" s="50">
        <f>Evaluation!S45/$C45</f>
        <v>7.5489221503608116E-7</v>
      </c>
      <c r="R45" s="54">
        <f>Evaluation!T45/$C45</f>
        <v>4.4246975094390414E-5</v>
      </c>
      <c r="S45" s="50">
        <f>Evaluation!U45/$C45</f>
        <v>7.5913793888570568E-6</v>
      </c>
      <c r="T45" s="54">
        <f>Evaluation!V45/$C45</f>
        <v>1.2178234722154287E-6</v>
      </c>
      <c r="U45" s="50">
        <f>Evaluation!W45/$C45</f>
        <v>0</v>
      </c>
      <c r="V45" s="54">
        <f>Evaluation!X45/$C45</f>
        <v>8.4930885726281549E-7</v>
      </c>
      <c r="W45" s="50">
        <f>Evaluation!Y45/$C45</f>
        <v>4.3304811620464965E-6</v>
      </c>
      <c r="X45" s="51">
        <f>Evaluation!Z45/$C45</f>
        <v>9.8163505398526529E-9</v>
      </c>
      <c r="Y45" s="56">
        <f>Evaluation!AA45/$C45</f>
        <v>0</v>
      </c>
      <c r="Z45" s="124"/>
      <c r="AB45" s="48" t="s">
        <v>87</v>
      </c>
      <c r="AC45" s="49" t="s">
        <v>36</v>
      </c>
      <c r="AD45" s="44" t="s">
        <v>65</v>
      </c>
      <c r="AE45" s="109" t="e">
        <f t="shared" si="29"/>
        <v>#N/A</v>
      </c>
      <c r="AF45" s="110" t="e">
        <f t="shared" si="29"/>
        <v>#N/A</v>
      </c>
      <c r="AG45" s="110" t="e">
        <f t="shared" si="31"/>
        <v>#N/A</v>
      </c>
      <c r="AH45" s="111" t="e">
        <f t="shared" si="31"/>
        <v>#N/A</v>
      </c>
      <c r="AI45" s="109" t="e">
        <f t="shared" si="31"/>
        <v>#N/A</v>
      </c>
      <c r="AJ45" s="110" t="e">
        <f t="shared" si="31"/>
        <v>#N/A</v>
      </c>
      <c r="AK45" s="111" t="e">
        <f>RANK(K45,K$39:K$47)</f>
        <v>#N/A</v>
      </c>
      <c r="AL45" s="153">
        <v>1</v>
      </c>
    </row>
    <row r="46" spans="1:38" x14ac:dyDescent="0.25">
      <c r="A46" s="48" t="s">
        <v>58</v>
      </c>
      <c r="B46" s="49" t="s">
        <v>36</v>
      </c>
      <c r="C46" s="32">
        <f>Evaluation!D46</f>
        <v>32.083536191323411</v>
      </c>
      <c r="D46" s="44" t="s">
        <v>65</v>
      </c>
      <c r="E46" s="51">
        <f>Evaluation!G46/$C46</f>
        <v>5.9789135380382925E-4</v>
      </c>
      <c r="F46" s="52">
        <f>Evaluation!H46/$C46</f>
        <v>2.0524992460975108E-4</v>
      </c>
      <c r="G46" s="53">
        <f>Evaluation!I46/$C46</f>
        <v>4.6752951141515885E-5</v>
      </c>
      <c r="H46" s="53">
        <f>Evaluation!J46/$C46</f>
        <v>1.4025885342454765E-4</v>
      </c>
      <c r="I46" s="51">
        <f>Evaluation!K46/$C46</f>
        <v>2.8590946292542212E-3</v>
      </c>
      <c r="J46" s="52">
        <f>Evaluation!L46/$C46</f>
        <v>1.919008706254215E-4</v>
      </c>
      <c r="K46" s="53">
        <f>Evaluation!M46/$C46</f>
        <v>3.2598339321249372E-4</v>
      </c>
      <c r="L46" s="57">
        <f>Evaluation!N46/$C46</f>
        <v>2.4763559798433303E-5</v>
      </c>
      <c r="M46" s="51">
        <f>Evaluation!O46/$C46</f>
        <v>0</v>
      </c>
      <c r="N46" s="54">
        <f>Evaluation!P46/$C46</f>
        <v>2.9019151818944099E-5</v>
      </c>
      <c r="O46" s="50">
        <f>Evaluation!Q46/$C46</f>
        <v>0</v>
      </c>
      <c r="P46" s="54">
        <f>Evaluation!R46/$C46</f>
        <v>1.4721204025159706E-5</v>
      </c>
      <c r="Q46" s="50">
        <f>Evaluation!S46/$C46</f>
        <v>0</v>
      </c>
      <c r="R46" s="54">
        <f>Evaluation!T46/$C46</f>
        <v>2.2981367237028353E-5</v>
      </c>
      <c r="S46" s="50">
        <f>Evaluation!U46/$C46</f>
        <v>0</v>
      </c>
      <c r="T46" s="54">
        <f>Evaluation!V46/$C46</f>
        <v>1.6341302349106412E-5</v>
      </c>
      <c r="U46" s="50">
        <f>Evaluation!W46/$C46</f>
        <v>0</v>
      </c>
      <c r="V46" s="54">
        <f>Evaluation!X46/$C46</f>
        <v>3.6370913138630961E-6</v>
      </c>
      <c r="W46" s="50">
        <f>Evaluation!Y46/$C46</f>
        <v>0</v>
      </c>
      <c r="X46" s="51">
        <f>Evaluation!Z46/$C46</f>
        <v>2.7076008854720678E-6</v>
      </c>
      <c r="Y46" s="56">
        <f>Evaluation!AA46/$C46</f>
        <v>0</v>
      </c>
      <c r="Z46" s="124"/>
      <c r="AB46" s="48" t="s">
        <v>58</v>
      </c>
      <c r="AC46" s="49" t="s">
        <v>36</v>
      </c>
      <c r="AD46" s="44" t="s">
        <v>65</v>
      </c>
      <c r="AE46" s="109" t="e">
        <f t="shared" si="29"/>
        <v>#N/A</v>
      </c>
      <c r="AF46" s="110" t="e">
        <f t="shared" si="29"/>
        <v>#N/A</v>
      </c>
      <c r="AG46" s="110" t="e">
        <f t="shared" si="31"/>
        <v>#N/A</v>
      </c>
      <c r="AH46" s="111" t="e">
        <f t="shared" si="31"/>
        <v>#N/A</v>
      </c>
      <c r="AI46" s="109" t="e">
        <f t="shared" si="31"/>
        <v>#N/A</v>
      </c>
      <c r="AJ46" s="110" t="e">
        <f t="shared" si="31"/>
        <v>#N/A</v>
      </c>
      <c r="AK46" s="111" t="e">
        <f>RANK(K46,K$39:K$47)</f>
        <v>#N/A</v>
      </c>
      <c r="AL46" s="153">
        <v>1</v>
      </c>
    </row>
    <row r="47" spans="1:38" ht="15.75" thickBot="1" x14ac:dyDescent="0.3">
      <c r="A47" s="59" t="s">
        <v>59</v>
      </c>
      <c r="B47" s="60" t="s">
        <v>36</v>
      </c>
      <c r="C47" s="45">
        <f>Evaluation!D47</f>
        <v>13.762464268752073</v>
      </c>
      <c r="D47" s="46" t="s">
        <v>65</v>
      </c>
      <c r="E47" s="63">
        <f>Evaluation!G47/$C47</f>
        <v>6.3311064123613601E-4</v>
      </c>
      <c r="F47" s="64">
        <f>Evaluation!H47/$C47</f>
        <v>1.5036430130581751E-4</v>
      </c>
      <c r="G47" s="53">
        <f>Evaluation!I47/$C47</f>
        <v>5.0862984007112943E-5</v>
      </c>
      <c r="H47" s="65">
        <f>Evaluation!J47/$C47</f>
        <v>3.6330702862223534E-5</v>
      </c>
      <c r="I47" s="63">
        <f>Evaluation!K47/$C47</f>
        <v>7.5356877938284096E-4</v>
      </c>
      <c r="J47" s="64">
        <f>Evaluation!L47/$C47</f>
        <v>1.3237071354180765E-4</v>
      </c>
      <c r="K47" s="65">
        <f>Evaluation!M47/$C47</f>
        <v>1.4730624600992802E-4</v>
      </c>
      <c r="L47" s="66">
        <f>Evaluation!N47/$C47</f>
        <v>1.160121425727278E-5</v>
      </c>
      <c r="M47" s="63">
        <f>Evaluation!O47/$C47</f>
        <v>0</v>
      </c>
      <c r="N47" s="61">
        <f>Evaluation!P47/$C47</f>
        <v>1.1041877016434816E-5</v>
      </c>
      <c r="O47" s="62">
        <f>Evaluation!Q47/$C47</f>
        <v>0</v>
      </c>
      <c r="P47" s="61">
        <f>Evaluation!R47/$C47</f>
        <v>4.6141951869836915E-6</v>
      </c>
      <c r="Q47" s="62">
        <f>Evaluation!S47/$C47</f>
        <v>0</v>
      </c>
      <c r="R47" s="61">
        <f>Evaluation!T47/$C47</f>
        <v>6.9767252749398543E-5</v>
      </c>
      <c r="S47" s="62">
        <f>Evaluation!U47/$C47</f>
        <v>0</v>
      </c>
      <c r="T47" s="61">
        <f>Evaluation!V47/$C47</f>
        <v>7.6308832455055137E-6</v>
      </c>
      <c r="U47" s="62">
        <f>Evaluation!W47/$C47</f>
        <v>0</v>
      </c>
      <c r="V47" s="61">
        <f>Evaluation!X47/$C47</f>
        <v>3.2834177694605485E-6</v>
      </c>
      <c r="W47" s="62">
        <f>Evaluation!Y47/$C47</f>
        <v>0</v>
      </c>
      <c r="X47" s="63">
        <f>Evaluation!Z47/$C47</f>
        <v>1.7025745583883234E-6</v>
      </c>
      <c r="Y47" s="67">
        <f>Evaluation!AA47/$C47</f>
        <v>0</v>
      </c>
      <c r="Z47" s="125"/>
      <c r="AB47" s="59" t="s">
        <v>59</v>
      </c>
      <c r="AC47" s="60" t="s">
        <v>36</v>
      </c>
      <c r="AD47" s="46" t="s">
        <v>65</v>
      </c>
      <c r="AE47" s="112" t="e">
        <f t="shared" si="29"/>
        <v>#N/A</v>
      </c>
      <c r="AF47" s="116" t="e">
        <f t="shared" si="29"/>
        <v>#N/A</v>
      </c>
      <c r="AG47" s="116" t="e">
        <f t="shared" si="31"/>
        <v>#N/A</v>
      </c>
      <c r="AH47" s="117" t="e">
        <f t="shared" si="31"/>
        <v>#N/A</v>
      </c>
      <c r="AI47" s="112" t="e">
        <f t="shared" si="31"/>
        <v>#N/A</v>
      </c>
      <c r="AJ47" s="116" t="e">
        <f t="shared" si="31"/>
        <v>#N/A</v>
      </c>
      <c r="AK47" s="117" t="e">
        <f>RANK(K47,K$39:K$47)</f>
        <v>#N/A</v>
      </c>
      <c r="AL47" s="154">
        <v>0</v>
      </c>
    </row>
    <row r="48" spans="1:38" ht="15.75" thickBot="1" x14ac:dyDescent="0.3">
      <c r="A48" s="80"/>
      <c r="B48" s="81"/>
      <c r="C48" s="82"/>
      <c r="D48" s="83"/>
      <c r="E48" s="84"/>
      <c r="F48" s="85"/>
      <c r="G48" s="85"/>
      <c r="H48" s="86"/>
      <c r="I48" s="84"/>
      <c r="J48" s="85"/>
      <c r="K48" s="86"/>
      <c r="L48" s="87"/>
      <c r="M48" s="84"/>
      <c r="N48" s="88"/>
      <c r="O48" s="89"/>
      <c r="P48" s="88"/>
      <c r="Q48" s="89"/>
      <c r="R48" s="88"/>
      <c r="S48" s="89"/>
      <c r="T48" s="88"/>
      <c r="U48" s="89"/>
      <c r="V48" s="88"/>
      <c r="W48" s="89"/>
      <c r="X48" s="84"/>
      <c r="Y48" s="90"/>
      <c r="Z48" s="83"/>
      <c r="AB48" s="80"/>
      <c r="AC48" s="81"/>
      <c r="AD48" s="83"/>
      <c r="AE48" s="84"/>
      <c r="AF48" s="85"/>
      <c r="AG48" s="85"/>
      <c r="AH48" s="86"/>
      <c r="AI48" s="84"/>
      <c r="AJ48" s="85"/>
      <c r="AK48" s="86"/>
      <c r="AL48" s="226">
        <f>SUM(AL39:AL47)</f>
        <v>8</v>
      </c>
    </row>
    <row r="49" spans="1:38" ht="15.75" thickBot="1" x14ac:dyDescent="0.3">
      <c r="A49" s="48"/>
      <c r="B49" s="49"/>
      <c r="C49" s="32"/>
      <c r="D49" s="44"/>
      <c r="E49" s="51"/>
      <c r="F49" s="52"/>
      <c r="G49" s="52"/>
      <c r="H49" s="53"/>
      <c r="I49" s="51"/>
      <c r="J49" s="52"/>
      <c r="K49" s="53"/>
      <c r="L49" s="57"/>
      <c r="M49" s="51"/>
      <c r="N49" s="54"/>
      <c r="O49" s="50"/>
      <c r="P49" s="54"/>
      <c r="Q49" s="50"/>
      <c r="R49" s="54"/>
      <c r="S49" s="50"/>
      <c r="T49" s="54"/>
      <c r="U49" s="50"/>
      <c r="V49" s="54"/>
      <c r="W49" s="50"/>
      <c r="X49" s="51"/>
      <c r="Y49" s="56"/>
      <c r="AB49" s="48"/>
      <c r="AC49" s="49"/>
      <c r="AD49" s="44"/>
      <c r="AE49" s="51"/>
      <c r="AF49" s="52"/>
      <c r="AG49" s="52"/>
      <c r="AH49" s="53"/>
      <c r="AI49" s="51"/>
      <c r="AJ49" s="52"/>
      <c r="AK49" s="53"/>
      <c r="AL49" s="121"/>
    </row>
    <row r="50" spans="1:38" ht="15.75" thickBot="1" x14ac:dyDescent="0.3">
      <c r="A50" s="91" t="s">
        <v>71</v>
      </c>
      <c r="B50" s="92"/>
      <c r="C50" s="93"/>
      <c r="D50" s="94"/>
      <c r="E50" s="92"/>
      <c r="F50" s="93"/>
      <c r="G50" s="93"/>
      <c r="H50" s="95"/>
      <c r="I50" s="92"/>
      <c r="J50" s="93"/>
      <c r="K50" s="95"/>
      <c r="L50" s="91"/>
      <c r="M50" s="92"/>
      <c r="N50" s="96"/>
      <c r="O50" s="97"/>
      <c r="P50" s="96"/>
      <c r="Q50" s="97"/>
      <c r="R50" s="96"/>
      <c r="S50" s="97"/>
      <c r="T50" s="96"/>
      <c r="U50" s="97"/>
      <c r="V50" s="96"/>
      <c r="W50" s="97"/>
      <c r="X50" s="92"/>
      <c r="Y50" s="94"/>
      <c r="Z50" s="122" t="s">
        <v>70</v>
      </c>
      <c r="AB50" s="91" t="s">
        <v>71</v>
      </c>
      <c r="AC50" s="92"/>
      <c r="AD50" s="94"/>
      <c r="AE50" s="92"/>
      <c r="AF50" s="93"/>
      <c r="AG50" s="93"/>
      <c r="AH50" s="95"/>
      <c r="AI50" s="92"/>
      <c r="AJ50" s="93"/>
      <c r="AK50" s="95"/>
      <c r="AL50" s="126" t="s">
        <v>89</v>
      </c>
    </row>
    <row r="51" spans="1:38" ht="15.75" thickBot="1" x14ac:dyDescent="0.3">
      <c r="A51" s="48" t="s">
        <v>34</v>
      </c>
      <c r="B51" s="49" t="s">
        <v>36</v>
      </c>
      <c r="C51" s="32">
        <f>Evaluation!D51</f>
        <v>246.71029765399999</v>
      </c>
      <c r="D51" s="44" t="s">
        <v>67</v>
      </c>
      <c r="E51" s="51">
        <f>Evaluation!G51/$C51</f>
        <v>0</v>
      </c>
      <c r="F51" s="52">
        <f>Evaluation!H51/$C51</f>
        <v>0</v>
      </c>
      <c r="G51" s="53">
        <f>Evaluation!I51/$C51</f>
        <v>0</v>
      </c>
      <c r="H51" s="53">
        <f>Evaluation!J51/$C51</f>
        <v>0</v>
      </c>
      <c r="I51" s="51">
        <f>Evaluation!K51/$C51</f>
        <v>0</v>
      </c>
      <c r="J51" s="52">
        <f>Evaluation!L51/$C51</f>
        <v>0</v>
      </c>
      <c r="K51" s="53">
        <f>Evaluation!M51/$C51</f>
        <v>0</v>
      </c>
      <c r="L51" s="57">
        <f>Evaluation!N51/$C51</f>
        <v>0</v>
      </c>
      <c r="M51" s="51">
        <f>Evaluation!O51/$C51</f>
        <v>0</v>
      </c>
      <c r="N51" s="54">
        <f>Evaluation!P51/$C51</f>
        <v>0</v>
      </c>
      <c r="O51" s="50">
        <f>Evaluation!Q51/$C51</f>
        <v>0</v>
      </c>
      <c r="P51" s="54">
        <f>Evaluation!R51/$C51</f>
        <v>0</v>
      </c>
      <c r="Q51" s="50">
        <f>Evaluation!S51/$C51</f>
        <v>0</v>
      </c>
      <c r="R51" s="54">
        <f>Evaluation!T51/$C51</f>
        <v>0</v>
      </c>
      <c r="S51" s="50">
        <f>Evaluation!U51/$C51</f>
        <v>0</v>
      </c>
      <c r="T51" s="54">
        <f>Evaluation!V51/$C51</f>
        <v>0</v>
      </c>
      <c r="U51" s="50">
        <f>Evaluation!W51/$C51</f>
        <v>0</v>
      </c>
      <c r="V51" s="54">
        <f>Evaluation!X51/$C51</f>
        <v>0</v>
      </c>
      <c r="W51" s="50">
        <f>Evaluation!Y51/$C51</f>
        <v>0</v>
      </c>
      <c r="X51" s="51">
        <f>Evaluation!Z51/$C51</f>
        <v>0</v>
      </c>
      <c r="Y51" s="56">
        <f>Evaluation!AA51/$C51</f>
        <v>0</v>
      </c>
      <c r="Z51" s="123"/>
      <c r="AB51" s="48" t="s">
        <v>34</v>
      </c>
      <c r="AC51" s="49" t="s">
        <v>36</v>
      </c>
      <c r="AD51" s="44" t="s">
        <v>67</v>
      </c>
      <c r="AE51" s="109"/>
      <c r="AF51" s="110"/>
      <c r="AG51" s="110"/>
      <c r="AH51" s="111"/>
      <c r="AI51" s="109"/>
      <c r="AJ51" s="110"/>
      <c r="AK51" s="111"/>
      <c r="AL51" s="152">
        <v>1</v>
      </c>
    </row>
    <row r="52" spans="1:38" x14ac:dyDescent="0.25">
      <c r="A52" s="48" t="s">
        <v>52</v>
      </c>
      <c r="B52" s="49" t="s">
        <v>36</v>
      </c>
      <c r="C52" s="32">
        <f>Evaluation!D52</f>
        <v>3.5411670821825543</v>
      </c>
      <c r="D52" s="44" t="s">
        <v>67</v>
      </c>
      <c r="E52" s="51">
        <f>Evaluation!G52/$C52</f>
        <v>0</v>
      </c>
      <c r="F52" s="52">
        <f>Evaluation!H52/$C52</f>
        <v>0</v>
      </c>
      <c r="G52" s="53">
        <f>Evaluation!I52/$C52</f>
        <v>0</v>
      </c>
      <c r="H52" s="53">
        <f>Evaluation!J52/$C52</f>
        <v>0</v>
      </c>
      <c r="I52" s="51">
        <f>Evaluation!K52/$C52</f>
        <v>1.5334441244180049E-3</v>
      </c>
      <c r="J52" s="52">
        <f>Evaluation!L52/$C52</f>
        <v>1.6245066982079376E-5</v>
      </c>
      <c r="K52" s="53"/>
      <c r="L52" s="57">
        <f>Evaluation!N52/$C52</f>
        <v>9.7413885681587733E-9</v>
      </c>
      <c r="M52" s="51">
        <f>Evaluation!O52/$C52</f>
        <v>0</v>
      </c>
      <c r="N52" s="54">
        <f>Evaluation!P52/$C52</f>
        <v>1.0466731979130691E-8</v>
      </c>
      <c r="O52" s="50">
        <f>Evaluation!Q52/$C52</f>
        <v>3.7588080822295783E-6</v>
      </c>
      <c r="P52" s="54">
        <f>Evaluation!R52/$C52</f>
        <v>0</v>
      </c>
      <c r="Q52" s="50">
        <f>Evaluation!S52/$C52</f>
        <v>0</v>
      </c>
      <c r="R52" s="54">
        <f>Evaluation!T52/$C52</f>
        <v>4.4938077476331591E-6</v>
      </c>
      <c r="S52" s="50">
        <f>Evaluation!U52/$C52</f>
        <v>0</v>
      </c>
      <c r="T52" s="54">
        <f>Evaluation!V52/$C52</f>
        <v>3.3028422176404042E-7</v>
      </c>
      <c r="U52" s="50">
        <f>Evaluation!W52/$C52</f>
        <v>0</v>
      </c>
      <c r="V52" s="54">
        <f>Evaluation!X52/$C52</f>
        <v>9.3015934413925271E-9</v>
      </c>
      <c r="W52" s="50">
        <f>Evaluation!Y52/$C52</f>
        <v>1.9642477844747085E-6</v>
      </c>
      <c r="X52" s="51">
        <f>Evaluation!Z52/$C52</f>
        <v>0</v>
      </c>
      <c r="Y52" s="56">
        <f>Evaluation!AA52/$C52</f>
        <v>0</v>
      </c>
      <c r="Z52" s="123"/>
      <c r="AB52" s="48" t="s">
        <v>52</v>
      </c>
      <c r="AC52" s="49" t="s">
        <v>36</v>
      </c>
      <c r="AD52" s="44" t="s">
        <v>67</v>
      </c>
      <c r="AE52" s="109">
        <f t="shared" ref="AE52:AF55" si="32">RANK(E52,E$52:E$55)</f>
        <v>1</v>
      </c>
      <c r="AF52" s="110">
        <f t="shared" si="32"/>
        <v>3</v>
      </c>
      <c r="AG52" s="110">
        <f t="shared" ref="AG52:AJ55" si="33">RANK(G52,G$52:G$55)</f>
        <v>3</v>
      </c>
      <c r="AH52" s="111">
        <f t="shared" si="33"/>
        <v>3</v>
      </c>
      <c r="AI52" s="109">
        <f t="shared" si="33"/>
        <v>3</v>
      </c>
      <c r="AJ52" s="110">
        <f t="shared" si="33"/>
        <v>4</v>
      </c>
      <c r="AK52" s="111"/>
      <c r="AL52" s="153">
        <v>1</v>
      </c>
    </row>
    <row r="53" spans="1:38" x14ac:dyDescent="0.25">
      <c r="A53" s="48" t="s">
        <v>57</v>
      </c>
      <c r="B53" s="49" t="s">
        <v>36</v>
      </c>
      <c r="C53" s="32">
        <f>Evaluation!D53</f>
        <v>9.417736679411064</v>
      </c>
      <c r="D53" s="44" t="s">
        <v>67</v>
      </c>
      <c r="E53" s="51">
        <f>Evaluation!G53/$C53</f>
        <v>0</v>
      </c>
      <c r="F53" s="52">
        <f>Evaluation!H53/$C53</f>
        <v>2.9091946306664069E-4</v>
      </c>
      <c r="G53" s="53">
        <f>Evaluation!I53/$C53</f>
        <v>1.0618262476866521E-5</v>
      </c>
      <c r="H53" s="53">
        <f>Evaluation!J53/$C53</f>
        <v>1.0618262476866521E-5</v>
      </c>
      <c r="I53" s="51">
        <f>Evaluation!K53/$C53</f>
        <v>3.8342623491249587E-3</v>
      </c>
      <c r="J53" s="52">
        <f>Evaluation!L53/$C53</f>
        <v>3.2184780469515057E-4</v>
      </c>
      <c r="K53" s="53"/>
      <c r="L53" s="57">
        <f>Evaluation!N53/$C53</f>
        <v>3.4397859230751897E-9</v>
      </c>
      <c r="M53" s="51">
        <f>Evaluation!O53/$C53</f>
        <v>0</v>
      </c>
      <c r="N53" s="54">
        <f>Evaluation!P53/$C53</f>
        <v>1.7073674404133298E-7</v>
      </c>
      <c r="O53" s="50">
        <f>Evaluation!Q53/$C53</f>
        <v>0</v>
      </c>
      <c r="P53" s="54">
        <f>Evaluation!R53/$C53</f>
        <v>0</v>
      </c>
      <c r="Q53" s="50">
        <f>Evaluation!S53/$C53</f>
        <v>0</v>
      </c>
      <c r="R53" s="54">
        <f>Evaluation!T53/$C53</f>
        <v>2.071148821243186E-6</v>
      </c>
      <c r="S53" s="50">
        <f>Evaluation!U53/$C53</f>
        <v>0</v>
      </c>
      <c r="T53" s="54">
        <f>Evaluation!V53/$C53</f>
        <v>3.2579557062698317E-8</v>
      </c>
      <c r="U53" s="50">
        <f>Evaluation!W53/$C53</f>
        <v>0</v>
      </c>
      <c r="V53" s="54">
        <f>Evaluation!X53/$C53</f>
        <v>5.9548991238729374E-9</v>
      </c>
      <c r="W53" s="50">
        <f>Evaluation!Y53/$C53</f>
        <v>0</v>
      </c>
      <c r="X53" s="51">
        <f>Evaluation!Z53/$C53</f>
        <v>0</v>
      </c>
      <c r="Y53" s="56">
        <f>Evaluation!AA53/$C53</f>
        <v>0</v>
      </c>
      <c r="Z53" s="124"/>
      <c r="AB53" s="48" t="s">
        <v>57</v>
      </c>
      <c r="AC53" s="49" t="s">
        <v>36</v>
      </c>
      <c r="AD53" s="44" t="s">
        <v>67</v>
      </c>
      <c r="AE53" s="109">
        <f t="shared" si="32"/>
        <v>1</v>
      </c>
      <c r="AF53" s="110">
        <f t="shared" si="32"/>
        <v>1</v>
      </c>
      <c r="AG53" s="110">
        <f t="shared" si="33"/>
        <v>1</v>
      </c>
      <c r="AH53" s="111">
        <f t="shared" si="33"/>
        <v>2</v>
      </c>
      <c r="AI53" s="109">
        <f t="shared" si="33"/>
        <v>2</v>
      </c>
      <c r="AJ53" s="110">
        <f t="shared" si="33"/>
        <v>1</v>
      </c>
      <c r="AK53" s="111"/>
      <c r="AL53" s="153">
        <v>1</v>
      </c>
    </row>
    <row r="54" spans="1:38" x14ac:dyDescent="0.25">
      <c r="A54" s="30" t="s">
        <v>33</v>
      </c>
      <c r="B54" s="31" t="s">
        <v>24</v>
      </c>
      <c r="C54" s="32">
        <f>Evaluation!D54</f>
        <v>9.4229995417572265</v>
      </c>
      <c r="D54" s="44" t="s">
        <v>67</v>
      </c>
      <c r="E54" s="37">
        <f>Evaluation!G54/$C54</f>
        <v>0</v>
      </c>
      <c r="F54" s="38">
        <f>Evaluation!H54/$C54</f>
        <v>2.0192196563006994E-4</v>
      </c>
      <c r="G54" s="53">
        <f>Evaluation!I54/$C54</f>
        <v>1.0612332045317253E-5</v>
      </c>
      <c r="H54" s="39">
        <f>Evaluation!J54/$C54</f>
        <v>4.2449328181269012E-5</v>
      </c>
      <c r="I54" s="37">
        <f>Evaluation!K54/$C54</f>
        <v>1.0700115559872506E-3</v>
      </c>
      <c r="J54" s="38">
        <f>Evaluation!L54/$C54</f>
        <v>2.1743047163042792E-4</v>
      </c>
      <c r="K54" s="39"/>
      <c r="L54" s="30"/>
      <c r="M54" s="31"/>
      <c r="N54" s="40"/>
      <c r="O54" s="41"/>
      <c r="P54" s="40"/>
      <c r="Q54" s="41"/>
      <c r="R54" s="40"/>
      <c r="S54" s="41"/>
      <c r="T54" s="40"/>
      <c r="U54" s="41"/>
      <c r="V54" s="40"/>
      <c r="W54" s="41"/>
      <c r="X54" s="31"/>
      <c r="Y54" s="33"/>
      <c r="Z54" s="124"/>
      <c r="AB54" s="30" t="s">
        <v>33</v>
      </c>
      <c r="AC54" s="31" t="s">
        <v>24</v>
      </c>
      <c r="AD54" s="44" t="s">
        <v>67</v>
      </c>
      <c r="AE54" s="113">
        <f t="shared" si="32"/>
        <v>1</v>
      </c>
      <c r="AF54" s="114">
        <f t="shared" si="32"/>
        <v>2</v>
      </c>
      <c r="AG54" s="114">
        <f t="shared" si="33"/>
        <v>2</v>
      </c>
      <c r="AH54" s="115">
        <f t="shared" si="33"/>
        <v>1</v>
      </c>
      <c r="AI54" s="113">
        <f t="shared" si="33"/>
        <v>4</v>
      </c>
      <c r="AJ54" s="114">
        <f t="shared" si="33"/>
        <v>2</v>
      </c>
      <c r="AK54" s="115"/>
      <c r="AL54" s="153">
        <v>1</v>
      </c>
    </row>
    <row r="55" spans="1:38" ht="15.75" thickBot="1" x14ac:dyDescent="0.3">
      <c r="A55" s="48" t="s">
        <v>62</v>
      </c>
      <c r="B55" s="49" t="s">
        <v>36</v>
      </c>
      <c r="C55" s="32">
        <f>Evaluation!D55</f>
        <v>2.4098405480566361</v>
      </c>
      <c r="D55" s="44" t="s">
        <v>67</v>
      </c>
      <c r="E55" s="51">
        <f>Evaluation!G55/$C55</f>
        <v>0</v>
      </c>
      <c r="F55" s="52">
        <f>Evaluation!H55/$C55</f>
        <v>0</v>
      </c>
      <c r="G55" s="53">
        <f>Evaluation!I55/$C55</f>
        <v>0</v>
      </c>
      <c r="H55" s="53">
        <f>Evaluation!J55/$C55</f>
        <v>0</v>
      </c>
      <c r="I55" s="51">
        <f>Evaluation!K55/$C55</f>
        <v>1.2790381066285781E-2</v>
      </c>
      <c r="J55" s="52">
        <f>Evaluation!L55/$C55</f>
        <v>1.3549929458759528E-4</v>
      </c>
      <c r="K55" s="53"/>
      <c r="L55" s="57">
        <f>Evaluation!N55/$C55</f>
        <v>0</v>
      </c>
      <c r="M55" s="51">
        <f>Evaluation!O55/$C55</f>
        <v>0</v>
      </c>
      <c r="N55" s="54">
        <f>Evaluation!P55/$C55</f>
        <v>3.8265354670318594E-8</v>
      </c>
      <c r="O55" s="50">
        <f>Evaluation!Q55/$C55</f>
        <v>0</v>
      </c>
      <c r="P55" s="54">
        <f>Evaluation!R55/$C55</f>
        <v>2.0618324959711756E-7</v>
      </c>
      <c r="Q55" s="50">
        <f>Evaluation!S55/$C55</f>
        <v>0</v>
      </c>
      <c r="R55" s="54">
        <f>Evaluation!T55/$C55</f>
        <v>2.531521612022105E-7</v>
      </c>
      <c r="S55" s="50">
        <f>Evaluation!U55/$C55</f>
        <v>0</v>
      </c>
      <c r="T55" s="54">
        <f>Evaluation!V55/$C55</f>
        <v>0</v>
      </c>
      <c r="U55" s="50">
        <f>Evaluation!W55/$C55</f>
        <v>0</v>
      </c>
      <c r="V55" s="54">
        <f>Evaluation!X55/$C55</f>
        <v>0</v>
      </c>
      <c r="W55" s="50">
        <f>Evaluation!Y55/$C55</f>
        <v>0</v>
      </c>
      <c r="X55" s="51">
        <f>Evaluation!Z55/$C55</f>
        <v>0</v>
      </c>
      <c r="Y55" s="56">
        <f>Evaluation!AA55/$C55</f>
        <v>0</v>
      </c>
      <c r="Z55" s="125"/>
      <c r="AB55" s="48" t="s">
        <v>62</v>
      </c>
      <c r="AC55" s="49" t="s">
        <v>36</v>
      </c>
      <c r="AD55" s="44" t="s">
        <v>67</v>
      </c>
      <c r="AE55" s="109">
        <f t="shared" si="32"/>
        <v>1</v>
      </c>
      <c r="AF55" s="110">
        <f t="shared" si="32"/>
        <v>3</v>
      </c>
      <c r="AG55" s="110">
        <f t="shared" si="33"/>
        <v>3</v>
      </c>
      <c r="AH55" s="111">
        <f t="shared" si="33"/>
        <v>3</v>
      </c>
      <c r="AI55" s="109">
        <f t="shared" si="33"/>
        <v>1</v>
      </c>
      <c r="AJ55" s="110">
        <f t="shared" si="33"/>
        <v>3</v>
      </c>
      <c r="AK55" s="111"/>
      <c r="AL55" s="154">
        <v>1</v>
      </c>
    </row>
    <row r="56" spans="1:38" ht="15.75" thickBot="1" x14ac:dyDescent="0.3">
      <c r="A56" s="80"/>
      <c r="B56" s="81"/>
      <c r="C56" s="82"/>
      <c r="D56" s="83"/>
      <c r="E56" s="84"/>
      <c r="F56" s="85"/>
      <c r="G56" s="85"/>
      <c r="H56" s="86"/>
      <c r="I56" s="84"/>
      <c r="J56" s="85"/>
      <c r="K56" s="86"/>
      <c r="L56" s="87"/>
      <c r="M56" s="84"/>
      <c r="N56" s="88"/>
      <c r="O56" s="89"/>
      <c r="P56" s="88"/>
      <c r="Q56" s="89"/>
      <c r="R56" s="88"/>
      <c r="S56" s="89"/>
      <c r="T56" s="88"/>
      <c r="U56" s="89"/>
      <c r="V56" s="88"/>
      <c r="W56" s="89"/>
      <c r="X56" s="84"/>
      <c r="Y56" s="90"/>
      <c r="Z56" s="83"/>
      <c r="AB56" s="80"/>
      <c r="AC56" s="81"/>
      <c r="AD56" s="83"/>
      <c r="AE56" s="84"/>
      <c r="AF56" s="85"/>
      <c r="AG56" s="85"/>
      <c r="AH56" s="86"/>
      <c r="AI56" s="84"/>
      <c r="AJ56" s="85"/>
      <c r="AK56" s="86"/>
      <c r="AL56" s="226">
        <f>SUM(AL51:AL55)</f>
        <v>5</v>
      </c>
    </row>
  </sheetData>
  <sheetProtection password="EE40" sheet="1" objects="1" scenarios="1"/>
  <mergeCells count="14">
    <mergeCell ref="AL1:AL4"/>
    <mergeCell ref="C1:C2"/>
    <mergeCell ref="E1:H2"/>
    <mergeCell ref="I1:K2"/>
    <mergeCell ref="L1:X1"/>
    <mergeCell ref="AI1:AK2"/>
    <mergeCell ref="L2:M2"/>
    <mergeCell ref="N2:O2"/>
    <mergeCell ref="P2:Q2"/>
    <mergeCell ref="R2:S2"/>
    <mergeCell ref="T2:U2"/>
    <mergeCell ref="V2:W2"/>
    <mergeCell ref="X2:Y2"/>
    <mergeCell ref="AE1:AH2"/>
  </mergeCells>
  <conditionalFormatting sqref="E52:E55 E17:E26 E28 E37 E30:E35 E5:E13">
    <cfRule type="colorScale" priority="70">
      <colorScale>
        <cfvo type="min"/>
        <cfvo type="max"/>
        <color rgb="FFFFEF9C"/>
        <color rgb="FFFF7128"/>
      </colorScale>
    </cfRule>
  </conditionalFormatting>
  <conditionalFormatting sqref="F52:F55 F17:F26 F28:G28 F37:G37 F30:F35 F5:F13">
    <cfRule type="colorScale" priority="69">
      <colorScale>
        <cfvo type="min"/>
        <cfvo type="max"/>
        <color rgb="FFFFEF9C"/>
        <color rgb="FFFF7128"/>
      </colorScale>
    </cfRule>
  </conditionalFormatting>
  <conditionalFormatting sqref="H52:H55 H17:H26 H28 H37 H30:H35 G5:H13">
    <cfRule type="colorScale" priority="68">
      <colorScale>
        <cfvo type="min"/>
        <cfvo type="max"/>
        <color rgb="FFFFEF9C"/>
        <color rgb="FFFF7128"/>
      </colorScale>
    </cfRule>
  </conditionalFormatting>
  <conditionalFormatting sqref="I52:I55 I17:I26 I28 I37 I30:I35 I5:I13">
    <cfRule type="colorScale" priority="67">
      <colorScale>
        <cfvo type="min"/>
        <cfvo type="max"/>
        <color rgb="FFFFEF9C"/>
        <color rgb="FFFF7128"/>
      </colorScale>
    </cfRule>
  </conditionalFormatting>
  <conditionalFormatting sqref="J52:J55 J17:J26 J28 J37 J30:J35 J5:J13">
    <cfRule type="colorScale" priority="66">
      <colorScale>
        <cfvo type="min"/>
        <cfvo type="max"/>
        <color rgb="FFFFEF9C"/>
        <color rgb="FFFF7128"/>
      </colorScale>
    </cfRule>
  </conditionalFormatting>
  <conditionalFormatting sqref="K52:K55 K17:K26 K28 K37 K30:K35 K5:K13">
    <cfRule type="colorScale" priority="65">
      <colorScale>
        <cfvo type="min"/>
        <cfvo type="max"/>
        <color rgb="FFFFEF9C"/>
        <color rgb="FFFF7128"/>
      </colorScale>
    </cfRule>
  </conditionalFormatting>
  <conditionalFormatting sqref="L17:L26 L49 L28 L39:L47 L52:L55 L37 L30:L35 L5:L13">
    <cfRule type="colorScale" priority="64">
      <colorScale>
        <cfvo type="min"/>
        <cfvo type="max"/>
        <color rgb="FFFFEF9C"/>
        <color rgb="FFFF7128"/>
      </colorScale>
    </cfRule>
  </conditionalFormatting>
  <conditionalFormatting sqref="M17:M26 M49 M28 M39:M47 M52:M55 M37 M30:M35 M5:M13">
    <cfRule type="colorScale" priority="63">
      <colorScale>
        <cfvo type="min"/>
        <cfvo type="max"/>
        <color rgb="FFFFEF9C"/>
        <color rgb="FFFF7128"/>
      </colorScale>
    </cfRule>
  </conditionalFormatting>
  <conditionalFormatting sqref="N17:N26 N49 N28 N39:N47 N52:N55 N37 N30:N35 N5:N13">
    <cfRule type="colorScale" priority="62">
      <colorScale>
        <cfvo type="min"/>
        <cfvo type="max"/>
        <color rgb="FFFFEF9C"/>
        <color rgb="FFFF7128"/>
      </colorScale>
    </cfRule>
  </conditionalFormatting>
  <conditionalFormatting sqref="O17:O26 O49 O28 O39:O47 O52:O55 O37 O30:O35 O5:O13">
    <cfRule type="colorScale" priority="61">
      <colorScale>
        <cfvo type="min"/>
        <cfvo type="max"/>
        <color rgb="FFFFEF9C"/>
        <color rgb="FFFF7128"/>
      </colorScale>
    </cfRule>
  </conditionalFormatting>
  <conditionalFormatting sqref="P17:P26 P49 P28 P39:P47 P52:P55 P37 P30:P35 P5:P13">
    <cfRule type="colorScale" priority="60">
      <colorScale>
        <cfvo type="min"/>
        <cfvo type="max"/>
        <color rgb="FFFFEF9C"/>
        <color rgb="FFFF7128"/>
      </colorScale>
    </cfRule>
  </conditionalFormatting>
  <conditionalFormatting sqref="Q17:Q26 Q49 Q28 Q39:Q47 Q52:Q55 Q37 Q30:Q35 Q5:Q13">
    <cfRule type="colorScale" priority="59">
      <colorScale>
        <cfvo type="min"/>
        <cfvo type="max"/>
        <color rgb="FFFFEF9C"/>
        <color rgb="FFFF7128"/>
      </colorScale>
    </cfRule>
  </conditionalFormatting>
  <conditionalFormatting sqref="R17:R26 R49 R28 R39:R47 R52:R55 R37 R30:R35 R5:R13">
    <cfRule type="colorScale" priority="58">
      <colorScale>
        <cfvo type="min"/>
        <cfvo type="max"/>
        <color rgb="FFFFEF9C"/>
        <color rgb="FFFF7128"/>
      </colorScale>
    </cfRule>
  </conditionalFormatting>
  <conditionalFormatting sqref="S17:S26 S49 S28 S39:S47 S52:S55 S37 S30:S35 S5:S13">
    <cfRule type="colorScale" priority="57">
      <colorScale>
        <cfvo type="min"/>
        <cfvo type="max"/>
        <color rgb="FFFFEF9C"/>
        <color rgb="FFFF7128"/>
      </colorScale>
    </cfRule>
  </conditionalFormatting>
  <conditionalFormatting sqref="T17:T26 T49 T28 T39:T47 T52:T55 T37 T30:T35 T5:T13">
    <cfRule type="colorScale" priority="56">
      <colorScale>
        <cfvo type="min"/>
        <cfvo type="max"/>
        <color rgb="FFFFEF9C"/>
        <color rgb="FFFF7128"/>
      </colorScale>
    </cfRule>
  </conditionalFormatting>
  <conditionalFormatting sqref="U17:U26 U49 U28 U39:U47 U52:U55 U37 U30:U35 U5:U13">
    <cfRule type="colorScale" priority="55">
      <colorScale>
        <cfvo type="min"/>
        <cfvo type="max"/>
        <color rgb="FFFFEF9C"/>
        <color rgb="FFFF7128"/>
      </colorScale>
    </cfRule>
  </conditionalFormatting>
  <conditionalFormatting sqref="V17:V26 V49 V28 V39:V47 V52:V55 V37 V30:V35 V5:V13">
    <cfRule type="colorScale" priority="54">
      <colorScale>
        <cfvo type="min"/>
        <cfvo type="max"/>
        <color rgb="FFFFEF9C"/>
        <color rgb="FFFF7128"/>
      </colorScale>
    </cfRule>
  </conditionalFormatting>
  <conditionalFormatting sqref="W17:W26 W49 W28 W39:W47 W52:W55 W37 W30:W35 W5:W13">
    <cfRule type="colorScale" priority="53">
      <colorScale>
        <cfvo type="min"/>
        <cfvo type="max"/>
        <color rgb="FFFFEF9C"/>
        <color rgb="FFFF7128"/>
      </colorScale>
    </cfRule>
  </conditionalFormatting>
  <conditionalFormatting sqref="X17:X26 X49 X28 X39:X47 X52:X55 X37 X30:X35 X5:X13">
    <cfRule type="colorScale" priority="52">
      <colorScale>
        <cfvo type="min"/>
        <cfvo type="max"/>
        <color rgb="FFFFEF9C"/>
        <color rgb="FFFF7128"/>
      </colorScale>
    </cfRule>
  </conditionalFormatting>
  <conditionalFormatting sqref="Y17:Y26 Y49 Y28 Y39:Y47 Y52:Y55 Y37 Y30:Y35 Y5:Y13">
    <cfRule type="colorScale" priority="51">
      <colorScale>
        <cfvo type="min"/>
        <cfvo type="max"/>
        <color rgb="FFFFEF9C"/>
        <color rgb="FFFF7128"/>
      </colorScale>
    </cfRule>
  </conditionalFormatting>
  <conditionalFormatting sqref="C17:C26 C49 C28 C39:C47 C52:C55 C37 C30:C35 C5:C13">
    <cfRule type="colorScale" priority="50">
      <colorScale>
        <cfvo type="min"/>
        <cfvo type="max"/>
        <color rgb="FFFFEF9C"/>
        <color rgb="FFFF7128"/>
      </colorScale>
    </cfRule>
  </conditionalFormatting>
  <conditionalFormatting sqref="E39:E47 E49">
    <cfRule type="colorScale" priority="49">
      <colorScale>
        <cfvo type="min"/>
        <cfvo type="max"/>
        <color rgb="FFFFEF9C"/>
        <color rgb="FFFF7128"/>
      </colorScale>
    </cfRule>
  </conditionalFormatting>
  <conditionalFormatting sqref="F39:F47 F49:G49">
    <cfRule type="colorScale" priority="48">
      <colorScale>
        <cfvo type="min"/>
        <cfvo type="max"/>
        <color rgb="FFFFEF9C"/>
        <color rgb="FFFF7128"/>
      </colorScale>
    </cfRule>
  </conditionalFormatting>
  <conditionalFormatting sqref="H39:H47 H49">
    <cfRule type="colorScale" priority="47">
      <colorScale>
        <cfvo type="min"/>
        <cfvo type="max"/>
        <color rgb="FFFFEF9C"/>
        <color rgb="FFFF7128"/>
      </colorScale>
    </cfRule>
  </conditionalFormatting>
  <conditionalFormatting sqref="I39:I47 I49">
    <cfRule type="colorScale" priority="46">
      <colorScale>
        <cfvo type="min"/>
        <cfvo type="max"/>
        <color rgb="FFFFEF9C"/>
        <color rgb="FFFF7128"/>
      </colorScale>
    </cfRule>
  </conditionalFormatting>
  <conditionalFormatting sqref="J39:J47 J49">
    <cfRule type="colorScale" priority="45">
      <colorScale>
        <cfvo type="min"/>
        <cfvo type="max"/>
        <color rgb="FFFFEF9C"/>
        <color rgb="FFFF7128"/>
      </colorScale>
    </cfRule>
  </conditionalFormatting>
  <conditionalFormatting sqref="K39:K47 K49">
    <cfRule type="colorScale" priority="44">
      <colorScale>
        <cfvo type="min"/>
        <cfvo type="max"/>
        <color rgb="FFFFEF9C"/>
        <color rgb="FFFF7128"/>
      </colorScale>
    </cfRule>
  </conditionalFormatting>
  <conditionalFormatting sqref="E15">
    <cfRule type="colorScale" priority="43">
      <colorScale>
        <cfvo type="min"/>
        <cfvo type="max"/>
        <color rgb="FFFFEF9C"/>
        <color rgb="FFFF7128"/>
      </colorScale>
    </cfRule>
  </conditionalFormatting>
  <conditionalFormatting sqref="F15:G15">
    <cfRule type="colorScale" priority="42">
      <colorScale>
        <cfvo type="min"/>
        <cfvo type="max"/>
        <color rgb="FFFFEF9C"/>
        <color rgb="FFFF7128"/>
      </colorScale>
    </cfRule>
  </conditionalFormatting>
  <conditionalFormatting sqref="H15">
    <cfRule type="colorScale" priority="41">
      <colorScale>
        <cfvo type="min"/>
        <cfvo type="max"/>
        <color rgb="FFFFEF9C"/>
        <color rgb="FFFF7128"/>
      </colorScale>
    </cfRule>
  </conditionalFormatting>
  <conditionalFormatting sqref="I15">
    <cfRule type="colorScale" priority="40">
      <colorScale>
        <cfvo type="min"/>
        <cfvo type="max"/>
        <color rgb="FFFFEF9C"/>
        <color rgb="FFFF7128"/>
      </colorScale>
    </cfRule>
  </conditionalFormatting>
  <conditionalFormatting sqref="J15">
    <cfRule type="colorScale" priority="39">
      <colorScale>
        <cfvo type="min"/>
        <cfvo type="max"/>
        <color rgb="FFFFEF9C"/>
        <color rgb="FFFF7128"/>
      </colorScale>
    </cfRule>
  </conditionalFormatting>
  <conditionalFormatting sqref="K15">
    <cfRule type="colorScale" priority="38">
      <colorScale>
        <cfvo type="min"/>
        <cfvo type="max"/>
        <color rgb="FFFFEF9C"/>
        <color rgb="FFFF7128"/>
      </colorScale>
    </cfRule>
  </conditionalFormatting>
  <conditionalFormatting sqref="L15">
    <cfRule type="colorScale" priority="37">
      <colorScale>
        <cfvo type="min"/>
        <cfvo type="max"/>
        <color rgb="FFFFEF9C"/>
        <color rgb="FFFF7128"/>
      </colorScale>
    </cfRule>
  </conditionalFormatting>
  <conditionalFormatting sqref="M15">
    <cfRule type="colorScale" priority="36">
      <colorScale>
        <cfvo type="min"/>
        <cfvo type="max"/>
        <color rgb="FFFFEF9C"/>
        <color rgb="FFFF7128"/>
      </colorScale>
    </cfRule>
  </conditionalFormatting>
  <conditionalFormatting sqref="N15">
    <cfRule type="colorScale" priority="35">
      <colorScale>
        <cfvo type="min"/>
        <cfvo type="max"/>
        <color rgb="FFFFEF9C"/>
        <color rgb="FFFF7128"/>
      </colorScale>
    </cfRule>
  </conditionalFormatting>
  <conditionalFormatting sqref="O15">
    <cfRule type="colorScale" priority="34">
      <colorScale>
        <cfvo type="min"/>
        <cfvo type="max"/>
        <color rgb="FFFFEF9C"/>
        <color rgb="FFFF7128"/>
      </colorScale>
    </cfRule>
  </conditionalFormatting>
  <conditionalFormatting sqref="P15">
    <cfRule type="colorScale" priority="33">
      <colorScale>
        <cfvo type="min"/>
        <cfvo type="max"/>
        <color rgb="FFFFEF9C"/>
        <color rgb="FFFF7128"/>
      </colorScale>
    </cfRule>
  </conditionalFormatting>
  <conditionalFormatting sqref="Q15">
    <cfRule type="colorScale" priority="32">
      <colorScale>
        <cfvo type="min"/>
        <cfvo type="max"/>
        <color rgb="FFFFEF9C"/>
        <color rgb="FFFF7128"/>
      </colorScale>
    </cfRule>
  </conditionalFormatting>
  <conditionalFormatting sqref="R15">
    <cfRule type="colorScale" priority="31">
      <colorScale>
        <cfvo type="min"/>
        <cfvo type="max"/>
        <color rgb="FFFFEF9C"/>
        <color rgb="FFFF7128"/>
      </colorScale>
    </cfRule>
  </conditionalFormatting>
  <conditionalFormatting sqref="S15">
    <cfRule type="colorScale" priority="30">
      <colorScale>
        <cfvo type="min"/>
        <cfvo type="max"/>
        <color rgb="FFFFEF9C"/>
        <color rgb="FFFF7128"/>
      </colorScale>
    </cfRule>
  </conditionalFormatting>
  <conditionalFormatting sqref="T15">
    <cfRule type="colorScale" priority="29">
      <colorScale>
        <cfvo type="min"/>
        <cfvo type="max"/>
        <color rgb="FFFFEF9C"/>
        <color rgb="FFFF7128"/>
      </colorScale>
    </cfRule>
  </conditionalFormatting>
  <conditionalFormatting sqref="U15">
    <cfRule type="colorScale" priority="28">
      <colorScale>
        <cfvo type="min"/>
        <cfvo type="max"/>
        <color rgb="FFFFEF9C"/>
        <color rgb="FFFF7128"/>
      </colorScale>
    </cfRule>
  </conditionalFormatting>
  <conditionalFormatting sqref="V15">
    <cfRule type="colorScale" priority="27">
      <colorScale>
        <cfvo type="min"/>
        <cfvo type="max"/>
        <color rgb="FFFFEF9C"/>
        <color rgb="FFFF7128"/>
      </colorScale>
    </cfRule>
  </conditionalFormatting>
  <conditionalFormatting sqref="W15">
    <cfRule type="colorScale" priority="26">
      <colorScale>
        <cfvo type="min"/>
        <cfvo type="max"/>
        <color rgb="FFFFEF9C"/>
        <color rgb="FFFF7128"/>
      </colorScale>
    </cfRule>
  </conditionalFormatting>
  <conditionalFormatting sqref="X15">
    <cfRule type="colorScale" priority="25">
      <colorScale>
        <cfvo type="min"/>
        <cfvo type="max"/>
        <color rgb="FFFFEF9C"/>
        <color rgb="FFFF7128"/>
      </colorScale>
    </cfRule>
  </conditionalFormatting>
  <conditionalFormatting sqref="Y15">
    <cfRule type="colorScale" priority="24">
      <colorScale>
        <cfvo type="min"/>
        <cfvo type="max"/>
        <color rgb="FFFFEF9C"/>
        <color rgb="FFFF7128"/>
      </colorScale>
    </cfRule>
  </conditionalFormatting>
  <conditionalFormatting sqref="C15">
    <cfRule type="colorScale" priority="23">
      <colorScale>
        <cfvo type="min"/>
        <cfvo type="max"/>
        <color rgb="FFFFEF9C"/>
        <color rgb="FFFF7128"/>
      </colorScale>
    </cfRule>
  </conditionalFormatting>
  <conditionalFormatting sqref="E51">
    <cfRule type="colorScale" priority="22">
      <colorScale>
        <cfvo type="min"/>
        <cfvo type="max"/>
        <color rgb="FFFFEF9C"/>
        <color rgb="FFFF7128"/>
      </colorScale>
    </cfRule>
  </conditionalFormatting>
  <conditionalFormatting sqref="F51">
    <cfRule type="colorScale" priority="21">
      <colorScale>
        <cfvo type="min"/>
        <cfvo type="max"/>
        <color rgb="FFFFEF9C"/>
        <color rgb="FFFF7128"/>
      </colorScale>
    </cfRule>
  </conditionalFormatting>
  <conditionalFormatting sqref="H51">
    <cfRule type="colorScale" priority="20">
      <colorScale>
        <cfvo type="min"/>
        <cfvo type="max"/>
        <color rgb="FFFFEF9C"/>
        <color rgb="FFFF7128"/>
      </colorScale>
    </cfRule>
  </conditionalFormatting>
  <conditionalFormatting sqref="I51">
    <cfRule type="colorScale" priority="19">
      <colorScale>
        <cfvo type="min"/>
        <cfvo type="max"/>
        <color rgb="FFFFEF9C"/>
        <color rgb="FFFF7128"/>
      </colorScale>
    </cfRule>
  </conditionalFormatting>
  <conditionalFormatting sqref="J51">
    <cfRule type="colorScale" priority="18">
      <colorScale>
        <cfvo type="min"/>
        <cfvo type="max"/>
        <color rgb="FFFFEF9C"/>
        <color rgb="FFFF7128"/>
      </colorScale>
    </cfRule>
  </conditionalFormatting>
  <conditionalFormatting sqref="K51">
    <cfRule type="colorScale" priority="17">
      <colorScale>
        <cfvo type="min"/>
        <cfvo type="max"/>
        <color rgb="FFFFEF9C"/>
        <color rgb="FFFF7128"/>
      </colorScale>
    </cfRule>
  </conditionalFormatting>
  <conditionalFormatting sqref="L51">
    <cfRule type="colorScale" priority="16">
      <colorScale>
        <cfvo type="min"/>
        <cfvo type="max"/>
        <color rgb="FFFFEF9C"/>
        <color rgb="FFFF7128"/>
      </colorScale>
    </cfRule>
  </conditionalFormatting>
  <conditionalFormatting sqref="M51">
    <cfRule type="colorScale" priority="15">
      <colorScale>
        <cfvo type="min"/>
        <cfvo type="max"/>
        <color rgb="FFFFEF9C"/>
        <color rgb="FFFF7128"/>
      </colorScale>
    </cfRule>
  </conditionalFormatting>
  <conditionalFormatting sqref="N51">
    <cfRule type="colorScale" priority="14">
      <colorScale>
        <cfvo type="min"/>
        <cfvo type="max"/>
        <color rgb="FFFFEF9C"/>
        <color rgb="FFFF7128"/>
      </colorScale>
    </cfRule>
  </conditionalFormatting>
  <conditionalFormatting sqref="O51">
    <cfRule type="colorScale" priority="13">
      <colorScale>
        <cfvo type="min"/>
        <cfvo type="max"/>
        <color rgb="FFFFEF9C"/>
        <color rgb="FFFF7128"/>
      </colorScale>
    </cfRule>
  </conditionalFormatting>
  <conditionalFormatting sqref="P51">
    <cfRule type="colorScale" priority="12">
      <colorScale>
        <cfvo type="min"/>
        <cfvo type="max"/>
        <color rgb="FFFFEF9C"/>
        <color rgb="FFFF7128"/>
      </colorScale>
    </cfRule>
  </conditionalFormatting>
  <conditionalFormatting sqref="Q51">
    <cfRule type="colorScale" priority="11">
      <colorScale>
        <cfvo type="min"/>
        <cfvo type="max"/>
        <color rgb="FFFFEF9C"/>
        <color rgb="FFFF7128"/>
      </colorScale>
    </cfRule>
  </conditionalFormatting>
  <conditionalFormatting sqref="R51">
    <cfRule type="colorScale" priority="10">
      <colorScale>
        <cfvo type="min"/>
        <cfvo type="max"/>
        <color rgb="FFFFEF9C"/>
        <color rgb="FFFF7128"/>
      </colorScale>
    </cfRule>
  </conditionalFormatting>
  <conditionalFormatting sqref="S51">
    <cfRule type="colorScale" priority="9">
      <colorScale>
        <cfvo type="min"/>
        <cfvo type="max"/>
        <color rgb="FFFFEF9C"/>
        <color rgb="FFFF7128"/>
      </colorScale>
    </cfRule>
  </conditionalFormatting>
  <conditionalFormatting sqref="T51">
    <cfRule type="colorScale" priority="8">
      <colorScale>
        <cfvo type="min"/>
        <cfvo type="max"/>
        <color rgb="FFFFEF9C"/>
        <color rgb="FFFF7128"/>
      </colorScale>
    </cfRule>
  </conditionalFormatting>
  <conditionalFormatting sqref="U51">
    <cfRule type="colorScale" priority="7">
      <colorScale>
        <cfvo type="min"/>
        <cfvo type="max"/>
        <color rgb="FFFFEF9C"/>
        <color rgb="FFFF7128"/>
      </colorScale>
    </cfRule>
  </conditionalFormatting>
  <conditionalFormatting sqref="V51">
    <cfRule type="colorScale" priority="6">
      <colorScale>
        <cfvo type="min"/>
        <cfvo type="max"/>
        <color rgb="FFFFEF9C"/>
        <color rgb="FFFF7128"/>
      </colorScale>
    </cfRule>
  </conditionalFormatting>
  <conditionalFormatting sqref="W51">
    <cfRule type="colorScale" priority="5">
      <colorScale>
        <cfvo type="min"/>
        <cfvo type="max"/>
        <color rgb="FFFFEF9C"/>
        <color rgb="FFFF7128"/>
      </colorScale>
    </cfRule>
  </conditionalFormatting>
  <conditionalFormatting sqref="X51">
    <cfRule type="colorScale" priority="4">
      <colorScale>
        <cfvo type="min"/>
        <cfvo type="max"/>
        <color rgb="FFFFEF9C"/>
        <color rgb="FFFF7128"/>
      </colorScale>
    </cfRule>
  </conditionalFormatting>
  <conditionalFormatting sqref="Y51">
    <cfRule type="colorScale" priority="3">
      <colorScale>
        <cfvo type="min"/>
        <cfvo type="max"/>
        <color rgb="FFFFEF9C"/>
        <color rgb="FFFF7128"/>
      </colorScale>
    </cfRule>
  </conditionalFormatting>
  <conditionalFormatting sqref="C51">
    <cfRule type="colorScale" priority="2">
      <colorScale>
        <cfvo type="min"/>
        <cfvo type="max"/>
        <color rgb="FFFFEF9C"/>
        <color rgb="FFFF7128"/>
      </colorScale>
    </cfRule>
  </conditionalFormatting>
  <conditionalFormatting sqref="G51:G55 G39:G47 G30:G35 G17:G26">
    <cfRule type="colorScale" priority="1">
      <colorScale>
        <cfvo type="min"/>
        <cfvo type="max"/>
        <color rgb="FFFFEF9C"/>
        <color rgb="FFFF7128"/>
      </colorScale>
    </cfRule>
  </conditionalFormatting>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heetViews>
  <sheetFormatPr defaultRowHeight="15" x14ac:dyDescent="0.25"/>
  <cols>
    <col min="1" max="1" width="24.28515625" style="482" bestFit="1" customWidth="1"/>
    <col min="2" max="2" width="11.7109375" style="482" customWidth="1"/>
    <col min="3" max="4" width="11.7109375" style="668" customWidth="1"/>
    <col min="5" max="16384" width="9.140625" style="482"/>
  </cols>
  <sheetData>
    <row r="1" spans="1:4" ht="18" thickBot="1" x14ac:dyDescent="0.3">
      <c r="A1" s="675" t="s">
        <v>101</v>
      </c>
      <c r="B1" s="676" t="s">
        <v>14</v>
      </c>
      <c r="C1" s="677" t="s">
        <v>235</v>
      </c>
      <c r="D1" s="678" t="s">
        <v>236</v>
      </c>
    </row>
    <row r="2" spans="1:4" x14ac:dyDescent="0.25">
      <c r="A2" s="669" t="s">
        <v>87</v>
      </c>
      <c r="B2" s="670" t="s">
        <v>148</v>
      </c>
      <c r="C2" s="662">
        <v>28.374602487699999</v>
      </c>
      <c r="D2" s="663">
        <f t="shared" ref="D2:D22" si="0">C2*0.386102</f>
        <v>10.955490769705944</v>
      </c>
    </row>
    <row r="3" spans="1:4" x14ac:dyDescent="0.25">
      <c r="A3" s="671" t="s">
        <v>86</v>
      </c>
      <c r="B3" s="672" t="s">
        <v>148</v>
      </c>
      <c r="C3" s="664">
        <v>68.877680046400002</v>
      </c>
      <c r="D3" s="665">
        <f t="shared" si="0"/>
        <v>26.593810021275132</v>
      </c>
    </row>
    <row r="4" spans="1:4" x14ac:dyDescent="0.25">
      <c r="A4" s="671" t="s">
        <v>84</v>
      </c>
      <c r="B4" s="672" t="s">
        <v>148</v>
      </c>
      <c r="C4" s="664">
        <v>162.76963845500001</v>
      </c>
      <c r="D4" s="665">
        <f t="shared" si="0"/>
        <v>62.845682946752412</v>
      </c>
    </row>
    <row r="5" spans="1:4" x14ac:dyDescent="0.25">
      <c r="A5" s="671" t="s">
        <v>40</v>
      </c>
      <c r="B5" s="672" t="s">
        <v>148</v>
      </c>
      <c r="C5" s="664">
        <v>221.11619006699999</v>
      </c>
      <c r="D5" s="665">
        <f t="shared" si="0"/>
        <v>85.373403217248836</v>
      </c>
    </row>
    <row r="6" spans="1:4" x14ac:dyDescent="0.25">
      <c r="A6" s="671" t="s">
        <v>34</v>
      </c>
      <c r="B6" s="672" t="s">
        <v>148</v>
      </c>
      <c r="C6" s="664">
        <v>638.97699999999998</v>
      </c>
      <c r="D6" s="665">
        <f t="shared" si="0"/>
        <v>246.71029765399999</v>
      </c>
    </row>
    <row r="7" spans="1:4" x14ac:dyDescent="0.25">
      <c r="A7" s="671" t="s">
        <v>52</v>
      </c>
      <c r="B7" s="672" t="s">
        <v>148</v>
      </c>
      <c r="C7" s="664">
        <v>9.17158440563</v>
      </c>
      <c r="D7" s="665">
        <f t="shared" si="0"/>
        <v>3.5411670821825543</v>
      </c>
    </row>
    <row r="8" spans="1:4" x14ac:dyDescent="0.25">
      <c r="A8" s="671" t="s">
        <v>29</v>
      </c>
      <c r="B8" s="672" t="s">
        <v>148</v>
      </c>
      <c r="C8" s="664">
        <v>354.88857151399998</v>
      </c>
      <c r="D8" s="665">
        <f t="shared" si="0"/>
        <v>137.02318723869843</v>
      </c>
    </row>
    <row r="9" spans="1:4" x14ac:dyDescent="0.25">
      <c r="A9" s="671" t="s">
        <v>31</v>
      </c>
      <c r="B9" s="672" t="s">
        <v>148</v>
      </c>
      <c r="C9" s="664">
        <v>279.18899567400001</v>
      </c>
      <c r="D9" s="665">
        <f t="shared" si="0"/>
        <v>107.79542960772275</v>
      </c>
    </row>
    <row r="10" spans="1:4" s="707" customFormat="1" x14ac:dyDescent="0.25">
      <c r="A10" s="671" t="s">
        <v>144</v>
      </c>
      <c r="B10" s="672" t="s">
        <v>148</v>
      </c>
      <c r="C10" s="664">
        <f>1679.15277-C9-C2-C3</f>
        <v>1302.7114917919</v>
      </c>
      <c r="D10" s="665">
        <f t="shared" si="0"/>
        <v>502.97951240383617</v>
      </c>
    </row>
    <row r="11" spans="1:4" x14ac:dyDescent="0.25">
      <c r="A11" s="671" t="s">
        <v>57</v>
      </c>
      <c r="B11" s="672" t="s">
        <v>148</v>
      </c>
      <c r="C11" s="664">
        <v>24.391836041800001</v>
      </c>
      <c r="D11" s="665">
        <f t="shared" si="0"/>
        <v>9.417736679411064</v>
      </c>
    </row>
    <row r="12" spans="1:4" x14ac:dyDescent="0.25">
      <c r="A12" s="671" t="s">
        <v>58</v>
      </c>
      <c r="B12" s="672" t="s">
        <v>148</v>
      </c>
      <c r="C12" s="664">
        <v>83.096011394200005</v>
      </c>
      <c r="D12" s="665">
        <f t="shared" si="0"/>
        <v>32.083536191323411</v>
      </c>
    </row>
    <row r="13" spans="1:4" x14ac:dyDescent="0.25">
      <c r="A13" s="671" t="s">
        <v>59</v>
      </c>
      <c r="B13" s="672" t="s">
        <v>148</v>
      </c>
      <c r="C13" s="664">
        <v>35.6446334615</v>
      </c>
      <c r="D13" s="665">
        <f t="shared" si="0"/>
        <v>13.762464268752073</v>
      </c>
    </row>
    <row r="14" spans="1:4" x14ac:dyDescent="0.25">
      <c r="A14" s="671" t="s">
        <v>33</v>
      </c>
      <c r="B14" s="672" t="s">
        <v>148</v>
      </c>
      <c r="C14" s="664">
        <v>24.405466798300001</v>
      </c>
      <c r="D14" s="665">
        <f t="shared" si="0"/>
        <v>9.4229995417572265</v>
      </c>
    </row>
    <row r="15" spans="1:4" x14ac:dyDescent="0.25">
      <c r="A15" s="671" t="s">
        <v>62</v>
      </c>
      <c r="B15" s="672" t="s">
        <v>148</v>
      </c>
      <c r="C15" s="664">
        <v>6.2414609301599997</v>
      </c>
      <c r="D15" s="665">
        <f t="shared" si="0"/>
        <v>2.4098405480566361</v>
      </c>
    </row>
    <row r="16" spans="1:4" x14ac:dyDescent="0.25">
      <c r="A16" s="671" t="s">
        <v>28</v>
      </c>
      <c r="B16" s="672" t="s">
        <v>64</v>
      </c>
      <c r="C16" s="664">
        <v>262.87234969399998</v>
      </c>
      <c r="D16" s="665">
        <f t="shared" si="0"/>
        <v>101.49553996155278</v>
      </c>
    </row>
    <row r="17" spans="1:4" x14ac:dyDescent="0.25">
      <c r="A17" s="671" t="s">
        <v>80</v>
      </c>
      <c r="B17" s="672" t="s">
        <v>64</v>
      </c>
      <c r="C17" s="664">
        <v>236.56177146600001</v>
      </c>
      <c r="D17" s="665">
        <f t="shared" si="0"/>
        <v>91.336973086565536</v>
      </c>
    </row>
    <row r="18" spans="1:4" x14ac:dyDescent="0.25">
      <c r="A18" s="671" t="s">
        <v>41</v>
      </c>
      <c r="B18" s="672" t="s">
        <v>64</v>
      </c>
      <c r="C18" s="664">
        <v>204.65629859500001</v>
      </c>
      <c r="D18" s="665">
        <f t="shared" si="0"/>
        <v>79.018206200126698</v>
      </c>
    </row>
    <row r="19" spans="1:4" x14ac:dyDescent="0.25">
      <c r="A19" s="671" t="s">
        <v>51</v>
      </c>
      <c r="B19" s="672" t="s">
        <v>64</v>
      </c>
      <c r="C19" s="664">
        <v>192.52834062599999</v>
      </c>
      <c r="D19" s="665">
        <f t="shared" si="0"/>
        <v>74.335577372379845</v>
      </c>
    </row>
    <row r="20" spans="1:4" x14ac:dyDescent="0.25">
      <c r="A20" s="671" t="s">
        <v>60</v>
      </c>
      <c r="B20" s="672" t="s">
        <v>64</v>
      </c>
      <c r="C20" s="664">
        <v>58.6415993918</v>
      </c>
      <c r="D20" s="665">
        <f t="shared" si="0"/>
        <v>22.641638808372765</v>
      </c>
    </row>
    <row r="21" spans="1:4" x14ac:dyDescent="0.25">
      <c r="A21" s="671" t="s">
        <v>61</v>
      </c>
      <c r="B21" s="672" t="s">
        <v>64</v>
      </c>
      <c r="C21" s="664">
        <v>117.40536987199999</v>
      </c>
      <c r="D21" s="665">
        <f t="shared" si="0"/>
        <v>45.330448118318941</v>
      </c>
    </row>
    <row r="22" spans="1:4" x14ac:dyDescent="0.25">
      <c r="A22" s="671" t="s">
        <v>50</v>
      </c>
      <c r="B22" s="672" t="s">
        <v>49</v>
      </c>
      <c r="C22" s="664">
        <v>56.895315705900003</v>
      </c>
      <c r="D22" s="665">
        <f t="shared" si="0"/>
        <v>21.967395184679404</v>
      </c>
    </row>
    <row r="23" spans="1:4" x14ac:dyDescent="0.25">
      <c r="A23" s="671" t="s">
        <v>91</v>
      </c>
      <c r="B23" s="672" t="s">
        <v>49</v>
      </c>
      <c r="C23" s="664">
        <v>6.3904514513256503</v>
      </c>
      <c r="D23" s="665">
        <v>2.4673660862597364</v>
      </c>
    </row>
    <row r="24" spans="1:4" x14ac:dyDescent="0.25">
      <c r="A24" s="671" t="s">
        <v>88</v>
      </c>
      <c r="B24" s="672" t="s">
        <v>49</v>
      </c>
      <c r="C24" s="664">
        <v>25.5350484503</v>
      </c>
      <c r="D24" s="665">
        <f t="shared" ref="D24:D41" si="1">C24*0.386102</f>
        <v>9.8591332767577313</v>
      </c>
    </row>
    <row r="25" spans="1:4" x14ac:dyDescent="0.25">
      <c r="A25" s="671" t="s">
        <v>43</v>
      </c>
      <c r="B25" s="672" t="s">
        <v>49</v>
      </c>
      <c r="C25" s="664">
        <v>114.805302658</v>
      </c>
      <c r="D25" s="665">
        <f t="shared" si="1"/>
        <v>44.326556966859116</v>
      </c>
    </row>
    <row r="26" spans="1:4" x14ac:dyDescent="0.25">
      <c r="A26" s="671" t="s">
        <v>44</v>
      </c>
      <c r="B26" s="672" t="s">
        <v>49</v>
      </c>
      <c r="C26" s="664">
        <v>110.941443698</v>
      </c>
      <c r="D26" s="665">
        <f t="shared" si="1"/>
        <v>42.834713294685194</v>
      </c>
    </row>
    <row r="27" spans="1:4" x14ac:dyDescent="0.25">
      <c r="A27" s="671" t="s">
        <v>54</v>
      </c>
      <c r="B27" s="672" t="s">
        <v>49</v>
      </c>
      <c r="C27" s="664">
        <v>68.426720121499997</v>
      </c>
      <c r="D27" s="665">
        <f t="shared" si="1"/>
        <v>26.419693492351392</v>
      </c>
    </row>
    <row r="28" spans="1:4" x14ac:dyDescent="0.25">
      <c r="A28" s="671" t="s">
        <v>47</v>
      </c>
      <c r="B28" s="672" t="s">
        <v>49</v>
      </c>
      <c r="C28" s="664">
        <v>187.50132536999999</v>
      </c>
      <c r="D28" s="665">
        <f t="shared" si="1"/>
        <v>72.39463672800774</v>
      </c>
    </row>
    <row r="29" spans="1:4" x14ac:dyDescent="0.25">
      <c r="A29" s="671" t="s">
        <v>85</v>
      </c>
      <c r="B29" s="672" t="s">
        <v>49</v>
      </c>
      <c r="C29" s="664">
        <v>491.904773654</v>
      </c>
      <c r="D29" s="665">
        <f t="shared" si="1"/>
        <v>189.9254169173567</v>
      </c>
    </row>
    <row r="30" spans="1:4" x14ac:dyDescent="0.25">
      <c r="A30" s="671" t="s">
        <v>82</v>
      </c>
      <c r="B30" s="672" t="s">
        <v>49</v>
      </c>
      <c r="C30" s="664">
        <v>45.976298005300002</v>
      </c>
      <c r="D30" s="665">
        <f t="shared" si="1"/>
        <v>17.751540612442341</v>
      </c>
    </row>
    <row r="31" spans="1:4" x14ac:dyDescent="0.25">
      <c r="A31" s="671" t="s">
        <v>48</v>
      </c>
      <c r="B31" s="672" t="s">
        <v>49</v>
      </c>
      <c r="C31" s="664">
        <v>229.85415195799999</v>
      </c>
      <c r="D31" s="665">
        <f t="shared" si="1"/>
        <v>88.747147779287715</v>
      </c>
    </row>
    <row r="32" spans="1:4" x14ac:dyDescent="0.25">
      <c r="A32" s="671" t="s">
        <v>23</v>
      </c>
      <c r="B32" s="672" t="s">
        <v>46</v>
      </c>
      <c r="C32" s="664">
        <v>66.010469595900005</v>
      </c>
      <c r="D32" s="665">
        <f t="shared" si="1"/>
        <v>25.486774331916184</v>
      </c>
    </row>
    <row r="33" spans="1:4" x14ac:dyDescent="0.25">
      <c r="A33" s="671" t="s">
        <v>35</v>
      </c>
      <c r="B33" s="672" t="s">
        <v>46</v>
      </c>
      <c r="C33" s="664">
        <v>34.7500526034</v>
      </c>
      <c r="D33" s="665">
        <f t="shared" si="1"/>
        <v>13.417064810277948</v>
      </c>
    </row>
    <row r="34" spans="1:4" x14ac:dyDescent="0.25">
      <c r="A34" s="671" t="s">
        <v>37</v>
      </c>
      <c r="B34" s="672" t="s">
        <v>46</v>
      </c>
      <c r="C34" s="664">
        <v>208.283205356</v>
      </c>
      <c r="D34" s="665">
        <f t="shared" si="1"/>
        <v>80.418562154362306</v>
      </c>
    </row>
    <row r="35" spans="1:4" x14ac:dyDescent="0.25">
      <c r="A35" s="671" t="s">
        <v>79</v>
      </c>
      <c r="B35" s="672" t="s">
        <v>46</v>
      </c>
      <c r="C35" s="664">
        <v>69.446583898200004</v>
      </c>
      <c r="D35" s="665">
        <f t="shared" si="1"/>
        <v>26.813464936262818</v>
      </c>
    </row>
    <row r="36" spans="1:4" x14ac:dyDescent="0.25">
      <c r="A36" s="671" t="s">
        <v>27</v>
      </c>
      <c r="B36" s="672" t="s">
        <v>46</v>
      </c>
      <c r="C36" s="664">
        <v>191.38208487899999</v>
      </c>
      <c r="D36" s="665">
        <f t="shared" si="1"/>
        <v>73.893005735951661</v>
      </c>
    </row>
    <row r="37" spans="1:4" x14ac:dyDescent="0.25">
      <c r="A37" s="671" t="s">
        <v>38</v>
      </c>
      <c r="B37" s="672" t="s">
        <v>46</v>
      </c>
      <c r="C37" s="664">
        <v>208.718768643</v>
      </c>
      <c r="D37" s="665">
        <f t="shared" si="1"/>
        <v>80.586734010599585</v>
      </c>
    </row>
    <row r="38" spans="1:4" x14ac:dyDescent="0.25">
      <c r="A38" s="671" t="s">
        <v>39</v>
      </c>
      <c r="B38" s="672" t="s">
        <v>46</v>
      </c>
      <c r="C38" s="664">
        <v>130.584587051</v>
      </c>
      <c r="D38" s="665">
        <f t="shared" si="1"/>
        <v>50.418970229565204</v>
      </c>
    </row>
    <row r="39" spans="1:4" x14ac:dyDescent="0.25">
      <c r="A39" s="671" t="s">
        <v>42</v>
      </c>
      <c r="B39" s="672" t="s">
        <v>46</v>
      </c>
      <c r="C39" s="664">
        <v>138.656552683</v>
      </c>
      <c r="D39" s="665">
        <f t="shared" si="1"/>
        <v>53.535572304011666</v>
      </c>
    </row>
    <row r="40" spans="1:4" x14ac:dyDescent="0.25">
      <c r="A40" s="671" t="s">
        <v>30</v>
      </c>
      <c r="B40" s="672" t="s">
        <v>46</v>
      </c>
      <c r="C40" s="664">
        <v>173.19060915399999</v>
      </c>
      <c r="D40" s="665">
        <f t="shared" si="1"/>
        <v>66.869240575577706</v>
      </c>
    </row>
    <row r="41" spans="1:4" ht="15.75" thickBot="1" x14ac:dyDescent="0.3">
      <c r="A41" s="673" t="s">
        <v>45</v>
      </c>
      <c r="B41" s="674" t="s">
        <v>46</v>
      </c>
      <c r="C41" s="666">
        <v>32.469128393399998</v>
      </c>
      <c r="D41" s="667">
        <f t="shared" si="1"/>
        <v>12.536395410948526</v>
      </c>
    </row>
    <row r="43" spans="1:4" x14ac:dyDescent="0.25">
      <c r="A43" s="708" t="s">
        <v>327</v>
      </c>
    </row>
  </sheetData>
  <sheetProtection password="EE40" sheet="1" objects="1" scenarios="1"/>
  <sortState ref="A2:D40">
    <sortCondition ref="B2:B40"/>
    <sortCondition ref="A2:A40"/>
    <sortCondition ref="C2:C40"/>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5" zoomScaleNormal="75" workbookViewId="0">
      <selection activeCell="AC27" sqref="AC27"/>
    </sheetView>
  </sheetViews>
  <sheetFormatPr defaultRowHeight="15" x14ac:dyDescent="0.25"/>
  <sheetData/>
  <sheetProtection password="EE40" sheet="1" objects="1" scenario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workbookViewId="0">
      <selection activeCell="P33" sqref="P33"/>
    </sheetView>
  </sheetViews>
  <sheetFormatPr defaultColWidth="57.42578125" defaultRowHeight="15.75" x14ac:dyDescent="0.25"/>
  <cols>
    <col min="1" max="1" width="16.5703125" style="163" bestFit="1" customWidth="1"/>
    <col min="2" max="21" width="3.85546875" style="163" bestFit="1" customWidth="1"/>
    <col min="22" max="22" width="47.85546875" style="163" bestFit="1" customWidth="1"/>
    <col min="23" max="16384" width="57.42578125" style="163"/>
  </cols>
  <sheetData>
    <row r="1" spans="1:22" ht="16.5" thickTop="1" x14ac:dyDescent="0.25">
      <c r="A1" s="836" t="s">
        <v>102</v>
      </c>
      <c r="B1" s="838" t="s">
        <v>103</v>
      </c>
      <c r="C1" s="839"/>
      <c r="D1" s="839"/>
      <c r="E1" s="840"/>
      <c r="F1" s="838" t="s">
        <v>104</v>
      </c>
      <c r="G1" s="841"/>
      <c r="H1" s="841"/>
      <c r="I1" s="841"/>
      <c r="J1" s="841"/>
      <c r="K1" s="841"/>
      <c r="L1" s="841"/>
      <c r="M1" s="841"/>
      <c r="N1" s="841"/>
      <c r="O1" s="841"/>
      <c r="P1" s="841"/>
      <c r="Q1" s="841"/>
      <c r="R1" s="841"/>
      <c r="S1" s="841"/>
      <c r="T1" s="841"/>
      <c r="U1" s="841"/>
      <c r="V1" s="842" t="s">
        <v>105</v>
      </c>
    </row>
    <row r="2" spans="1:22" ht="100.5" thickBot="1" x14ac:dyDescent="0.3">
      <c r="A2" s="837"/>
      <c r="B2" s="164" t="s">
        <v>106</v>
      </c>
      <c r="C2" s="165" t="s">
        <v>107</v>
      </c>
      <c r="D2" s="165" t="s">
        <v>108</v>
      </c>
      <c r="E2" s="166" t="s">
        <v>109</v>
      </c>
      <c r="F2" s="167" t="s">
        <v>110</v>
      </c>
      <c r="G2" s="168" t="s">
        <v>111</v>
      </c>
      <c r="H2" s="168" t="s">
        <v>112</v>
      </c>
      <c r="I2" s="168" t="s">
        <v>113</v>
      </c>
      <c r="J2" s="168" t="s">
        <v>114</v>
      </c>
      <c r="K2" s="168" t="s">
        <v>115</v>
      </c>
      <c r="L2" s="168" t="s">
        <v>116</v>
      </c>
      <c r="M2" s="168" t="s">
        <v>117</v>
      </c>
      <c r="N2" s="168" t="s">
        <v>118</v>
      </c>
      <c r="O2" s="168" t="s">
        <v>119</v>
      </c>
      <c r="P2" s="168" t="s">
        <v>120</v>
      </c>
      <c r="Q2" s="168" t="s">
        <v>121</v>
      </c>
      <c r="R2" s="168" t="s">
        <v>122</v>
      </c>
      <c r="S2" s="168" t="s">
        <v>123</v>
      </c>
      <c r="T2" s="168" t="s">
        <v>124</v>
      </c>
      <c r="U2" s="169" t="s">
        <v>125</v>
      </c>
      <c r="V2" s="843"/>
    </row>
    <row r="3" spans="1:22" ht="17.25" thickTop="1" thickBot="1" x14ac:dyDescent="0.3">
      <c r="A3" s="170" t="s">
        <v>126</v>
      </c>
      <c r="B3" s="171"/>
      <c r="C3" s="172" t="s">
        <v>127</v>
      </c>
      <c r="D3" s="172" t="s">
        <v>127</v>
      </c>
      <c r="E3" s="173"/>
      <c r="F3" s="174" t="s">
        <v>127</v>
      </c>
      <c r="G3" s="175"/>
      <c r="H3" s="175"/>
      <c r="I3" s="175" t="s">
        <v>127</v>
      </c>
      <c r="J3" s="175"/>
      <c r="K3" s="175"/>
      <c r="L3" s="175"/>
      <c r="M3" s="175"/>
      <c r="N3" s="175" t="s">
        <v>127</v>
      </c>
      <c r="O3" s="175"/>
      <c r="P3" s="175" t="s">
        <v>127</v>
      </c>
      <c r="Q3" s="175" t="s">
        <v>127</v>
      </c>
      <c r="R3" s="175" t="s">
        <v>127</v>
      </c>
      <c r="S3" s="175"/>
      <c r="T3" s="175" t="s">
        <v>127</v>
      </c>
      <c r="U3" s="176"/>
      <c r="V3" s="177" t="s">
        <v>128</v>
      </c>
    </row>
    <row r="4" spans="1:22" ht="17.25" thickTop="1" thickBot="1" x14ac:dyDescent="0.3">
      <c r="A4" s="170" t="s">
        <v>30</v>
      </c>
      <c r="B4" s="171"/>
      <c r="C4" s="172" t="s">
        <v>127</v>
      </c>
      <c r="D4" s="172"/>
      <c r="E4" s="173"/>
      <c r="F4" s="178" t="s">
        <v>127</v>
      </c>
      <c r="G4" s="179"/>
      <c r="H4" s="179"/>
      <c r="I4" s="179" t="s">
        <v>127</v>
      </c>
      <c r="J4" s="179"/>
      <c r="K4" s="179"/>
      <c r="L4" s="179" t="s">
        <v>127</v>
      </c>
      <c r="M4" s="179" t="s">
        <v>127</v>
      </c>
      <c r="N4" s="179"/>
      <c r="O4" s="179"/>
      <c r="P4" s="179" t="s">
        <v>127</v>
      </c>
      <c r="Q4" s="179"/>
      <c r="R4" s="179"/>
      <c r="S4" s="179"/>
      <c r="T4" s="179" t="s">
        <v>127</v>
      </c>
      <c r="U4" s="180"/>
      <c r="V4" s="181"/>
    </row>
    <row r="5" spans="1:22" ht="17.25" thickTop="1" thickBot="1" x14ac:dyDescent="0.3">
      <c r="A5" s="170" t="s">
        <v>27</v>
      </c>
      <c r="B5" s="171"/>
      <c r="C5" s="172" t="s">
        <v>127</v>
      </c>
      <c r="D5" s="172"/>
      <c r="E5" s="173"/>
      <c r="F5" s="178" t="s">
        <v>127</v>
      </c>
      <c r="G5" s="179"/>
      <c r="H5" s="179"/>
      <c r="I5" s="179" t="s">
        <v>127</v>
      </c>
      <c r="J5" s="179"/>
      <c r="K5" s="179" t="s">
        <v>127</v>
      </c>
      <c r="L5" s="179" t="s">
        <v>127</v>
      </c>
      <c r="M5" s="179"/>
      <c r="N5" s="179"/>
      <c r="O5" s="179" t="s">
        <v>127</v>
      </c>
      <c r="P5" s="179"/>
      <c r="Q5" s="179"/>
      <c r="R5" s="179"/>
      <c r="S5" s="179" t="s">
        <v>127</v>
      </c>
      <c r="T5" s="179" t="s">
        <v>127</v>
      </c>
      <c r="U5" s="180"/>
      <c r="V5" s="182" t="s">
        <v>129</v>
      </c>
    </row>
    <row r="6" spans="1:22" ht="17.25" thickTop="1" thickBot="1" x14ac:dyDescent="0.3">
      <c r="A6" s="170" t="s">
        <v>23</v>
      </c>
      <c r="B6" s="171"/>
      <c r="C6" s="172"/>
      <c r="D6" s="172"/>
      <c r="E6" s="173" t="s">
        <v>127</v>
      </c>
      <c r="F6" s="178"/>
      <c r="G6" s="179"/>
      <c r="H6" s="179"/>
      <c r="I6" s="179"/>
      <c r="J6" s="179"/>
      <c r="K6" s="179"/>
      <c r="L6" s="179"/>
      <c r="M6" s="179"/>
      <c r="N6" s="179"/>
      <c r="O6" s="179"/>
      <c r="P6" s="179"/>
      <c r="Q6" s="179"/>
      <c r="R6" s="179"/>
      <c r="S6" s="179"/>
      <c r="T6" s="179"/>
      <c r="U6" s="180"/>
      <c r="V6" s="182" t="s">
        <v>130</v>
      </c>
    </row>
    <row r="7" spans="1:22" ht="17.25" thickTop="1" thickBot="1" x14ac:dyDescent="0.3">
      <c r="A7" s="170" t="s">
        <v>28</v>
      </c>
      <c r="B7" s="171"/>
      <c r="C7" s="172"/>
      <c r="D7" s="172"/>
      <c r="E7" s="173" t="s">
        <v>127</v>
      </c>
      <c r="F7" s="178"/>
      <c r="G7" s="179"/>
      <c r="H7" s="179"/>
      <c r="I7" s="179"/>
      <c r="J7" s="179" t="s">
        <v>127</v>
      </c>
      <c r="K7" s="179"/>
      <c r="L7" s="179"/>
      <c r="M7" s="179"/>
      <c r="N7" s="179"/>
      <c r="O7" s="179"/>
      <c r="P7" s="179"/>
      <c r="Q7" s="179"/>
      <c r="R7" s="179"/>
      <c r="S7" s="179"/>
      <c r="T7" s="179"/>
      <c r="U7" s="180"/>
      <c r="V7" s="182" t="s">
        <v>131</v>
      </c>
    </row>
    <row r="8" spans="1:22" ht="17.25" thickTop="1" thickBot="1" x14ac:dyDescent="0.3">
      <c r="A8" s="170" t="s">
        <v>29</v>
      </c>
      <c r="B8" s="171"/>
      <c r="C8" s="172" t="s">
        <v>127</v>
      </c>
      <c r="D8" s="172"/>
      <c r="E8" s="173" t="s">
        <v>127</v>
      </c>
      <c r="F8" s="178" t="s">
        <v>127</v>
      </c>
      <c r="G8" s="179"/>
      <c r="H8" s="179"/>
      <c r="I8" s="179" t="s">
        <v>127</v>
      </c>
      <c r="J8" s="179" t="s">
        <v>127</v>
      </c>
      <c r="K8" s="179"/>
      <c r="L8" s="179" t="s">
        <v>127</v>
      </c>
      <c r="M8" s="179"/>
      <c r="N8" s="179" t="s">
        <v>127</v>
      </c>
      <c r="O8" s="179"/>
      <c r="P8" s="179"/>
      <c r="Q8" s="179"/>
      <c r="R8" s="179"/>
      <c r="S8" s="179" t="s">
        <v>127</v>
      </c>
      <c r="T8" s="179" t="s">
        <v>127</v>
      </c>
      <c r="U8" s="180" t="s">
        <v>127</v>
      </c>
      <c r="V8" s="182" t="s">
        <v>132</v>
      </c>
    </row>
    <row r="9" spans="1:22" ht="17.25" thickTop="1" thickBot="1" x14ac:dyDescent="0.3">
      <c r="A9" s="170" t="s">
        <v>31</v>
      </c>
      <c r="B9" s="171" t="s">
        <v>127</v>
      </c>
      <c r="C9" s="172"/>
      <c r="D9" s="172"/>
      <c r="E9" s="173"/>
      <c r="F9" s="178" t="s">
        <v>127</v>
      </c>
      <c r="G9" s="179" t="s">
        <v>127</v>
      </c>
      <c r="H9" s="179"/>
      <c r="I9" s="179" t="s">
        <v>127</v>
      </c>
      <c r="J9" s="179"/>
      <c r="K9" s="179"/>
      <c r="L9" s="179"/>
      <c r="M9" s="179"/>
      <c r="N9" s="179"/>
      <c r="O9" s="179"/>
      <c r="P9" s="179"/>
      <c r="Q9" s="179"/>
      <c r="R9" s="179"/>
      <c r="S9" s="179"/>
      <c r="T9" s="179"/>
      <c r="U9" s="180"/>
      <c r="V9" s="182" t="s">
        <v>133</v>
      </c>
    </row>
    <row r="10" spans="1:22" ht="17.25" thickTop="1" thickBot="1" x14ac:dyDescent="0.3">
      <c r="A10" s="170" t="s">
        <v>33</v>
      </c>
      <c r="B10" s="171"/>
      <c r="C10" s="172" t="s">
        <v>127</v>
      </c>
      <c r="D10" s="172"/>
      <c r="E10" s="173"/>
      <c r="F10" s="178" t="s">
        <v>127</v>
      </c>
      <c r="G10" s="179" t="s">
        <v>127</v>
      </c>
      <c r="H10" s="179" t="s">
        <v>127</v>
      </c>
      <c r="I10" s="179" t="s">
        <v>127</v>
      </c>
      <c r="J10" s="179"/>
      <c r="K10" s="179"/>
      <c r="L10" s="179"/>
      <c r="M10" s="179"/>
      <c r="N10" s="179"/>
      <c r="O10" s="179" t="s">
        <v>127</v>
      </c>
      <c r="P10" s="179"/>
      <c r="Q10" s="179"/>
      <c r="R10" s="179"/>
      <c r="S10" s="179"/>
      <c r="T10" s="179" t="s">
        <v>127</v>
      </c>
      <c r="U10" s="180"/>
      <c r="V10" s="181"/>
    </row>
    <row r="11" spans="1:22" ht="17.25" thickTop="1" thickBot="1" x14ac:dyDescent="0.3">
      <c r="A11" s="170" t="s">
        <v>84</v>
      </c>
      <c r="B11" s="183"/>
      <c r="C11" s="184" t="s">
        <v>127</v>
      </c>
      <c r="D11" s="184"/>
      <c r="E11" s="185" t="s">
        <v>127</v>
      </c>
      <c r="F11" s="186"/>
      <c r="G11" s="187" t="s">
        <v>127</v>
      </c>
      <c r="H11" s="187"/>
      <c r="I11" s="187" t="s">
        <v>127</v>
      </c>
      <c r="J11" s="187" t="s">
        <v>127</v>
      </c>
      <c r="K11" s="187"/>
      <c r="L11" s="187"/>
      <c r="M11" s="187"/>
      <c r="N11" s="187"/>
      <c r="O11" s="187"/>
      <c r="P11" s="187"/>
      <c r="Q11" s="187"/>
      <c r="R11" s="187"/>
      <c r="S11" s="187"/>
      <c r="T11" s="187"/>
      <c r="U11" s="188"/>
      <c r="V11" s="181"/>
    </row>
    <row r="12" spans="1:22" ht="16.5" thickTop="1" x14ac:dyDescent="0.25"/>
  </sheetData>
  <sheetProtection password="EE40" sheet="1" objects="1" scenarios="1"/>
  <mergeCells count="4">
    <mergeCell ref="A1:A2"/>
    <mergeCell ref="B1:E1"/>
    <mergeCell ref="F1:U1"/>
    <mergeCell ref="V1:V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1" sqref="P31"/>
    </sheetView>
  </sheetViews>
  <sheetFormatPr defaultRowHeight="15" x14ac:dyDescent="0.25"/>
  <sheetData/>
  <sheetProtection password="EE40" sheet="1" objects="1" scenarios="1"/>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workbookViewId="0">
      <selection activeCell="N19" sqref="N19"/>
    </sheetView>
  </sheetViews>
  <sheetFormatPr defaultRowHeight="15" x14ac:dyDescent="0.25"/>
  <sheetData>
    <row r="1" spans="1:27" x14ac:dyDescent="0.25">
      <c r="A1" s="703" t="s">
        <v>322</v>
      </c>
      <c r="B1" s="704"/>
      <c r="C1" s="704"/>
      <c r="D1" s="704"/>
      <c r="E1" s="704"/>
      <c r="F1" s="704"/>
      <c r="G1" s="704"/>
      <c r="H1" s="704"/>
      <c r="I1" s="704"/>
      <c r="J1" s="704"/>
      <c r="K1" s="704"/>
      <c r="L1" s="704"/>
      <c r="M1" s="704"/>
      <c r="O1" s="705" t="s">
        <v>324</v>
      </c>
      <c r="P1" s="706"/>
      <c r="Q1" s="706"/>
      <c r="R1" s="706"/>
      <c r="S1" s="706"/>
      <c r="T1" s="706"/>
      <c r="U1" s="706"/>
      <c r="V1" s="706"/>
      <c r="W1" s="706"/>
      <c r="X1" s="706"/>
      <c r="Y1" s="706"/>
      <c r="Z1" s="706"/>
      <c r="AA1" s="706"/>
    </row>
    <row r="55" spans="1:27" x14ac:dyDescent="0.25">
      <c r="A55" s="703" t="s">
        <v>323</v>
      </c>
      <c r="B55" s="704"/>
      <c r="C55" s="704"/>
      <c r="D55" s="704"/>
      <c r="E55" s="704"/>
      <c r="F55" s="704"/>
      <c r="G55" s="704"/>
      <c r="H55" s="704"/>
      <c r="I55" s="704"/>
      <c r="J55" s="704"/>
      <c r="K55" s="704"/>
      <c r="L55" s="704"/>
      <c r="M55" s="704"/>
      <c r="O55" s="705" t="s">
        <v>325</v>
      </c>
      <c r="P55" s="706"/>
      <c r="Q55" s="706"/>
      <c r="R55" s="706"/>
      <c r="S55" s="706"/>
      <c r="T55" s="706"/>
      <c r="U55" s="706"/>
      <c r="V55" s="706"/>
      <c r="W55" s="706"/>
      <c r="X55" s="706"/>
      <c r="Y55" s="706"/>
      <c r="Z55" s="706"/>
      <c r="AA55" s="706"/>
    </row>
  </sheetData>
  <sheetProtection password="EE40" sheet="1" objects="1" scenarios="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0" zoomScaleNormal="60" workbookViewId="0"/>
  </sheetViews>
  <sheetFormatPr defaultRowHeight="15" x14ac:dyDescent="0.25"/>
  <sheetData/>
  <sheetProtection password="EE40" sheet="1" objects="1" scenarios="1"/>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0" zoomScaleNormal="60" workbookViewId="0"/>
  </sheetViews>
  <sheetFormatPr defaultRowHeight="15" x14ac:dyDescent="0.25"/>
  <sheetData/>
  <sheetProtection password="EE40" sheet="1" objects="1" scenarios="1"/>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0" zoomScaleNormal="60" workbookViewId="0"/>
  </sheetViews>
  <sheetFormatPr defaultRowHeight="15" x14ac:dyDescent="0.25"/>
  <sheetData/>
  <sheetProtection password="EE40" sheet="1" objects="1" scenarios="1"/>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0" zoomScaleNormal="60" workbookViewId="0"/>
  </sheetViews>
  <sheetFormatPr defaultRowHeight="15" x14ac:dyDescent="0.25"/>
  <sheetData/>
  <sheetProtection password="EE4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workbookViewId="0">
      <selection activeCell="A34" sqref="A34"/>
    </sheetView>
  </sheetViews>
  <sheetFormatPr defaultRowHeight="15" x14ac:dyDescent="0.25"/>
  <cols>
    <col min="1" max="1" width="28.42578125" customWidth="1"/>
    <col min="2" max="2" width="112.140625" style="455" customWidth="1"/>
  </cols>
  <sheetData>
    <row r="1" spans="1:2" x14ac:dyDescent="0.25">
      <c r="A1" s="456" t="s">
        <v>160</v>
      </c>
      <c r="B1" s="457" t="s">
        <v>161</v>
      </c>
    </row>
    <row r="2" spans="1:2" x14ac:dyDescent="0.25">
      <c r="A2" s="227" t="s">
        <v>336</v>
      </c>
      <c r="B2" s="453" t="s">
        <v>337</v>
      </c>
    </row>
    <row r="3" spans="1:2" x14ac:dyDescent="0.25">
      <c r="A3" s="227" t="s">
        <v>335</v>
      </c>
      <c r="B3" s="453" t="s">
        <v>223</v>
      </c>
    </row>
    <row r="4" spans="1:2" x14ac:dyDescent="0.25">
      <c r="A4" s="227" t="s">
        <v>338</v>
      </c>
      <c r="B4" s="453" t="s">
        <v>339</v>
      </c>
    </row>
    <row r="5" spans="1:2" ht="60" x14ac:dyDescent="0.25">
      <c r="A5" s="227" t="s">
        <v>212</v>
      </c>
      <c r="B5" s="453" t="s">
        <v>224</v>
      </c>
    </row>
    <row r="6" spans="1:2" ht="90" x14ac:dyDescent="0.25">
      <c r="A6" s="227" t="s">
        <v>222</v>
      </c>
      <c r="B6" s="453" t="s">
        <v>320</v>
      </c>
    </row>
    <row r="7" spans="1:2" x14ac:dyDescent="0.25">
      <c r="A7" s="227" t="s">
        <v>155</v>
      </c>
      <c r="B7" s="453" t="s">
        <v>225</v>
      </c>
    </row>
    <row r="8" spans="1:2" x14ac:dyDescent="0.25">
      <c r="A8" s="227" t="s">
        <v>156</v>
      </c>
      <c r="B8" s="453" t="s">
        <v>226</v>
      </c>
    </row>
    <row r="9" spans="1:2" x14ac:dyDescent="0.25">
      <c r="A9" s="227" t="s">
        <v>157</v>
      </c>
      <c r="B9" s="453" t="s">
        <v>227</v>
      </c>
    </row>
    <row r="10" spans="1:2" x14ac:dyDescent="0.25">
      <c r="A10" s="227" t="s">
        <v>158</v>
      </c>
      <c r="B10" s="453" t="s">
        <v>228</v>
      </c>
    </row>
    <row r="11" spans="1:2" x14ac:dyDescent="0.25">
      <c r="A11" s="227" t="s">
        <v>159</v>
      </c>
      <c r="B11" s="453" t="s">
        <v>229</v>
      </c>
    </row>
    <row r="12" spans="1:2" x14ac:dyDescent="0.25">
      <c r="A12" s="227" t="s">
        <v>342</v>
      </c>
      <c r="B12" s="453" t="s">
        <v>341</v>
      </c>
    </row>
    <row r="13" spans="1:2" ht="75" x14ac:dyDescent="0.25">
      <c r="A13" s="228" t="s">
        <v>343</v>
      </c>
      <c r="B13" s="453" t="s">
        <v>340</v>
      </c>
    </row>
    <row r="14" spans="1:2" x14ac:dyDescent="0.25">
      <c r="A14" s="452" t="s">
        <v>213</v>
      </c>
      <c r="B14" s="454" t="s">
        <v>344</v>
      </c>
    </row>
    <row r="15" spans="1:2" x14ac:dyDescent="0.25">
      <c r="A15" s="452" t="s">
        <v>214</v>
      </c>
      <c r="B15" s="454" t="s">
        <v>345</v>
      </c>
    </row>
  </sheetData>
  <sheetProtection password="EE40"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40" zoomScaleNormal="40" workbookViewId="0"/>
  </sheetViews>
  <sheetFormatPr defaultRowHeight="15" x14ac:dyDescent="0.25"/>
  <sheetData/>
  <sheetProtection password="EE40" sheet="1" objects="1" scenarios="1"/>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1"/>
  <sheetViews>
    <sheetView workbookViewId="0">
      <selection activeCell="A3" sqref="A1:XFD3"/>
    </sheetView>
  </sheetViews>
  <sheetFormatPr defaultRowHeight="15" x14ac:dyDescent="0.25"/>
  <cols>
    <col min="1" max="1" width="24.140625" bestFit="1" customWidth="1"/>
  </cols>
  <sheetData>
    <row r="1" spans="1:27" x14ac:dyDescent="0.25">
      <c r="A1" s="157" t="s">
        <v>76</v>
      </c>
      <c r="B1" s="158"/>
      <c r="C1" s="802"/>
      <c r="D1" s="802" t="s">
        <v>81</v>
      </c>
      <c r="E1" s="159"/>
      <c r="F1" s="844" t="s">
        <v>134</v>
      </c>
      <c r="G1" s="799" t="s">
        <v>77</v>
      </c>
      <c r="H1" s="846"/>
      <c r="I1" s="847"/>
      <c r="J1" s="799" t="s">
        <v>78</v>
      </c>
      <c r="K1" s="846"/>
      <c r="L1" s="847"/>
      <c r="M1" s="719" t="s">
        <v>2</v>
      </c>
      <c r="N1" s="720"/>
      <c r="O1" s="720"/>
      <c r="P1" s="720"/>
      <c r="Q1" s="720"/>
      <c r="R1" s="720"/>
      <c r="S1" s="720"/>
      <c r="T1" s="720"/>
      <c r="U1" s="720"/>
      <c r="V1" s="720"/>
      <c r="W1" s="720"/>
      <c r="X1" s="720"/>
      <c r="Y1" s="720"/>
      <c r="Z1" s="158"/>
      <c r="AA1" s="829" t="s">
        <v>90</v>
      </c>
    </row>
    <row r="2" spans="1:27" x14ac:dyDescent="0.25">
      <c r="A2" s="160"/>
      <c r="B2" s="162"/>
      <c r="C2" s="805" t="s">
        <v>83</v>
      </c>
      <c r="D2" s="805"/>
      <c r="E2" s="161"/>
      <c r="F2" s="845"/>
      <c r="G2" s="848"/>
      <c r="H2" s="849"/>
      <c r="I2" s="850"/>
      <c r="J2" s="848"/>
      <c r="K2" s="849"/>
      <c r="L2" s="850"/>
      <c r="M2" s="726" t="s">
        <v>5</v>
      </c>
      <c r="N2" s="723"/>
      <c r="O2" s="722" t="s">
        <v>6</v>
      </c>
      <c r="P2" s="723"/>
      <c r="Q2" s="722" t="s">
        <v>7</v>
      </c>
      <c r="R2" s="723"/>
      <c r="S2" s="722" t="s">
        <v>8</v>
      </c>
      <c r="T2" s="723"/>
      <c r="U2" s="722" t="s">
        <v>9</v>
      </c>
      <c r="V2" s="723"/>
      <c r="W2" s="722" t="s">
        <v>10</v>
      </c>
      <c r="X2" s="723"/>
      <c r="Y2" s="722" t="s">
        <v>11</v>
      </c>
      <c r="Z2" s="851"/>
      <c r="AA2" s="830"/>
    </row>
    <row r="3" spans="1:27" ht="30.75" thickBot="1" x14ac:dyDescent="0.3">
      <c r="A3" s="12" t="s">
        <v>12</v>
      </c>
      <c r="B3" s="13" t="s">
        <v>13</v>
      </c>
      <c r="C3" s="14" t="s">
        <v>63</v>
      </c>
      <c r="D3" s="14" t="s">
        <v>63</v>
      </c>
      <c r="E3" s="15" t="s">
        <v>14</v>
      </c>
      <c r="F3" s="753"/>
      <c r="G3" s="13" t="s">
        <v>18</v>
      </c>
      <c r="H3" s="14" t="s">
        <v>19</v>
      </c>
      <c r="I3" s="19" t="s">
        <v>20</v>
      </c>
      <c r="J3" s="13" t="s">
        <v>18</v>
      </c>
      <c r="K3" s="14" t="s">
        <v>19</v>
      </c>
      <c r="L3" s="19" t="s">
        <v>20</v>
      </c>
      <c r="M3" s="12" t="s">
        <v>21</v>
      </c>
      <c r="N3" s="13" t="s">
        <v>22</v>
      </c>
      <c r="O3" s="17" t="s">
        <v>21</v>
      </c>
      <c r="P3" s="18" t="s">
        <v>22</v>
      </c>
      <c r="Q3" s="17" t="s">
        <v>21</v>
      </c>
      <c r="R3" s="18" t="s">
        <v>22</v>
      </c>
      <c r="S3" s="17" t="s">
        <v>21</v>
      </c>
      <c r="T3" s="18" t="s">
        <v>22</v>
      </c>
      <c r="U3" s="17" t="s">
        <v>21</v>
      </c>
      <c r="V3" s="18" t="s">
        <v>22</v>
      </c>
      <c r="W3" s="17" t="s">
        <v>21</v>
      </c>
      <c r="X3" s="18" t="s">
        <v>22</v>
      </c>
      <c r="Y3" s="13" t="s">
        <v>21</v>
      </c>
      <c r="Z3" s="13" t="s">
        <v>22</v>
      </c>
      <c r="AA3" s="830"/>
    </row>
    <row r="4" spans="1:27" x14ac:dyDescent="0.25">
      <c r="A4" s="48" t="s">
        <v>50</v>
      </c>
      <c r="B4" s="49" t="s">
        <v>36</v>
      </c>
      <c r="C4" s="32">
        <v>21.967395184679404</v>
      </c>
      <c r="D4" s="32">
        <v>21.967395184696191</v>
      </c>
      <c r="E4" s="44" t="s">
        <v>49</v>
      </c>
      <c r="F4" s="44" t="s">
        <v>135</v>
      </c>
      <c r="G4" s="51">
        <v>0</v>
      </c>
      <c r="H4" s="52">
        <v>5.6760200279146128E-3</v>
      </c>
      <c r="I4" s="53">
        <v>4.8369857768301707E-3</v>
      </c>
      <c r="J4" s="51">
        <v>0</v>
      </c>
      <c r="K4" s="52">
        <v>5.6760200279146128E-3</v>
      </c>
      <c r="L4" s="53">
        <v>5.6924442807010909E-4</v>
      </c>
      <c r="M4" s="57">
        <v>8.3141979940185715E-5</v>
      </c>
      <c r="N4" s="51">
        <v>0</v>
      </c>
      <c r="O4" s="54">
        <v>9.8586787394160718E-5</v>
      </c>
      <c r="P4" s="50">
        <v>0</v>
      </c>
      <c r="Q4" s="54">
        <v>1.7576162805018794E-5</v>
      </c>
      <c r="R4" s="50">
        <v>0</v>
      </c>
      <c r="S4" s="54">
        <v>9.4127446857543429E-6</v>
      </c>
      <c r="T4" s="50">
        <v>0</v>
      </c>
      <c r="U4" s="54">
        <v>6.0624276822017621E-5</v>
      </c>
      <c r="V4" s="50">
        <v>0</v>
      </c>
      <c r="W4" s="54">
        <v>1.0126726696731411E-5</v>
      </c>
      <c r="X4" s="50">
        <v>0</v>
      </c>
      <c r="Y4" s="51">
        <v>6.0936189030176299E-5</v>
      </c>
      <c r="Z4" s="56">
        <v>0</v>
      </c>
      <c r="AA4" s="153">
        <v>1</v>
      </c>
    </row>
    <row r="5" spans="1:27" x14ac:dyDescent="0.25">
      <c r="A5" s="48" t="s">
        <v>88</v>
      </c>
      <c r="B5" s="49" t="s">
        <v>36</v>
      </c>
      <c r="C5" s="32">
        <v>9.8591332767577313</v>
      </c>
      <c r="D5" s="32">
        <v>0.20702815144915174</v>
      </c>
      <c r="E5" s="44" t="s">
        <v>49</v>
      </c>
      <c r="F5" s="44" t="s">
        <v>136</v>
      </c>
      <c r="G5" s="51">
        <v>0</v>
      </c>
      <c r="H5" s="52">
        <v>0</v>
      </c>
      <c r="I5" s="53">
        <v>2.7162426224092467E-5</v>
      </c>
      <c r="J5" s="51">
        <v>0</v>
      </c>
      <c r="K5" s="52">
        <v>0</v>
      </c>
      <c r="L5" s="53">
        <v>2.50268651190239E-6</v>
      </c>
      <c r="M5" s="57">
        <v>1.3033617258764298E-4</v>
      </c>
      <c r="N5" s="51">
        <v>4.8843726594775896E-6</v>
      </c>
      <c r="O5" s="54">
        <v>1.0190841257727103E-4</v>
      </c>
      <c r="P5" s="50">
        <v>1.8873280089863311E-4</v>
      </c>
      <c r="Q5" s="54">
        <v>3.1938288878380992E-5</v>
      </c>
      <c r="R5" s="50">
        <v>2.5079088718830184E-9</v>
      </c>
      <c r="S5" s="54">
        <v>4.0569472679301012E-6</v>
      </c>
      <c r="T5" s="50">
        <v>4.9853666453391678E-5</v>
      </c>
      <c r="U5" s="54">
        <v>1.0461537720600035E-5</v>
      </c>
      <c r="V5" s="50">
        <v>0</v>
      </c>
      <c r="W5" s="54">
        <v>4.7383576117793171E-5</v>
      </c>
      <c r="X5" s="50">
        <v>3.3958841383496264E-5</v>
      </c>
      <c r="Y5" s="51">
        <v>3.8331822708062352E-4</v>
      </c>
      <c r="Z5" s="56">
        <v>5.7287081670434557E-5</v>
      </c>
      <c r="AA5" s="153">
        <v>0</v>
      </c>
    </row>
    <row r="6" spans="1:27" x14ac:dyDescent="0.25">
      <c r="A6" s="48" t="s">
        <v>91</v>
      </c>
      <c r="B6" s="49" t="s">
        <v>36</v>
      </c>
      <c r="C6" s="32">
        <v>2.4673660862597364</v>
      </c>
      <c r="D6" s="32">
        <v>2.4673660862597364</v>
      </c>
      <c r="E6" s="33" t="s">
        <v>49</v>
      </c>
      <c r="F6" s="44" t="s">
        <v>137</v>
      </c>
      <c r="G6" s="51">
        <v>0</v>
      </c>
      <c r="H6" s="52">
        <v>8.2343975438146574E-4</v>
      </c>
      <c r="I6" s="53">
        <v>8.1138395807121638E-4</v>
      </c>
      <c r="J6" s="51">
        <v>0</v>
      </c>
      <c r="K6" s="52">
        <v>8.2343975438146574E-4</v>
      </c>
      <c r="L6" s="53">
        <v>6.0386994975571471E-5</v>
      </c>
      <c r="M6" s="57">
        <v>2.1799478263706472E-4</v>
      </c>
      <c r="N6" s="51">
        <v>0</v>
      </c>
      <c r="O6" s="54">
        <v>2.1680439160428979E-4</v>
      </c>
      <c r="P6" s="50">
        <v>6.1899999999999987E-4</v>
      </c>
      <c r="Q6" s="54">
        <v>3.0785593420321824E-5</v>
      </c>
      <c r="R6" s="50">
        <v>1.12E-4</v>
      </c>
      <c r="S6" s="54">
        <v>8.2085645010181582E-6</v>
      </c>
      <c r="T6" s="50">
        <v>0</v>
      </c>
      <c r="U6" s="54">
        <v>1.0149573959700067E-5</v>
      </c>
      <c r="V6" s="50">
        <v>0</v>
      </c>
      <c r="W6" s="54">
        <v>4.7318182848889008E-5</v>
      </c>
      <c r="X6" s="50">
        <v>4.3100000000000001E-4</v>
      </c>
      <c r="Y6" s="51">
        <v>1.3560765332511695E-4</v>
      </c>
      <c r="Z6" s="56">
        <v>0</v>
      </c>
      <c r="AA6" s="153">
        <v>1</v>
      </c>
    </row>
    <row r="7" spans="1:27" x14ac:dyDescent="0.25">
      <c r="A7" s="48" t="s">
        <v>43</v>
      </c>
      <c r="B7" s="49" t="s">
        <v>36</v>
      </c>
      <c r="C7" s="32">
        <v>44.326556966859116</v>
      </c>
      <c r="D7" s="32">
        <v>37.946763317405313</v>
      </c>
      <c r="E7" s="33" t="s">
        <v>49</v>
      </c>
      <c r="F7" s="44" t="s">
        <v>138</v>
      </c>
      <c r="G7" s="51">
        <v>2.6257546739033293E-2</v>
      </c>
      <c r="H7" s="52">
        <v>7.2943906336834915E-3</v>
      </c>
      <c r="I7" s="53">
        <v>8.3593598480180397E-3</v>
      </c>
      <c r="J7" s="51">
        <v>2.4365440173649965E-2</v>
      </c>
      <c r="K7" s="52">
        <v>7.3004293652496107E-3</v>
      </c>
      <c r="L7" s="53">
        <v>1.7998537088023498E-3</v>
      </c>
      <c r="M7" s="57">
        <v>1.3144530289876195E-3</v>
      </c>
      <c r="N7" s="51">
        <v>9.2974360395378262E-5</v>
      </c>
      <c r="O7" s="54">
        <v>1.004624490130282E-3</v>
      </c>
      <c r="P7" s="50">
        <v>2.2980290802519489E-4</v>
      </c>
      <c r="Q7" s="54">
        <v>3.2544461662673902E-4</v>
      </c>
      <c r="R7" s="50">
        <v>6.1926124068208401E-5</v>
      </c>
      <c r="S7" s="54">
        <v>1.7526494955152398E-4</v>
      </c>
      <c r="T7" s="50">
        <v>1.5091021297474605E-4</v>
      </c>
      <c r="U7" s="54">
        <v>1.2774121981407715E-3</v>
      </c>
      <c r="V7" s="50">
        <v>0</v>
      </c>
      <c r="W7" s="54">
        <v>2.2600971897664097E-4</v>
      </c>
      <c r="X7" s="50">
        <v>1.5356544856777126E-4</v>
      </c>
      <c r="Y7" s="51">
        <v>1.9844474662463179E-3</v>
      </c>
      <c r="Z7" s="56">
        <v>1.2862824112943826E-4</v>
      </c>
      <c r="AA7" s="153">
        <v>0</v>
      </c>
    </row>
    <row r="8" spans="1:27" x14ac:dyDescent="0.25">
      <c r="A8" s="48" t="s">
        <v>44</v>
      </c>
      <c r="B8" s="49" t="s">
        <v>36</v>
      </c>
      <c r="C8" s="32">
        <v>42.834713294685194</v>
      </c>
      <c r="D8" s="32">
        <v>39.160357134533697</v>
      </c>
      <c r="E8" s="33" t="s">
        <v>49</v>
      </c>
      <c r="F8" s="44" t="s">
        <v>138</v>
      </c>
      <c r="G8" s="51">
        <v>2.3310586357876254E-2</v>
      </c>
      <c r="H8" s="52">
        <v>9.8107427459309844E-3</v>
      </c>
      <c r="I8" s="53">
        <v>9.1814617747008991E-3</v>
      </c>
      <c r="J8" s="51">
        <v>0</v>
      </c>
      <c r="K8" s="52">
        <v>9.7998302478980309E-3</v>
      </c>
      <c r="L8" s="53">
        <v>1.3079439260741924E-3</v>
      </c>
      <c r="M8" s="57">
        <v>1.3537449769620237E-3</v>
      </c>
      <c r="N8" s="51">
        <v>1.6735030514654361E-3</v>
      </c>
      <c r="O8" s="54">
        <v>1.2252845708280165E-3</v>
      </c>
      <c r="P8" s="50">
        <v>4.6440086915880826E-3</v>
      </c>
      <c r="Q8" s="54">
        <v>3.3648186524543272E-4</v>
      </c>
      <c r="R8" s="50">
        <v>1.5035003979116358E-4</v>
      </c>
      <c r="S8" s="54">
        <v>1.543739115578342E-4</v>
      </c>
      <c r="T8" s="50">
        <v>4.0565892913538954E-4</v>
      </c>
      <c r="U8" s="54">
        <v>1.4552889666392356E-3</v>
      </c>
      <c r="V8" s="50">
        <v>7.4065099952291269E-3</v>
      </c>
      <c r="W8" s="54">
        <v>1.5930859149963249E-4</v>
      </c>
      <c r="X8" s="50">
        <v>2.3062902198453319E-3</v>
      </c>
      <c r="Y8" s="51">
        <v>1.6101247045954364E-3</v>
      </c>
      <c r="Z8" s="56">
        <v>5.2980185467909214E-3</v>
      </c>
      <c r="AA8" s="153">
        <v>0</v>
      </c>
    </row>
    <row r="9" spans="1:27" x14ac:dyDescent="0.25">
      <c r="A9" s="48" t="s">
        <v>54</v>
      </c>
      <c r="B9" s="49" t="s">
        <v>36</v>
      </c>
      <c r="C9" s="32">
        <v>26.419693492351392</v>
      </c>
      <c r="D9" s="32">
        <v>20.512671711527247</v>
      </c>
      <c r="E9" s="44" t="s">
        <v>49</v>
      </c>
      <c r="F9" s="44" t="s">
        <v>138</v>
      </c>
      <c r="G9" s="51">
        <v>7.2464933180817308E-3</v>
      </c>
      <c r="H9" s="52">
        <v>1.9939186932990162E-3</v>
      </c>
      <c r="I9" s="53">
        <v>2.988943372817477E-3</v>
      </c>
      <c r="J9" s="51">
        <v>4.0599604342664844E-3</v>
      </c>
      <c r="K9" s="52">
        <v>1.9711932539414256E-3</v>
      </c>
      <c r="L9" s="53">
        <v>7.6892386786438628E-4</v>
      </c>
      <c r="M9" s="57">
        <v>1.5524950620960344E-4</v>
      </c>
      <c r="N9" s="51">
        <v>6.8398544197278898E-3</v>
      </c>
      <c r="O9" s="54">
        <v>1.4992066381251982E-4</v>
      </c>
      <c r="P9" s="50">
        <v>3.4589908257031776E-3</v>
      </c>
      <c r="Q9" s="54">
        <v>4.0563712615533319E-5</v>
      </c>
      <c r="R9" s="50">
        <v>6.406746880287763E-5</v>
      </c>
      <c r="S9" s="54">
        <v>5.3025355198248115E-5</v>
      </c>
      <c r="T9" s="50">
        <v>2.0055346948730923E-4</v>
      </c>
      <c r="U9" s="54">
        <v>2.4566757992811798E-4</v>
      </c>
      <c r="V9" s="50">
        <v>1.4605998829289009E-3</v>
      </c>
      <c r="W9" s="54">
        <v>1.6670114616414756E-5</v>
      </c>
      <c r="X9" s="50">
        <v>1.4327195512429606E-3</v>
      </c>
      <c r="Y9" s="51">
        <v>1.4557742013660279E-4</v>
      </c>
      <c r="Z9" s="56">
        <v>8.5309496793610461E-3</v>
      </c>
      <c r="AA9" s="153">
        <v>0</v>
      </c>
    </row>
    <row r="10" spans="1:27" x14ac:dyDescent="0.25">
      <c r="A10" s="48" t="s">
        <v>47</v>
      </c>
      <c r="B10" s="49" t="s">
        <v>36</v>
      </c>
      <c r="C10" s="32">
        <v>72.39463672800774</v>
      </c>
      <c r="D10" s="32">
        <v>58.93795133533429</v>
      </c>
      <c r="E10" s="33" t="s">
        <v>49</v>
      </c>
      <c r="F10" s="44" t="s">
        <v>138</v>
      </c>
      <c r="G10" s="51">
        <v>1.8002121625282017E-2</v>
      </c>
      <c r="H10" s="52">
        <v>9.2060909666171146E-3</v>
      </c>
      <c r="I10" s="53">
        <v>1.1246924586064666E-2</v>
      </c>
      <c r="J10" s="51">
        <v>0</v>
      </c>
      <c r="K10" s="52">
        <v>8.7076196837818764E-3</v>
      </c>
      <c r="L10" s="53">
        <v>3.0539141326401645E-3</v>
      </c>
      <c r="M10" s="57">
        <v>3.5323352944959343E-4</v>
      </c>
      <c r="N10" s="51">
        <v>6.0003428461820572E-3</v>
      </c>
      <c r="O10" s="54">
        <v>8.9638076359388496E-5</v>
      </c>
      <c r="P10" s="50">
        <v>4.2114933726788897E-3</v>
      </c>
      <c r="Q10" s="54">
        <v>1.1141242827834658E-4</v>
      </c>
      <c r="R10" s="50">
        <v>1.9834449888090897E-3</v>
      </c>
      <c r="S10" s="54">
        <v>3.4766004441866389E-5</v>
      </c>
      <c r="T10" s="50">
        <v>1.1947108725105986E-3</v>
      </c>
      <c r="U10" s="54">
        <v>9.2332711798483771E-5</v>
      </c>
      <c r="V10" s="50">
        <v>0</v>
      </c>
      <c r="W10" s="54">
        <v>5.7822425569002594E-5</v>
      </c>
      <c r="X10" s="50">
        <v>2.7847245607540319E-3</v>
      </c>
      <c r="Y10" s="51">
        <v>4.945383972110492E-4</v>
      </c>
      <c r="Z10" s="56">
        <v>7.0500029372698178E-3</v>
      </c>
      <c r="AA10" s="153">
        <v>1</v>
      </c>
    </row>
    <row r="11" spans="1:27" ht="15.75" thickBot="1" x14ac:dyDescent="0.3">
      <c r="A11" s="48" t="s">
        <v>48</v>
      </c>
      <c r="B11" s="49" t="s">
        <v>36</v>
      </c>
      <c r="C11" s="32">
        <v>88.747147779287715</v>
      </c>
      <c r="D11" s="32">
        <v>75.131834618208075</v>
      </c>
      <c r="E11" s="44" t="s">
        <v>49</v>
      </c>
      <c r="F11" s="44" t="s">
        <v>138</v>
      </c>
      <c r="G11" s="51">
        <v>7.4216109791130072E-3</v>
      </c>
      <c r="H11" s="52">
        <v>1.5671906847910998E-2</v>
      </c>
      <c r="I11" s="53">
        <v>1.6410121668632035E-2</v>
      </c>
      <c r="J11" s="51">
        <v>0</v>
      </c>
      <c r="K11" s="52">
        <v>1.5671906847910998E-2</v>
      </c>
      <c r="L11" s="53">
        <v>6.609254057714487E-3</v>
      </c>
      <c r="M11" s="57">
        <v>4.4279639579741245E-3</v>
      </c>
      <c r="N11" s="51">
        <v>2.8782714398642841E-4</v>
      </c>
      <c r="O11" s="54">
        <v>2.7954784980329175E-3</v>
      </c>
      <c r="P11" s="50">
        <v>2.8118281770888345E-4</v>
      </c>
      <c r="Q11" s="54">
        <v>7.0271363160634972E-3</v>
      </c>
      <c r="R11" s="50">
        <v>1.8269016771778801E-4</v>
      </c>
      <c r="S11" s="54">
        <v>8.713238226915243E-4</v>
      </c>
      <c r="T11" s="50">
        <v>2.2082022068914268E-4</v>
      </c>
      <c r="U11" s="54">
        <v>2.2847939643964072E-3</v>
      </c>
      <c r="V11" s="50">
        <v>0</v>
      </c>
      <c r="W11" s="54">
        <v>1.9327011404680536E-3</v>
      </c>
      <c r="X11" s="50">
        <v>0</v>
      </c>
      <c r="Y11" s="51">
        <v>1.1628937240355375E-2</v>
      </c>
      <c r="Z11" s="56">
        <v>0</v>
      </c>
      <c r="AA11" s="154">
        <v>1</v>
      </c>
    </row>
    <row r="12" spans="1:27" x14ac:dyDescent="0.25">
      <c r="A12" s="42" t="s">
        <v>23</v>
      </c>
      <c r="B12" s="31" t="s">
        <v>24</v>
      </c>
      <c r="C12" s="32">
        <v>25.486774331916184</v>
      </c>
      <c r="D12" s="32">
        <v>25.486774331932079</v>
      </c>
      <c r="E12" s="33" t="s">
        <v>46</v>
      </c>
      <c r="F12" s="44" t="s">
        <v>136</v>
      </c>
      <c r="G12" s="37">
        <v>0</v>
      </c>
      <c r="H12" s="38">
        <v>2.2713378327397912E-4</v>
      </c>
      <c r="I12" s="39">
        <v>2.6788233783566402E-3</v>
      </c>
      <c r="J12" s="37">
        <v>0</v>
      </c>
      <c r="K12" s="38">
        <v>2.3182778825365673E-4</v>
      </c>
      <c r="L12" s="39">
        <v>3.8600001722888752E-3</v>
      </c>
      <c r="M12" s="30" t="s">
        <v>26</v>
      </c>
      <c r="N12" s="31" t="s">
        <v>26</v>
      </c>
      <c r="O12" s="40" t="s">
        <v>26</v>
      </c>
      <c r="P12" s="41" t="s">
        <v>26</v>
      </c>
      <c r="Q12" s="40" t="s">
        <v>26</v>
      </c>
      <c r="R12" s="41" t="s">
        <v>26</v>
      </c>
      <c r="S12" s="40" t="s">
        <v>26</v>
      </c>
      <c r="T12" s="41" t="s">
        <v>26</v>
      </c>
      <c r="U12" s="40" t="s">
        <v>26</v>
      </c>
      <c r="V12" s="41" t="s">
        <v>26</v>
      </c>
      <c r="W12" s="40" t="s">
        <v>26</v>
      </c>
      <c r="X12" s="41" t="s">
        <v>26</v>
      </c>
      <c r="Y12" s="31" t="s">
        <v>26</v>
      </c>
      <c r="Z12" s="33" t="s">
        <v>26</v>
      </c>
      <c r="AA12" s="155">
        <v>0</v>
      </c>
    </row>
    <row r="13" spans="1:27" x14ac:dyDescent="0.25">
      <c r="A13" s="48" t="s">
        <v>35</v>
      </c>
      <c r="B13" s="49" t="s">
        <v>36</v>
      </c>
      <c r="C13" s="32">
        <v>13.417064810277948</v>
      </c>
      <c r="D13" s="32">
        <v>13.404693564732167</v>
      </c>
      <c r="E13" s="33" t="s">
        <v>46</v>
      </c>
      <c r="F13" s="44" t="s">
        <v>138</v>
      </c>
      <c r="G13" s="51">
        <v>3.5840780538205698E-2</v>
      </c>
      <c r="H13" s="52">
        <v>4.1588149282436203E-3</v>
      </c>
      <c r="I13" s="53">
        <v>4.666690855364977E-3</v>
      </c>
      <c r="J13" s="51">
        <v>0</v>
      </c>
      <c r="K13" s="52">
        <v>3.0308437121445916E-3</v>
      </c>
      <c r="L13" s="53">
        <v>2.0787408078615172E-3</v>
      </c>
      <c r="M13" s="55">
        <v>1.4444696133024204E-3</v>
      </c>
      <c r="N13" s="37">
        <v>1.2282683493022867E-4</v>
      </c>
      <c r="O13" s="54">
        <v>1.5823233007542493E-3</v>
      </c>
      <c r="P13" s="50">
        <v>1.9926522995928095E-5</v>
      </c>
      <c r="Q13" s="54">
        <v>2.1734189320639159E-3</v>
      </c>
      <c r="R13" s="50">
        <v>2.1303542237543466E-4</v>
      </c>
      <c r="S13" s="54">
        <v>6.3671410977312172E-4</v>
      </c>
      <c r="T13" s="50">
        <v>1.6345531071758725E-4</v>
      </c>
      <c r="U13" s="54">
        <v>7.6787326155903254E-4</v>
      </c>
      <c r="V13" s="50">
        <v>0</v>
      </c>
      <c r="W13" s="54">
        <v>7.5589419135967128E-4</v>
      </c>
      <c r="X13" s="50">
        <v>2.4745055640376154E-5</v>
      </c>
      <c r="Y13" s="51">
        <v>1.091462898938733E-3</v>
      </c>
      <c r="Z13" s="56">
        <v>5.84212048367083E-6</v>
      </c>
      <c r="AA13" s="153">
        <v>0</v>
      </c>
    </row>
    <row r="14" spans="1:27" x14ac:dyDescent="0.25">
      <c r="A14" s="48" t="s">
        <v>37</v>
      </c>
      <c r="B14" s="49" t="s">
        <v>36</v>
      </c>
      <c r="C14" s="32">
        <v>80.418562154362306</v>
      </c>
      <c r="D14" s="32">
        <v>69.148442426843431</v>
      </c>
      <c r="E14" s="33" t="s">
        <v>46</v>
      </c>
      <c r="F14" s="44" t="s">
        <v>139</v>
      </c>
      <c r="G14" s="51">
        <v>5.4792837951605625E-2</v>
      </c>
      <c r="H14" s="52">
        <v>1.359029852075214E-2</v>
      </c>
      <c r="I14" s="53">
        <v>1.5770792964743655E-2</v>
      </c>
      <c r="J14" s="51">
        <v>1.6687735162993881E-2</v>
      </c>
      <c r="K14" s="52">
        <v>1.342945843941544E-2</v>
      </c>
      <c r="L14" s="53">
        <v>1.055822369032948E-2</v>
      </c>
      <c r="M14" s="57">
        <v>5.7631818397120456E-3</v>
      </c>
      <c r="N14" s="51">
        <v>3.6878505743676024E-3</v>
      </c>
      <c r="O14" s="54">
        <v>5.3090371759735994E-3</v>
      </c>
      <c r="P14" s="50">
        <v>3.6276253225512338E-3</v>
      </c>
      <c r="Q14" s="54">
        <v>8.553861946232413E-3</v>
      </c>
      <c r="R14" s="50">
        <v>2.7713255903694712E-2</v>
      </c>
      <c r="S14" s="54">
        <v>2.2864828428566077E-3</v>
      </c>
      <c r="T14" s="50">
        <v>3.1609512545996525E-3</v>
      </c>
      <c r="U14" s="54">
        <v>2.5930635294169539E-3</v>
      </c>
      <c r="V14" s="50">
        <v>0</v>
      </c>
      <c r="W14" s="54">
        <v>3.008873359948947E-3</v>
      </c>
      <c r="X14" s="50">
        <v>7.6060221928854962E-3</v>
      </c>
      <c r="Y14" s="51">
        <v>3.7319406541438983E-3</v>
      </c>
      <c r="Z14" s="56">
        <v>9.953384588475033E-4</v>
      </c>
      <c r="AA14" s="153">
        <v>0</v>
      </c>
    </row>
    <row r="15" spans="1:27" x14ac:dyDescent="0.25">
      <c r="A15" s="30" t="s">
        <v>27</v>
      </c>
      <c r="B15" s="31" t="s">
        <v>24</v>
      </c>
      <c r="C15" s="32">
        <v>73.893005735951661</v>
      </c>
      <c r="D15" s="32">
        <v>71.647798030358558</v>
      </c>
      <c r="E15" s="33" t="s">
        <v>46</v>
      </c>
      <c r="F15" s="44" t="s">
        <v>140</v>
      </c>
      <c r="G15" s="37">
        <v>8.1000109103042686E-2</v>
      </c>
      <c r="H15" s="38">
        <v>1.5753192582748505E-2</v>
      </c>
      <c r="I15" s="39">
        <v>1.8096829851630108E-2</v>
      </c>
      <c r="J15" s="37">
        <v>1.2384987309096759E-2</v>
      </c>
      <c r="K15" s="38">
        <v>1.4163642650940866E-2</v>
      </c>
      <c r="L15" s="39">
        <v>1.2283117822493335E-2</v>
      </c>
      <c r="M15" s="30" t="s">
        <v>26</v>
      </c>
      <c r="N15" s="31" t="s">
        <v>26</v>
      </c>
      <c r="O15" s="40" t="s">
        <v>26</v>
      </c>
      <c r="P15" s="41" t="s">
        <v>26</v>
      </c>
      <c r="Q15" s="40" t="s">
        <v>26</v>
      </c>
      <c r="R15" s="41" t="s">
        <v>26</v>
      </c>
      <c r="S15" s="40" t="s">
        <v>26</v>
      </c>
      <c r="T15" s="41" t="s">
        <v>26</v>
      </c>
      <c r="U15" s="40" t="s">
        <v>26</v>
      </c>
      <c r="V15" s="41" t="s">
        <v>26</v>
      </c>
      <c r="W15" s="40" t="s">
        <v>26</v>
      </c>
      <c r="X15" s="41" t="s">
        <v>26</v>
      </c>
      <c r="Y15" s="31" t="s">
        <v>26</v>
      </c>
      <c r="Z15" s="33" t="s">
        <v>26</v>
      </c>
      <c r="AA15" s="153">
        <v>0</v>
      </c>
    </row>
    <row r="16" spans="1:27" x14ac:dyDescent="0.25">
      <c r="A16" s="48" t="s">
        <v>38</v>
      </c>
      <c r="B16" s="49" t="s">
        <v>36</v>
      </c>
      <c r="C16" s="32">
        <v>80.586734010599585</v>
      </c>
      <c r="D16" s="32">
        <v>80.360892720620811</v>
      </c>
      <c r="E16" s="33" t="s">
        <v>46</v>
      </c>
      <c r="F16" s="44" t="s">
        <v>140</v>
      </c>
      <c r="G16" s="51">
        <v>0.17928422218167933</v>
      </c>
      <c r="H16" s="52">
        <v>2.3158929562157239E-2</v>
      </c>
      <c r="I16" s="53">
        <v>2.4715259430398151E-2</v>
      </c>
      <c r="J16" s="51">
        <v>2.3884848285319199E-2</v>
      </c>
      <c r="K16" s="52">
        <v>1.8600075352411771E-2</v>
      </c>
      <c r="L16" s="53">
        <v>1.3540084169456552E-2</v>
      </c>
      <c r="M16" s="57">
        <v>5.362074199240785E-3</v>
      </c>
      <c r="N16" s="51">
        <v>3.912479555523804E-3</v>
      </c>
      <c r="O16" s="54">
        <v>5.8044364608171731E-3</v>
      </c>
      <c r="P16" s="50">
        <v>6.9218917184550263E-4</v>
      </c>
      <c r="Q16" s="54">
        <v>8.899946817006418E-3</v>
      </c>
      <c r="R16" s="50">
        <v>4.9385844238086733E-3</v>
      </c>
      <c r="S16" s="54">
        <v>3.3374701773531473E-3</v>
      </c>
      <c r="T16" s="50">
        <v>2.1954833266963946E-3</v>
      </c>
      <c r="U16" s="54">
        <v>2.2775250370560404E-3</v>
      </c>
      <c r="V16" s="50">
        <v>0</v>
      </c>
      <c r="W16" s="54">
        <v>3.1764124371436086E-3</v>
      </c>
      <c r="X16" s="50">
        <v>2.5178191523184189E-3</v>
      </c>
      <c r="Y16" s="51">
        <v>2.1270125862505643E-3</v>
      </c>
      <c r="Z16" s="56">
        <v>1.1611798991394051E-4</v>
      </c>
      <c r="AA16" s="153">
        <v>1</v>
      </c>
    </row>
    <row r="17" spans="1:27" x14ac:dyDescent="0.25">
      <c r="A17" s="48" t="s">
        <v>39</v>
      </c>
      <c r="B17" s="49" t="s">
        <v>36</v>
      </c>
      <c r="C17" s="32">
        <v>50.418970229565204</v>
      </c>
      <c r="D17" s="32">
        <v>50.346478594454446</v>
      </c>
      <c r="E17" s="44" t="s">
        <v>46</v>
      </c>
      <c r="F17" s="44" t="s">
        <v>140</v>
      </c>
      <c r="G17" s="51">
        <v>9.7792151460338053E-2</v>
      </c>
      <c r="H17" s="52">
        <v>9.2556267418297863E-3</v>
      </c>
      <c r="I17" s="53">
        <v>1.2704592164425562E-2</v>
      </c>
      <c r="J17" s="51">
        <v>8.8440562054672517E-2</v>
      </c>
      <c r="K17" s="52">
        <v>6.95092446339727E-3</v>
      </c>
      <c r="L17" s="53">
        <v>9.6122461754178691E-3</v>
      </c>
      <c r="M17" s="57">
        <v>3.0203143375307326E-3</v>
      </c>
      <c r="N17" s="51">
        <v>4.2778213184857853E-4</v>
      </c>
      <c r="O17" s="54">
        <v>2.76080852612035E-3</v>
      </c>
      <c r="P17" s="50">
        <v>9.3444378503987276E-5</v>
      </c>
      <c r="Q17" s="54">
        <v>5.9990248631423878E-3</v>
      </c>
      <c r="R17" s="50">
        <v>8.9448360744897291E-4</v>
      </c>
      <c r="S17" s="54">
        <v>1.9483394570412461E-3</v>
      </c>
      <c r="T17" s="50">
        <v>3.3007298383945255E-4</v>
      </c>
      <c r="U17" s="54">
        <v>1.090361512791209E-3</v>
      </c>
      <c r="V17" s="50">
        <v>0</v>
      </c>
      <c r="W17" s="54">
        <v>2.166355275204149E-3</v>
      </c>
      <c r="X17" s="50">
        <v>3.2601896063358783E-4</v>
      </c>
      <c r="Y17" s="51">
        <v>7.9003477743369165E-4</v>
      </c>
      <c r="Z17" s="56">
        <v>0</v>
      </c>
      <c r="AA17" s="153">
        <v>0</v>
      </c>
    </row>
    <row r="18" spans="1:27" x14ac:dyDescent="0.25">
      <c r="A18" s="48" t="s">
        <v>79</v>
      </c>
      <c r="B18" s="49" t="s">
        <v>36</v>
      </c>
      <c r="C18" s="32">
        <v>26.813464936262818</v>
      </c>
      <c r="D18" s="32">
        <v>22.881499993147937</v>
      </c>
      <c r="E18" s="44" t="s">
        <v>46</v>
      </c>
      <c r="F18" s="44" t="s">
        <v>139</v>
      </c>
      <c r="G18" s="51">
        <v>2.500770913919468E-2</v>
      </c>
      <c r="H18" s="52">
        <v>7.9957973381426448E-3</v>
      </c>
      <c r="I18" s="53">
        <v>6.9076861930219748E-3</v>
      </c>
      <c r="J18" s="51">
        <v>1.6167560800970787E-3</v>
      </c>
      <c r="K18" s="52">
        <v>7.884119927311679E-3</v>
      </c>
      <c r="L18" s="53">
        <v>3.3913985861342365E-3</v>
      </c>
      <c r="M18" s="57">
        <v>6.8593347283572E-3</v>
      </c>
      <c r="N18" s="51">
        <v>1.4460085115993659E-3</v>
      </c>
      <c r="O18" s="54">
        <v>7.7636209168669163E-3</v>
      </c>
      <c r="P18" s="50">
        <v>1.3891281767862457E-3</v>
      </c>
      <c r="Q18" s="54">
        <v>8.3508727014654435E-3</v>
      </c>
      <c r="R18" s="50">
        <v>1.0767903382807826E-2</v>
      </c>
      <c r="S18" s="54">
        <v>1.5914410300340389E-3</v>
      </c>
      <c r="T18" s="50">
        <v>1.1676068728516044E-3</v>
      </c>
      <c r="U18" s="54">
        <v>3.983515909391969E-4</v>
      </c>
      <c r="V18" s="50">
        <v>0</v>
      </c>
      <c r="W18" s="54">
        <v>4.5938180960971246E-3</v>
      </c>
      <c r="X18" s="50">
        <v>3.048497944287991E-3</v>
      </c>
      <c r="Y18" s="51">
        <v>4.60156093361526E-3</v>
      </c>
      <c r="Z18" s="56">
        <v>3.5736210353053209E-4</v>
      </c>
      <c r="AA18" s="153">
        <v>1</v>
      </c>
    </row>
    <row r="19" spans="1:27" x14ac:dyDescent="0.25">
      <c r="A19" s="48" t="s">
        <v>42</v>
      </c>
      <c r="B19" s="49" t="s">
        <v>36</v>
      </c>
      <c r="C19" s="32">
        <v>53.535572304011666</v>
      </c>
      <c r="D19" s="32">
        <v>33.719963106684077</v>
      </c>
      <c r="E19" s="44" t="s">
        <v>46</v>
      </c>
      <c r="F19" s="44" t="s">
        <v>138</v>
      </c>
      <c r="G19" s="51">
        <v>2.6922068582861773E-2</v>
      </c>
      <c r="H19" s="52">
        <v>6.9335563694439299E-3</v>
      </c>
      <c r="I19" s="53">
        <v>8.9489960209493055E-3</v>
      </c>
      <c r="J19" s="51">
        <v>1.4865169375193725E-3</v>
      </c>
      <c r="K19" s="52">
        <v>6.3153286766255215E-3</v>
      </c>
      <c r="L19" s="53">
        <v>4.4976713341827023E-3</v>
      </c>
      <c r="M19" s="57">
        <v>4.0704490206288869E-3</v>
      </c>
      <c r="N19" s="51">
        <v>1.6305110862777336E-4</v>
      </c>
      <c r="O19" s="54">
        <v>2.9253377866584078E-3</v>
      </c>
      <c r="P19" s="50">
        <v>3.9767612262145907E-4</v>
      </c>
      <c r="Q19" s="54">
        <v>6.2038930390744193E-3</v>
      </c>
      <c r="R19" s="50">
        <v>4.7742855829191137E-3</v>
      </c>
      <c r="S19" s="54">
        <v>1.4008229078579274E-3</v>
      </c>
      <c r="T19" s="50">
        <v>6.0780920303762128E-4</v>
      </c>
      <c r="U19" s="54">
        <v>1.0900177453905106E-3</v>
      </c>
      <c r="V19" s="50">
        <v>0</v>
      </c>
      <c r="W19" s="54">
        <v>2.1250820651521132E-3</v>
      </c>
      <c r="X19" s="50">
        <v>5.4464191962678597E-4</v>
      </c>
      <c r="Y19" s="51">
        <v>1.8824449973663267E-3</v>
      </c>
      <c r="Z19" s="56">
        <v>5.8264262964132589E-5</v>
      </c>
      <c r="AA19" s="153">
        <v>0</v>
      </c>
    </row>
    <row r="20" spans="1:27" x14ac:dyDescent="0.25">
      <c r="A20" s="30" t="s">
        <v>30</v>
      </c>
      <c r="B20" s="31" t="s">
        <v>24</v>
      </c>
      <c r="C20" s="32">
        <v>66.869240575577706</v>
      </c>
      <c r="D20" s="32">
        <v>66.297102983431373</v>
      </c>
      <c r="E20" s="33" t="s">
        <v>46</v>
      </c>
      <c r="F20" s="44" t="s">
        <v>140</v>
      </c>
      <c r="G20" s="37">
        <v>3.242169781774485E-2</v>
      </c>
      <c r="H20" s="38">
        <v>1.1439765527765487E-2</v>
      </c>
      <c r="I20" s="39">
        <v>1.3465255510108068E-2</v>
      </c>
      <c r="J20" s="37">
        <v>2.5240586206653426E-2</v>
      </c>
      <c r="K20" s="38">
        <v>1.0533390662213279E-2</v>
      </c>
      <c r="L20" s="39">
        <v>8.4234185639977567E-3</v>
      </c>
      <c r="M20" s="30" t="s">
        <v>26</v>
      </c>
      <c r="N20" s="31" t="s">
        <v>26</v>
      </c>
      <c r="O20" s="40" t="s">
        <v>26</v>
      </c>
      <c r="P20" s="41" t="s">
        <v>26</v>
      </c>
      <c r="Q20" s="40" t="s">
        <v>26</v>
      </c>
      <c r="R20" s="41" t="s">
        <v>26</v>
      </c>
      <c r="S20" s="40" t="s">
        <v>26</v>
      </c>
      <c r="T20" s="41" t="s">
        <v>26</v>
      </c>
      <c r="U20" s="40" t="s">
        <v>26</v>
      </c>
      <c r="V20" s="41" t="s">
        <v>26</v>
      </c>
      <c r="W20" s="40" t="s">
        <v>26</v>
      </c>
      <c r="X20" s="41" t="s">
        <v>26</v>
      </c>
      <c r="Y20" s="31" t="s">
        <v>26</v>
      </c>
      <c r="Z20" s="33" t="s">
        <v>26</v>
      </c>
      <c r="AA20" s="153">
        <v>1</v>
      </c>
    </row>
    <row r="21" spans="1:27" ht="15.75" thickBot="1" x14ac:dyDescent="0.3">
      <c r="A21" s="59" t="s">
        <v>45</v>
      </c>
      <c r="B21" s="60" t="s">
        <v>36</v>
      </c>
      <c r="C21" s="45">
        <v>12.536395410948526</v>
      </c>
      <c r="D21" s="45">
        <v>4.7717198204562372</v>
      </c>
      <c r="E21" s="46" t="s">
        <v>46</v>
      </c>
      <c r="F21" s="46" t="s">
        <v>140</v>
      </c>
      <c r="G21" s="63">
        <v>2.2540910159533821E-2</v>
      </c>
      <c r="H21" s="64">
        <v>1.2398982992560452E-3</v>
      </c>
      <c r="I21" s="65">
        <v>1.8374813326384595E-3</v>
      </c>
      <c r="J21" s="63">
        <v>0</v>
      </c>
      <c r="K21" s="64">
        <v>5.6630620680361333E-4</v>
      </c>
      <c r="L21" s="65">
        <v>6.0174419052213624E-4</v>
      </c>
      <c r="M21" s="66">
        <v>1.901653238681729E-3</v>
      </c>
      <c r="N21" s="63">
        <v>2.3280976243524306E-4</v>
      </c>
      <c r="O21" s="61">
        <v>1.3401738322140712E-3</v>
      </c>
      <c r="P21" s="62">
        <v>3.0283332655701951E-4</v>
      </c>
      <c r="Q21" s="61">
        <v>2.8277906005956923E-3</v>
      </c>
      <c r="R21" s="62">
        <v>3.1112647531112895E-4</v>
      </c>
      <c r="S21" s="61">
        <v>6.4902106030272392E-4</v>
      </c>
      <c r="T21" s="62">
        <v>5.9995142615029587E-4</v>
      </c>
      <c r="U21" s="61">
        <v>5.3846459872641372E-4</v>
      </c>
      <c r="V21" s="62">
        <v>0</v>
      </c>
      <c r="W21" s="61">
        <v>9.9256555171485712E-4</v>
      </c>
      <c r="X21" s="62">
        <v>4.5758383208903531E-5</v>
      </c>
      <c r="Y21" s="63">
        <v>9.3133348079817732E-4</v>
      </c>
      <c r="Z21" s="67">
        <v>0</v>
      </c>
      <c r="AA21" s="154">
        <v>1</v>
      </c>
    </row>
    <row r="22" spans="1:27" x14ac:dyDescent="0.25">
      <c r="A22" s="30" t="s">
        <v>28</v>
      </c>
      <c r="B22" s="31" t="s">
        <v>24</v>
      </c>
      <c r="C22" s="32">
        <v>101.49553996155278</v>
      </c>
      <c r="D22" s="32">
        <v>59.77284444653246</v>
      </c>
      <c r="E22" s="33" t="s">
        <v>64</v>
      </c>
      <c r="F22" s="44" t="s">
        <v>141</v>
      </c>
      <c r="G22" s="37">
        <v>0</v>
      </c>
      <c r="H22" s="38">
        <v>5.859226189426938E-3</v>
      </c>
      <c r="I22" s="39">
        <v>7.7944160853284103E-3</v>
      </c>
      <c r="J22" s="37">
        <v>0</v>
      </c>
      <c r="K22" s="38">
        <v>5.9803144595811488E-3</v>
      </c>
      <c r="L22" s="39">
        <v>1.3167400472396788E-2</v>
      </c>
      <c r="M22" s="30" t="s">
        <v>26</v>
      </c>
      <c r="N22" s="31" t="s">
        <v>26</v>
      </c>
      <c r="O22" s="40" t="s">
        <v>26</v>
      </c>
      <c r="P22" s="41" t="s">
        <v>26</v>
      </c>
      <c r="Q22" s="40" t="s">
        <v>26</v>
      </c>
      <c r="R22" s="41" t="s">
        <v>26</v>
      </c>
      <c r="S22" s="40" t="s">
        <v>26</v>
      </c>
      <c r="T22" s="41" t="s">
        <v>26</v>
      </c>
      <c r="U22" s="40" t="s">
        <v>26</v>
      </c>
      <c r="V22" s="41" t="s">
        <v>26</v>
      </c>
      <c r="W22" s="40" t="s">
        <v>26</v>
      </c>
      <c r="X22" s="41" t="s">
        <v>26</v>
      </c>
      <c r="Y22" s="31" t="s">
        <v>26</v>
      </c>
      <c r="Z22" s="33" t="s">
        <v>26</v>
      </c>
      <c r="AA22" s="155">
        <v>1</v>
      </c>
    </row>
    <row r="23" spans="1:27" x14ac:dyDescent="0.25">
      <c r="A23" s="48" t="s">
        <v>41</v>
      </c>
      <c r="B23" s="49" t="s">
        <v>36</v>
      </c>
      <c r="C23" s="32">
        <v>79.018206200126698</v>
      </c>
      <c r="D23" s="32">
        <v>79.018206200620199</v>
      </c>
      <c r="E23" s="44" t="s">
        <v>64</v>
      </c>
      <c r="F23" s="44" t="s">
        <v>138</v>
      </c>
      <c r="G23" s="51">
        <v>4.8860635353436932E-2</v>
      </c>
      <c r="H23" s="52">
        <v>1.916773567156765E-2</v>
      </c>
      <c r="I23" s="53">
        <v>2.0854203086433602E-2</v>
      </c>
      <c r="J23" s="51">
        <v>0.11200260139494915</v>
      </c>
      <c r="K23" s="52">
        <v>1.8504452267099833E-2</v>
      </c>
      <c r="L23" s="53">
        <v>1.6800812574980156E-2</v>
      </c>
      <c r="M23" s="57">
        <v>2.4889716890145529E-3</v>
      </c>
      <c r="N23" s="51">
        <v>4.2034387880113124E-5</v>
      </c>
      <c r="O23" s="54">
        <v>2.8456527823219539E-3</v>
      </c>
      <c r="P23" s="50">
        <v>6.746093381150537E-5</v>
      </c>
      <c r="Q23" s="54">
        <v>3.3611843934125579E-3</v>
      </c>
      <c r="R23" s="50">
        <v>1.2206605967899155E-4</v>
      </c>
      <c r="S23" s="54">
        <v>1.0042906715771343E-3</v>
      </c>
      <c r="T23" s="50">
        <v>3.4312017831983346E-5</v>
      </c>
      <c r="U23" s="54">
        <v>9.7763465264833578E-4</v>
      </c>
      <c r="V23" s="50">
        <v>0</v>
      </c>
      <c r="W23" s="54">
        <v>1.0632181241194091E-3</v>
      </c>
      <c r="X23" s="50">
        <v>2.5299585746080823E-5</v>
      </c>
      <c r="Y23" s="51">
        <v>1.9768506970231528E-3</v>
      </c>
      <c r="Z23" s="56">
        <v>0</v>
      </c>
      <c r="AA23" s="153">
        <v>1</v>
      </c>
    </row>
    <row r="24" spans="1:27" x14ac:dyDescent="0.25">
      <c r="A24" s="48" t="s">
        <v>80</v>
      </c>
      <c r="B24" s="49" t="s">
        <v>36</v>
      </c>
      <c r="C24" s="32">
        <v>91.336973086565536</v>
      </c>
      <c r="D24" s="32">
        <v>91.336973086682448</v>
      </c>
      <c r="E24" s="44" t="s">
        <v>64</v>
      </c>
      <c r="F24" s="44" t="s">
        <v>137</v>
      </c>
      <c r="G24" s="51">
        <v>0</v>
      </c>
      <c r="H24" s="52">
        <v>1.4224634375105863E-2</v>
      </c>
      <c r="I24" s="53">
        <v>1.969799184211354E-2</v>
      </c>
      <c r="J24" s="51">
        <v>1.0959440359037264E-2</v>
      </c>
      <c r="K24" s="52">
        <v>1.4716574240108651E-2</v>
      </c>
      <c r="L24" s="53">
        <v>1.9438599847144231E-2</v>
      </c>
      <c r="M24" s="57">
        <v>6.1863565950992525E-3</v>
      </c>
      <c r="N24" s="51">
        <v>0</v>
      </c>
      <c r="O24" s="54">
        <v>6.3504270445162462E-3</v>
      </c>
      <c r="P24" s="50">
        <v>0</v>
      </c>
      <c r="Q24" s="54">
        <v>5.764188566520446E-3</v>
      </c>
      <c r="R24" s="50">
        <v>0</v>
      </c>
      <c r="S24" s="54">
        <v>1.1303770844680908E-3</v>
      </c>
      <c r="T24" s="50">
        <v>0</v>
      </c>
      <c r="U24" s="54">
        <v>2.1053353583256343E-4</v>
      </c>
      <c r="V24" s="50">
        <v>0</v>
      </c>
      <c r="W24" s="54">
        <v>2.9084868980553289E-3</v>
      </c>
      <c r="X24" s="50">
        <v>0</v>
      </c>
      <c r="Y24" s="51">
        <v>4.8426971549470708E-3</v>
      </c>
      <c r="Z24" s="56">
        <v>0</v>
      </c>
      <c r="AA24" s="153">
        <v>0</v>
      </c>
    </row>
    <row r="25" spans="1:27" x14ac:dyDescent="0.25">
      <c r="A25" s="48" t="s">
        <v>51</v>
      </c>
      <c r="B25" s="49" t="s">
        <v>36</v>
      </c>
      <c r="C25" s="32">
        <v>74.335577372379845</v>
      </c>
      <c r="D25" s="32">
        <v>74.335577376111473</v>
      </c>
      <c r="E25" s="44" t="s">
        <v>64</v>
      </c>
      <c r="F25" s="44" t="s">
        <v>137</v>
      </c>
      <c r="G25" s="51">
        <v>0</v>
      </c>
      <c r="H25" s="52">
        <v>1.0207421656461137E-2</v>
      </c>
      <c r="I25" s="53">
        <v>1.4364348636124477E-2</v>
      </c>
      <c r="J25" s="51">
        <v>0</v>
      </c>
      <c r="K25" s="52">
        <v>1.0207421656461137E-2</v>
      </c>
      <c r="L25" s="53">
        <v>1.4544701629971766E-2</v>
      </c>
      <c r="M25" s="57">
        <v>1.3826704872066636E-3</v>
      </c>
      <c r="N25" s="51">
        <v>2.1100738662613698E-10</v>
      </c>
      <c r="O25" s="54">
        <v>8.510061856489197E-4</v>
      </c>
      <c r="P25" s="50">
        <v>4.1143121432379953E-6</v>
      </c>
      <c r="Q25" s="54">
        <v>1.9024091333003331E-3</v>
      </c>
      <c r="R25" s="50">
        <v>7.9280226931150239E-6</v>
      </c>
      <c r="S25" s="54">
        <v>2.2064170591540731E-4</v>
      </c>
      <c r="T25" s="50">
        <v>2.4915656461385876E-5</v>
      </c>
      <c r="U25" s="54">
        <v>1.9978784922113096E-4</v>
      </c>
      <c r="V25" s="50">
        <v>0</v>
      </c>
      <c r="W25" s="54">
        <v>3.835433115763895E-4</v>
      </c>
      <c r="X25" s="50">
        <v>5.985399549562686E-6</v>
      </c>
      <c r="Y25" s="51">
        <v>8.3416237911864018E-4</v>
      </c>
      <c r="Z25" s="56">
        <v>0</v>
      </c>
      <c r="AA25" s="153">
        <v>1</v>
      </c>
    </row>
    <row r="26" spans="1:27" x14ac:dyDescent="0.25">
      <c r="A26" s="48" t="s">
        <v>60</v>
      </c>
      <c r="B26" s="49" t="s">
        <v>36</v>
      </c>
      <c r="C26" s="32">
        <v>22.641638808372765</v>
      </c>
      <c r="D26" s="32">
        <v>21.378054592434722</v>
      </c>
      <c r="E26" s="44" t="s">
        <v>64</v>
      </c>
      <c r="F26" s="44" t="s">
        <v>138</v>
      </c>
      <c r="G26" s="51">
        <v>3.2654951637007303E-2</v>
      </c>
      <c r="H26" s="52">
        <v>1.8708567865720913E-3</v>
      </c>
      <c r="I26" s="53">
        <v>3.4596953737916812E-3</v>
      </c>
      <c r="J26" s="51">
        <v>5.1506087835159692E-3</v>
      </c>
      <c r="K26" s="52">
        <v>6.3292791559188511E-4</v>
      </c>
      <c r="L26" s="53">
        <v>4.0253409395089156E-3</v>
      </c>
      <c r="M26" s="57">
        <v>1.6666666499266175E-3</v>
      </c>
      <c r="N26" s="51">
        <v>0</v>
      </c>
      <c r="O26" s="54">
        <v>2.7985362281665932E-3</v>
      </c>
      <c r="P26" s="50">
        <v>0</v>
      </c>
      <c r="Q26" s="54">
        <v>2.6500648413073711E-3</v>
      </c>
      <c r="R26" s="50">
        <v>0</v>
      </c>
      <c r="S26" s="54">
        <v>1.0495065930388842E-3</v>
      </c>
      <c r="T26" s="50">
        <v>0</v>
      </c>
      <c r="U26" s="54">
        <v>1.1280135842303555E-3</v>
      </c>
      <c r="V26" s="50">
        <v>0</v>
      </c>
      <c r="W26" s="54">
        <v>9.8521909583210686E-4</v>
      </c>
      <c r="X26" s="50">
        <v>0</v>
      </c>
      <c r="Y26" s="51">
        <v>9.2020230117241151E-4</v>
      </c>
      <c r="Z26" s="56">
        <v>0</v>
      </c>
      <c r="AA26" s="153">
        <v>0</v>
      </c>
    </row>
    <row r="27" spans="1:27" ht="15.75" thickBot="1" x14ac:dyDescent="0.3">
      <c r="A27" s="48" t="s">
        <v>61</v>
      </c>
      <c r="B27" s="49" t="s">
        <v>36</v>
      </c>
      <c r="C27" s="32">
        <v>45.330448118318941</v>
      </c>
      <c r="D27" s="32">
        <v>45.330448118211358</v>
      </c>
      <c r="E27" s="44" t="s">
        <v>64</v>
      </c>
      <c r="F27" s="44" t="s">
        <v>138</v>
      </c>
      <c r="G27" s="51">
        <v>5.256899185974221E-2</v>
      </c>
      <c r="H27" s="52">
        <v>1.0553592160879735E-2</v>
      </c>
      <c r="I27" s="53">
        <v>9.9275216601341712E-3</v>
      </c>
      <c r="J27" s="51">
        <v>1.2021517425582344E-2</v>
      </c>
      <c r="K27" s="52">
        <v>9.2410831990444482E-3</v>
      </c>
      <c r="L27" s="53">
        <v>1.0111113605827376E-2</v>
      </c>
      <c r="M27" s="57">
        <v>3.1042726884657904E-3</v>
      </c>
      <c r="N27" s="51">
        <v>0</v>
      </c>
      <c r="O27" s="54">
        <v>5.216509879874597E-3</v>
      </c>
      <c r="P27" s="50">
        <v>0</v>
      </c>
      <c r="Q27" s="54">
        <v>4.8662513677134112E-3</v>
      </c>
      <c r="R27" s="50">
        <v>0</v>
      </c>
      <c r="S27" s="54">
        <v>1.9402673358207983E-3</v>
      </c>
      <c r="T27" s="50">
        <v>0</v>
      </c>
      <c r="U27" s="54">
        <v>2.1219194429062363E-3</v>
      </c>
      <c r="V27" s="50">
        <v>0</v>
      </c>
      <c r="W27" s="54">
        <v>1.8185580187810365E-3</v>
      </c>
      <c r="X27" s="50">
        <v>0</v>
      </c>
      <c r="Y27" s="51">
        <v>1.6378028900158263E-3</v>
      </c>
      <c r="Z27" s="56">
        <v>0</v>
      </c>
      <c r="AA27" s="154">
        <v>1</v>
      </c>
    </row>
    <row r="28" spans="1:27" x14ac:dyDescent="0.25">
      <c r="A28" s="68" t="s">
        <v>40</v>
      </c>
      <c r="B28" s="69" t="s">
        <v>36</v>
      </c>
      <c r="C28" s="22">
        <v>85.373403217248836</v>
      </c>
      <c r="D28" s="22">
        <v>79.61749822035263</v>
      </c>
      <c r="E28" s="70" t="s">
        <v>65</v>
      </c>
      <c r="F28" s="70" t="s">
        <v>138</v>
      </c>
      <c r="G28" s="73">
        <v>1.1134751223500942E-2</v>
      </c>
      <c r="H28" s="74">
        <v>2.3080261429989569E-2</v>
      </c>
      <c r="I28" s="75">
        <v>1.6055712509869785E-2</v>
      </c>
      <c r="J28" s="73">
        <v>5.0847649491609095E-2</v>
      </c>
      <c r="K28" s="74">
        <v>2.3874406453066654E-2</v>
      </c>
      <c r="L28" s="75">
        <v>1.9913759036303349E-2</v>
      </c>
      <c r="M28" s="76">
        <v>2.2151030190055163E-3</v>
      </c>
      <c r="N28" s="73">
        <v>0</v>
      </c>
      <c r="O28" s="71">
        <v>2.7355718376715151E-3</v>
      </c>
      <c r="P28" s="72">
        <v>7.3218195163591085E-4</v>
      </c>
      <c r="Q28" s="71">
        <v>1.2758749019533507E-3</v>
      </c>
      <c r="R28" s="72">
        <v>1.7661257467511862E-4</v>
      </c>
      <c r="S28" s="71">
        <v>1.2109959800641989E-3</v>
      </c>
      <c r="T28" s="72">
        <v>2.2493477779657869E-3</v>
      </c>
      <c r="U28" s="71">
        <v>1.368056485100469E-3</v>
      </c>
      <c r="V28" s="72">
        <v>0</v>
      </c>
      <c r="W28" s="71">
        <v>3.2471279542482145E-4</v>
      </c>
      <c r="X28" s="72">
        <v>7.3150391660328393E-4</v>
      </c>
      <c r="Y28" s="73">
        <v>2.1744258450579114E-4</v>
      </c>
      <c r="Z28" s="77">
        <v>4.1392705506087618E-5</v>
      </c>
      <c r="AA28" s="155">
        <v>1</v>
      </c>
    </row>
    <row r="29" spans="1:27" x14ac:dyDescent="0.25">
      <c r="A29" s="30" t="s">
        <v>29</v>
      </c>
      <c r="B29" s="31" t="s">
        <v>24</v>
      </c>
      <c r="C29" s="32">
        <v>137.02318723869843</v>
      </c>
      <c r="D29" s="32">
        <v>58.790044997158539</v>
      </c>
      <c r="E29" s="44" t="s">
        <v>65</v>
      </c>
      <c r="F29" s="44" t="s">
        <v>138</v>
      </c>
      <c r="G29" s="37">
        <v>1.5585433404401831E-2</v>
      </c>
      <c r="H29" s="38">
        <v>1.169793407832883E-2</v>
      </c>
      <c r="I29" s="39">
        <v>8.1431939425597646E-3</v>
      </c>
      <c r="J29" s="37">
        <v>4.5306587346411277E-2</v>
      </c>
      <c r="K29" s="38">
        <v>1.1781627417483809E-2</v>
      </c>
      <c r="L29" s="39">
        <v>1.7467686908206954E-2</v>
      </c>
      <c r="M29" s="30" t="s">
        <v>26</v>
      </c>
      <c r="N29" s="31" t="s">
        <v>26</v>
      </c>
      <c r="O29" s="40" t="s">
        <v>26</v>
      </c>
      <c r="P29" s="41" t="s">
        <v>26</v>
      </c>
      <c r="Q29" s="40" t="s">
        <v>26</v>
      </c>
      <c r="R29" s="41" t="s">
        <v>26</v>
      </c>
      <c r="S29" s="40" t="s">
        <v>26</v>
      </c>
      <c r="T29" s="41" t="s">
        <v>26</v>
      </c>
      <c r="U29" s="40" t="s">
        <v>26</v>
      </c>
      <c r="V29" s="41" t="s">
        <v>26</v>
      </c>
      <c r="W29" s="40" t="s">
        <v>26</v>
      </c>
      <c r="X29" s="41" t="s">
        <v>26</v>
      </c>
      <c r="Y29" s="31" t="s">
        <v>26</v>
      </c>
      <c r="Z29" s="33" t="s">
        <v>26</v>
      </c>
      <c r="AA29" s="153">
        <v>1</v>
      </c>
    </row>
    <row r="30" spans="1:27" x14ac:dyDescent="0.25">
      <c r="A30" s="128" t="s">
        <v>92</v>
      </c>
      <c r="B30" s="43" t="s">
        <v>24</v>
      </c>
      <c r="C30" s="32">
        <v>925.07457039227711</v>
      </c>
      <c r="D30" s="32">
        <v>279.34276742995826</v>
      </c>
      <c r="E30" s="44" t="s">
        <v>65</v>
      </c>
      <c r="F30" s="44" t="s">
        <v>138</v>
      </c>
      <c r="G30" s="37">
        <v>-3.039235529911366E-15</v>
      </c>
      <c r="H30" s="38">
        <v>1.9506398385854388E-2</v>
      </c>
      <c r="I30" s="39">
        <v>4.7455259886848462E-3</v>
      </c>
      <c r="J30" s="37">
        <v>-2.0100784976571164E-2</v>
      </c>
      <c r="K30" s="38">
        <v>1.8828601396044274E-2</v>
      </c>
      <c r="L30" s="39">
        <v>3.2342147939295789E-2</v>
      </c>
      <c r="M30" s="30" t="s">
        <v>26</v>
      </c>
      <c r="N30" s="31" t="s">
        <v>26</v>
      </c>
      <c r="O30" s="40" t="s">
        <v>26</v>
      </c>
      <c r="P30" s="41" t="s">
        <v>26</v>
      </c>
      <c r="Q30" s="40" t="s">
        <v>26</v>
      </c>
      <c r="R30" s="41" t="s">
        <v>26</v>
      </c>
      <c r="S30" s="40" t="s">
        <v>26</v>
      </c>
      <c r="T30" s="41" t="s">
        <v>26</v>
      </c>
      <c r="U30" s="40" t="s">
        <v>26</v>
      </c>
      <c r="V30" s="41" t="s">
        <v>26</v>
      </c>
      <c r="W30" s="40" t="s">
        <v>26</v>
      </c>
      <c r="X30" s="41" t="s">
        <v>26</v>
      </c>
      <c r="Y30" s="31" t="s">
        <v>26</v>
      </c>
      <c r="Z30" s="33" t="s">
        <v>26</v>
      </c>
      <c r="AA30" s="153">
        <v>1</v>
      </c>
    </row>
    <row r="31" spans="1:27" ht="26.25" x14ac:dyDescent="0.25">
      <c r="A31" s="129" t="s">
        <v>93</v>
      </c>
      <c r="B31" s="49" t="s">
        <v>36</v>
      </c>
      <c r="C31" s="32">
        <v>687.43069920901894</v>
      </c>
      <c r="D31" s="32">
        <v>242.36854104409434</v>
      </c>
      <c r="E31" s="44" t="s">
        <v>65</v>
      </c>
      <c r="F31" s="44" t="s">
        <v>138</v>
      </c>
      <c r="G31" s="51">
        <v>1.3727045985208604E-2</v>
      </c>
      <c r="H31" s="52">
        <v>3.9993826513062436E-2</v>
      </c>
      <c r="I31" s="53">
        <v>1.7018809122233858E-2</v>
      </c>
      <c r="J31" s="51">
        <v>4.5697466165406358E-3</v>
      </c>
      <c r="K31" s="52">
        <v>3.9961153242569554E-2</v>
      </c>
      <c r="L31" s="53">
        <v>4.5429715792735206E-2</v>
      </c>
      <c r="M31" s="57">
        <v>3.8460945477362906E-5</v>
      </c>
      <c r="N31" s="51">
        <v>5.4769576844117457E-6</v>
      </c>
      <c r="O31" s="54">
        <v>4.0209554403330042E-5</v>
      </c>
      <c r="P31" s="50">
        <v>2.6231064549352433E-4</v>
      </c>
      <c r="Q31" s="54">
        <v>1.4800453878964085E-3</v>
      </c>
      <c r="R31" s="50">
        <v>1.235380506894213E-4</v>
      </c>
      <c r="S31" s="54">
        <v>3.5627937339580543E-2</v>
      </c>
      <c r="T31" s="50">
        <v>4.0900834297394253E-4</v>
      </c>
      <c r="U31" s="54">
        <v>4.1379126153085216E-5</v>
      </c>
      <c r="V31" s="50">
        <v>0</v>
      </c>
      <c r="W31" s="54">
        <v>1.1200876221298956E-3</v>
      </c>
      <c r="X31" s="50">
        <v>3.0390734690183084E-4</v>
      </c>
      <c r="Y31" s="51">
        <v>2.7246832801358893E-5</v>
      </c>
      <c r="Z31" s="56">
        <v>0</v>
      </c>
      <c r="AA31" s="153">
        <v>1</v>
      </c>
    </row>
    <row r="32" spans="1:27" x14ac:dyDescent="0.25">
      <c r="A32" s="30" t="s">
        <v>31</v>
      </c>
      <c r="B32" s="31" t="s">
        <v>24</v>
      </c>
      <c r="C32" s="32">
        <v>107.79542960772275</v>
      </c>
      <c r="D32" s="32">
        <v>107.79542960770151</v>
      </c>
      <c r="E32" s="44" t="s">
        <v>65</v>
      </c>
      <c r="F32" s="44" t="s">
        <v>138</v>
      </c>
      <c r="G32" s="37">
        <v>3.7881820745565786E-2</v>
      </c>
      <c r="H32" s="38">
        <v>3.0575205893980582E-2</v>
      </c>
      <c r="I32" s="39">
        <v>4.5950577032382953E-3</v>
      </c>
      <c r="J32" s="37">
        <v>2.6125562687469687E-2</v>
      </c>
      <c r="K32" s="38">
        <v>3.1207080935430905E-2</v>
      </c>
      <c r="L32" s="39">
        <v>9.0754434236729811E-3</v>
      </c>
      <c r="M32" s="30" t="s">
        <v>26</v>
      </c>
      <c r="N32" s="31" t="s">
        <v>26</v>
      </c>
      <c r="O32" s="40" t="s">
        <v>26</v>
      </c>
      <c r="P32" s="41" t="s">
        <v>26</v>
      </c>
      <c r="Q32" s="40" t="s">
        <v>26</v>
      </c>
      <c r="R32" s="41" t="s">
        <v>26</v>
      </c>
      <c r="S32" s="40" t="s">
        <v>26</v>
      </c>
      <c r="T32" s="41" t="s">
        <v>26</v>
      </c>
      <c r="U32" s="40" t="s">
        <v>26</v>
      </c>
      <c r="V32" s="41" t="s">
        <v>26</v>
      </c>
      <c r="W32" s="40" t="s">
        <v>26</v>
      </c>
      <c r="X32" s="41" t="s">
        <v>26</v>
      </c>
      <c r="Y32" s="31" t="s">
        <v>26</v>
      </c>
      <c r="Z32" s="33" t="s">
        <v>26</v>
      </c>
      <c r="AA32" s="153">
        <v>1</v>
      </c>
    </row>
    <row r="33" spans="1:27" x14ac:dyDescent="0.25">
      <c r="A33" s="48" t="s">
        <v>86</v>
      </c>
      <c r="B33" s="49" t="s">
        <v>36</v>
      </c>
      <c r="C33" s="32">
        <v>26.593810021275132</v>
      </c>
      <c r="D33" s="32">
        <v>26.593810021279019</v>
      </c>
      <c r="E33" s="44" t="s">
        <v>65</v>
      </c>
      <c r="F33" s="44" t="s">
        <v>138</v>
      </c>
      <c r="G33" s="51">
        <v>1.5117875845313516E-2</v>
      </c>
      <c r="H33" s="52">
        <v>3.5297648030338359E-3</v>
      </c>
      <c r="I33" s="53">
        <v>1.5106296431955874E-3</v>
      </c>
      <c r="J33" s="51">
        <v>0</v>
      </c>
      <c r="K33" s="52">
        <v>2.8493320773185851E-3</v>
      </c>
      <c r="L33" s="53">
        <v>5.6934010226027884E-3</v>
      </c>
      <c r="M33" s="57">
        <v>5.5979299856661627E-7</v>
      </c>
      <c r="N33" s="51">
        <v>0</v>
      </c>
      <c r="O33" s="54">
        <v>4.4617969372386121E-7</v>
      </c>
      <c r="P33" s="50">
        <v>4.6713805398627935E-5</v>
      </c>
      <c r="Q33" s="54">
        <v>3.1909988467566142E-5</v>
      </c>
      <c r="R33" s="50">
        <v>0</v>
      </c>
      <c r="S33" s="54">
        <v>1.0895369221981537E-3</v>
      </c>
      <c r="T33" s="50">
        <v>0</v>
      </c>
      <c r="U33" s="54">
        <v>3.3879325919507012E-5</v>
      </c>
      <c r="V33" s="50">
        <v>0</v>
      </c>
      <c r="W33" s="54">
        <v>1.9656010757284125E-5</v>
      </c>
      <c r="X33" s="50">
        <v>4.5244565472050367E-6</v>
      </c>
      <c r="Y33" s="51">
        <v>5.7215313768130211E-7</v>
      </c>
      <c r="Z33" s="56">
        <v>0</v>
      </c>
      <c r="AA33" s="153">
        <v>1</v>
      </c>
    </row>
    <row r="34" spans="1:27" x14ac:dyDescent="0.25">
      <c r="A34" s="48" t="s">
        <v>87</v>
      </c>
      <c r="B34" s="49" t="s">
        <v>36</v>
      </c>
      <c r="C34" s="32">
        <v>10.955490769705944</v>
      </c>
      <c r="D34" s="32">
        <v>10.95549076971235</v>
      </c>
      <c r="E34" s="44" t="s">
        <v>65</v>
      </c>
      <c r="F34" s="44" t="s">
        <v>138</v>
      </c>
      <c r="G34" s="51">
        <v>1.3331329289792802E-2</v>
      </c>
      <c r="H34" s="52">
        <v>1.645235224780767E-3</v>
      </c>
      <c r="I34" s="53">
        <v>8.0440521812783828E-4</v>
      </c>
      <c r="J34" s="51">
        <v>1.3331329289792802E-2</v>
      </c>
      <c r="K34" s="52">
        <v>1.645235224780767E-3</v>
      </c>
      <c r="L34" s="53">
        <v>2.2913100977370172E-3</v>
      </c>
      <c r="M34" s="57">
        <v>1.8487999222885877E-7</v>
      </c>
      <c r="N34" s="51">
        <v>0</v>
      </c>
      <c r="O34" s="54">
        <v>1.6870742079365538E-7</v>
      </c>
      <c r="P34" s="50">
        <v>3.5654224910055025E-5</v>
      </c>
      <c r="Q34" s="54">
        <v>1.7469789130747369E-5</v>
      </c>
      <c r="R34" s="50">
        <v>8.2702146939506622E-6</v>
      </c>
      <c r="S34" s="54">
        <v>4.8474732723400297E-4</v>
      </c>
      <c r="T34" s="50">
        <v>8.3167286823959439E-5</v>
      </c>
      <c r="U34" s="54">
        <v>1.3341853808987373E-5</v>
      </c>
      <c r="V34" s="50">
        <v>0</v>
      </c>
      <c r="W34" s="54">
        <v>9.3045953463722791E-6</v>
      </c>
      <c r="X34" s="50">
        <v>4.7442546399185863E-5</v>
      </c>
      <c r="Y34" s="51">
        <v>1.0754293773155371E-7</v>
      </c>
      <c r="Z34" s="56">
        <v>0</v>
      </c>
      <c r="AA34" s="153">
        <v>1</v>
      </c>
    </row>
    <row r="35" spans="1:27" x14ac:dyDescent="0.25">
      <c r="A35" s="48" t="s">
        <v>58</v>
      </c>
      <c r="B35" s="49" t="s">
        <v>36</v>
      </c>
      <c r="C35" s="32">
        <v>32.083536191323411</v>
      </c>
      <c r="D35" s="32">
        <v>32.083536191318913</v>
      </c>
      <c r="E35" s="44" t="s">
        <v>65</v>
      </c>
      <c r="F35" s="44" t="s">
        <v>138</v>
      </c>
      <c r="G35" s="51">
        <v>1.9177547465934433E-2</v>
      </c>
      <c r="H35" s="52">
        <v>6.1786422574456384E-3</v>
      </c>
      <c r="I35" s="53">
        <v>3.8077082081116272E-3</v>
      </c>
      <c r="J35" s="51">
        <v>2.1153689923725284E-2</v>
      </c>
      <c r="K35" s="52">
        <v>5.6259160057112465E-3</v>
      </c>
      <c r="L35" s="53">
        <v>7.3601609377592497E-3</v>
      </c>
      <c r="M35" s="57">
        <v>7.9450256701903631E-4</v>
      </c>
      <c r="N35" s="51">
        <v>0</v>
      </c>
      <c r="O35" s="54">
        <v>9.3103700762460159E-4</v>
      </c>
      <c r="P35" s="50">
        <v>0</v>
      </c>
      <c r="Q35" s="54">
        <v>4.7230828212106729E-4</v>
      </c>
      <c r="R35" s="50">
        <v>0</v>
      </c>
      <c r="S35" s="54">
        <v>7.3732352747529328E-4</v>
      </c>
      <c r="T35" s="50">
        <v>0</v>
      </c>
      <c r="U35" s="54">
        <v>5.2428676533091388E-4</v>
      </c>
      <c r="V35" s="50">
        <v>0</v>
      </c>
      <c r="W35" s="54">
        <v>1.1669075079947466E-4</v>
      </c>
      <c r="X35" s="50">
        <v>0</v>
      </c>
      <c r="Y35" s="51">
        <v>8.6869411000702396E-5</v>
      </c>
      <c r="Z35" s="56">
        <v>0</v>
      </c>
      <c r="AA35" s="153">
        <v>1</v>
      </c>
    </row>
    <row r="36" spans="1:27" ht="15.75" thickBot="1" x14ac:dyDescent="0.3">
      <c r="A36" s="59" t="s">
        <v>59</v>
      </c>
      <c r="B36" s="60" t="s">
        <v>36</v>
      </c>
      <c r="C36" s="45">
        <v>13.762464268752073</v>
      </c>
      <c r="D36" s="45">
        <v>13.762464268749047</v>
      </c>
      <c r="E36" s="46" t="s">
        <v>65</v>
      </c>
      <c r="F36" s="46" t="s">
        <v>138</v>
      </c>
      <c r="G36" s="63">
        <v>4.9214223091390256E-6</v>
      </c>
      <c r="H36" s="64">
        <v>8.5165753455418143E-4</v>
      </c>
      <c r="I36" s="65">
        <v>1.2244829717728517E-3</v>
      </c>
      <c r="J36" s="63">
        <v>2.3916326657570258E-3</v>
      </c>
      <c r="K36" s="64">
        <v>9.5907979767442754E-4</v>
      </c>
      <c r="L36" s="65">
        <v>3.8607254498093119E-3</v>
      </c>
      <c r="M36" s="66">
        <v>1.5966129668985374E-4</v>
      </c>
      <c r="N36" s="63">
        <v>0</v>
      </c>
      <c r="O36" s="61">
        <v>1.5196343789863889E-4</v>
      </c>
      <c r="P36" s="62">
        <v>0</v>
      </c>
      <c r="Q36" s="61">
        <v>6.3502696389910841E-5</v>
      </c>
      <c r="R36" s="62">
        <v>0</v>
      </c>
      <c r="S36" s="61">
        <v>9.6016932309259226E-4</v>
      </c>
      <c r="T36" s="62">
        <v>0</v>
      </c>
      <c r="U36" s="61">
        <v>1.0501975800528849E-4</v>
      </c>
      <c r="V36" s="62">
        <v>0</v>
      </c>
      <c r="W36" s="61">
        <v>4.5187919731586429E-5</v>
      </c>
      <c r="X36" s="62">
        <v>0</v>
      </c>
      <c r="Y36" s="63">
        <v>2.343162152470564E-5</v>
      </c>
      <c r="Z36" s="67">
        <v>0</v>
      </c>
      <c r="AA36" s="154">
        <v>0</v>
      </c>
    </row>
    <row r="37" spans="1:27" ht="15.75" thickBot="1" x14ac:dyDescent="0.3">
      <c r="A37" s="130" t="s">
        <v>34</v>
      </c>
      <c r="B37" s="131" t="s">
        <v>36</v>
      </c>
      <c r="C37" s="132">
        <v>246.719178</v>
      </c>
      <c r="D37" s="132">
        <v>246.719178</v>
      </c>
      <c r="E37" s="133" t="s">
        <v>67</v>
      </c>
      <c r="F37" s="133" t="s">
        <v>139</v>
      </c>
      <c r="G37" s="134"/>
      <c r="H37" s="135"/>
      <c r="I37" s="136"/>
      <c r="J37" s="134"/>
      <c r="K37" s="135"/>
      <c r="L37" s="136"/>
      <c r="M37" s="137"/>
      <c r="N37" s="134"/>
      <c r="O37" s="138"/>
      <c r="P37" s="139"/>
      <c r="Q37" s="138"/>
      <c r="R37" s="139"/>
      <c r="S37" s="138"/>
      <c r="T37" s="139"/>
      <c r="U37" s="138"/>
      <c r="V37" s="139"/>
      <c r="W37" s="138"/>
      <c r="X37" s="139"/>
      <c r="Y37" s="134"/>
      <c r="Z37" s="140"/>
      <c r="AA37" s="152">
        <v>1</v>
      </c>
    </row>
    <row r="38" spans="1:27" x14ac:dyDescent="0.25">
      <c r="A38" s="48" t="s">
        <v>52</v>
      </c>
      <c r="B38" s="49" t="s">
        <v>36</v>
      </c>
      <c r="C38" s="32">
        <v>3.5411670821825543</v>
      </c>
      <c r="D38" s="32">
        <v>3.5411670821864361</v>
      </c>
      <c r="E38" s="44" t="s">
        <v>67</v>
      </c>
      <c r="F38" s="44" t="s">
        <v>138</v>
      </c>
      <c r="G38" s="51">
        <v>0</v>
      </c>
      <c r="H38" s="52">
        <v>0</v>
      </c>
      <c r="I38" s="53">
        <v>1.3769248936538644E-5</v>
      </c>
      <c r="J38" s="51">
        <v>0</v>
      </c>
      <c r="K38" s="52">
        <v>0</v>
      </c>
      <c r="L38" s="53">
        <v>7.589503075103627E-5</v>
      </c>
      <c r="M38" s="57">
        <v>3.4495884532313292E-8</v>
      </c>
      <c r="N38" s="51">
        <v>0</v>
      </c>
      <c r="O38" s="54">
        <v>3.706444674252506E-8</v>
      </c>
      <c r="P38" s="50">
        <v>1.3310567449033118E-5</v>
      </c>
      <c r="Q38" s="54">
        <v>0</v>
      </c>
      <c r="R38" s="50">
        <v>0</v>
      </c>
      <c r="S38" s="54">
        <v>1.5913324069575471E-5</v>
      </c>
      <c r="T38" s="50">
        <v>0</v>
      </c>
      <c r="U38" s="54">
        <v>1.1695916138751027E-6</v>
      </c>
      <c r="V38" s="50">
        <v>0</v>
      </c>
      <c r="W38" s="54">
        <v>3.2938496506504361E-8</v>
      </c>
      <c r="X38" s="50">
        <v>6.9557295956318502E-6</v>
      </c>
      <c r="Y38" s="51">
        <v>0</v>
      </c>
      <c r="Z38" s="56">
        <v>0</v>
      </c>
      <c r="AA38" s="153">
        <v>1</v>
      </c>
    </row>
    <row r="39" spans="1:27" x14ac:dyDescent="0.25">
      <c r="A39" s="48" t="s">
        <v>57</v>
      </c>
      <c r="B39" s="49" t="s">
        <v>36</v>
      </c>
      <c r="C39" s="32">
        <v>9.417736679411064</v>
      </c>
      <c r="D39" s="32">
        <v>9.417736679423669</v>
      </c>
      <c r="E39" s="44" t="s">
        <v>67</v>
      </c>
      <c r="F39" s="44" t="s">
        <v>138</v>
      </c>
      <c r="G39" s="51">
        <v>0</v>
      </c>
      <c r="H39" s="52">
        <v>1.6674551898843823E-3</v>
      </c>
      <c r="I39" s="53">
        <v>8.3538296359608429E-5</v>
      </c>
      <c r="J39" s="51">
        <v>8.3266230227127362E-3</v>
      </c>
      <c r="K39" s="52">
        <v>1.8973274125454493E-3</v>
      </c>
      <c r="L39" s="53">
        <v>4.8984883873511367E-4</v>
      </c>
      <c r="M39" s="57">
        <v>3.2394998057067057E-8</v>
      </c>
      <c r="N39" s="51">
        <v>0</v>
      </c>
      <c r="O39" s="54">
        <v>1.60795369688128E-6</v>
      </c>
      <c r="P39" s="50">
        <v>0</v>
      </c>
      <c r="Q39" s="54">
        <v>0</v>
      </c>
      <c r="R39" s="50">
        <v>0</v>
      </c>
      <c r="S39" s="54">
        <v>1.9505534222340942E-5</v>
      </c>
      <c r="T39" s="50">
        <v>0</v>
      </c>
      <c r="U39" s="54">
        <v>3.0682568954833973E-7</v>
      </c>
      <c r="V39" s="50">
        <v>0</v>
      </c>
      <c r="W39" s="54">
        <v>5.608167190109097E-8</v>
      </c>
      <c r="X39" s="50">
        <v>0</v>
      </c>
      <c r="Y39" s="51">
        <v>0</v>
      </c>
      <c r="Z39" s="56">
        <v>0</v>
      </c>
      <c r="AA39" s="153">
        <v>1</v>
      </c>
    </row>
    <row r="40" spans="1:27" x14ac:dyDescent="0.25">
      <c r="A40" s="30" t="s">
        <v>33</v>
      </c>
      <c r="B40" s="31" t="s">
        <v>24</v>
      </c>
      <c r="C40" s="32">
        <v>9.4229995417572265</v>
      </c>
      <c r="D40" s="32">
        <v>9.4229995417693484</v>
      </c>
      <c r="E40" s="44" t="s">
        <v>67</v>
      </c>
      <c r="F40" s="44" t="s">
        <v>138</v>
      </c>
      <c r="G40" s="37">
        <v>0</v>
      </c>
      <c r="H40" s="38">
        <v>1.9027195424239007E-3</v>
      </c>
      <c r="I40" s="39">
        <v>1.2075425696107975E-4</v>
      </c>
      <c r="J40" s="37">
        <v>1.1250821451873132E-5</v>
      </c>
      <c r="K40" s="38">
        <v>1.9421608215969611E-3</v>
      </c>
      <c r="L40" s="39">
        <v>4.1805000665911521E-4</v>
      </c>
      <c r="M40" s="30" t="s">
        <v>26</v>
      </c>
      <c r="N40" s="31" t="s">
        <v>26</v>
      </c>
      <c r="O40" s="40" t="s">
        <v>26</v>
      </c>
      <c r="P40" s="41" t="s">
        <v>26</v>
      </c>
      <c r="Q40" s="40" t="s">
        <v>26</v>
      </c>
      <c r="R40" s="41" t="s">
        <v>26</v>
      </c>
      <c r="S40" s="40" t="s">
        <v>26</v>
      </c>
      <c r="T40" s="41" t="s">
        <v>26</v>
      </c>
      <c r="U40" s="40" t="s">
        <v>26</v>
      </c>
      <c r="V40" s="41" t="s">
        <v>26</v>
      </c>
      <c r="W40" s="40" t="s">
        <v>26</v>
      </c>
      <c r="X40" s="41" t="s">
        <v>26</v>
      </c>
      <c r="Y40" s="31" t="s">
        <v>26</v>
      </c>
      <c r="Z40" s="33" t="s">
        <v>26</v>
      </c>
      <c r="AA40" s="153">
        <v>1</v>
      </c>
    </row>
    <row r="41" spans="1:27" ht="15.75" thickBot="1" x14ac:dyDescent="0.3">
      <c r="A41" s="48" t="s">
        <v>62</v>
      </c>
      <c r="B41" s="49" t="s">
        <v>36</v>
      </c>
      <c r="C41" s="32">
        <v>2.4098405480566361</v>
      </c>
      <c r="D41" s="32">
        <v>2.4098405480564269</v>
      </c>
      <c r="E41" s="44" t="s">
        <v>67</v>
      </c>
      <c r="F41" s="44" t="s">
        <v>139</v>
      </c>
      <c r="G41" s="51">
        <v>0</v>
      </c>
      <c r="H41" s="52">
        <v>0</v>
      </c>
      <c r="I41" s="53">
        <v>6.7935441033122918E-7</v>
      </c>
      <c r="J41" s="51">
        <v>5.8154173328746998E-3</v>
      </c>
      <c r="K41" s="52">
        <v>0</v>
      </c>
      <c r="L41" s="53">
        <v>1.2117955983657011E-6</v>
      </c>
      <c r="M41" s="57">
        <v>0</v>
      </c>
      <c r="N41" s="51">
        <v>0</v>
      </c>
      <c r="O41" s="54">
        <v>9.2213403270302123E-8</v>
      </c>
      <c r="P41" s="50">
        <v>0</v>
      </c>
      <c r="Q41" s="54">
        <v>4.9686875520921599E-7</v>
      </c>
      <c r="R41" s="50">
        <v>0</v>
      </c>
      <c r="S41" s="54">
        <v>6.1005634289325682E-7</v>
      </c>
      <c r="T41" s="50">
        <v>0</v>
      </c>
      <c r="U41" s="54">
        <v>0</v>
      </c>
      <c r="V41" s="50">
        <v>0</v>
      </c>
      <c r="W41" s="54">
        <v>0</v>
      </c>
      <c r="X41" s="50">
        <v>0</v>
      </c>
      <c r="Y41" s="51">
        <v>0</v>
      </c>
      <c r="Z41" s="56">
        <v>0</v>
      </c>
      <c r="AA41" s="154">
        <v>1</v>
      </c>
    </row>
  </sheetData>
  <mergeCells count="14">
    <mergeCell ref="AA1:AA3"/>
    <mergeCell ref="M2:N2"/>
    <mergeCell ref="O2:P2"/>
    <mergeCell ref="Q2:R2"/>
    <mergeCell ref="S2:T2"/>
    <mergeCell ref="U2:V2"/>
    <mergeCell ref="W2:X2"/>
    <mergeCell ref="Y2:Z2"/>
    <mergeCell ref="M1:Y1"/>
    <mergeCell ref="C1:C2"/>
    <mergeCell ref="D1:D2"/>
    <mergeCell ref="F1:F3"/>
    <mergeCell ref="G1:I2"/>
    <mergeCell ref="J1:L2"/>
  </mergeCells>
  <conditionalFormatting sqref="G38:G41 G4:G27">
    <cfRule type="colorScale" priority="72">
      <colorScale>
        <cfvo type="min"/>
        <cfvo type="max"/>
        <color rgb="FFFFEF9C"/>
        <color rgb="FFFF7128"/>
      </colorScale>
    </cfRule>
  </conditionalFormatting>
  <conditionalFormatting sqref="H38:H41 H4:H27">
    <cfRule type="colorScale" priority="71">
      <colorScale>
        <cfvo type="min"/>
        <cfvo type="max"/>
        <color rgb="FFFFEF9C"/>
        <color rgb="FFFF7128"/>
      </colorScale>
    </cfRule>
  </conditionalFormatting>
  <conditionalFormatting sqref="I38:I41 I4:I27">
    <cfRule type="colorScale" priority="70">
      <colorScale>
        <cfvo type="min"/>
        <cfvo type="max"/>
        <color rgb="FFFFEF9C"/>
        <color rgb="FFFF7128"/>
      </colorScale>
    </cfRule>
  </conditionalFormatting>
  <conditionalFormatting sqref="J38:J41 J4:J27">
    <cfRule type="colorScale" priority="69">
      <colorScale>
        <cfvo type="min"/>
        <cfvo type="max"/>
        <color rgb="FFFFEF9C"/>
        <color rgb="FFFF7128"/>
      </colorScale>
    </cfRule>
  </conditionalFormatting>
  <conditionalFormatting sqref="K38:K41 K4:K27">
    <cfRule type="colorScale" priority="68">
      <colorScale>
        <cfvo type="min"/>
        <cfvo type="max"/>
        <color rgb="FFFFEF9C"/>
        <color rgb="FFFF7128"/>
      </colorScale>
    </cfRule>
  </conditionalFormatting>
  <conditionalFormatting sqref="L38:L41 L4:L27">
    <cfRule type="colorScale" priority="67">
      <colorScale>
        <cfvo type="min"/>
        <cfvo type="max"/>
        <color rgb="FFFFEF9C"/>
        <color rgb="FFFF7128"/>
      </colorScale>
    </cfRule>
  </conditionalFormatting>
  <conditionalFormatting sqref="M38:M41 M4:M36">
    <cfRule type="colorScale" priority="66">
      <colorScale>
        <cfvo type="min"/>
        <cfvo type="max"/>
        <color rgb="FFFFEF9C"/>
        <color rgb="FFFF7128"/>
      </colorScale>
    </cfRule>
  </conditionalFormatting>
  <conditionalFormatting sqref="N38:N41 N4:N36">
    <cfRule type="colorScale" priority="65">
      <colorScale>
        <cfvo type="min"/>
        <cfvo type="max"/>
        <color rgb="FFFFEF9C"/>
        <color rgb="FFFF7128"/>
      </colorScale>
    </cfRule>
  </conditionalFormatting>
  <conditionalFormatting sqref="O38:O41 O4:O36">
    <cfRule type="colorScale" priority="64">
      <colorScale>
        <cfvo type="min"/>
        <cfvo type="max"/>
        <color rgb="FFFFEF9C"/>
        <color rgb="FFFF7128"/>
      </colorScale>
    </cfRule>
  </conditionalFormatting>
  <conditionalFormatting sqref="P38:P41 P4:P36">
    <cfRule type="colorScale" priority="63">
      <colorScale>
        <cfvo type="min"/>
        <cfvo type="max"/>
        <color rgb="FFFFEF9C"/>
        <color rgb="FFFF7128"/>
      </colorScale>
    </cfRule>
  </conditionalFormatting>
  <conditionalFormatting sqref="Q38:Q41 Q4:Q36">
    <cfRule type="colorScale" priority="62">
      <colorScale>
        <cfvo type="min"/>
        <cfvo type="max"/>
        <color rgb="FFFFEF9C"/>
        <color rgb="FFFF7128"/>
      </colorScale>
    </cfRule>
  </conditionalFormatting>
  <conditionalFormatting sqref="R38:R41 R4:R36">
    <cfRule type="colorScale" priority="61">
      <colorScale>
        <cfvo type="min"/>
        <cfvo type="max"/>
        <color rgb="FFFFEF9C"/>
        <color rgb="FFFF7128"/>
      </colorScale>
    </cfRule>
  </conditionalFormatting>
  <conditionalFormatting sqref="S38:S41 S4:S36">
    <cfRule type="colorScale" priority="60">
      <colorScale>
        <cfvo type="min"/>
        <cfvo type="max"/>
        <color rgb="FFFFEF9C"/>
        <color rgb="FFFF7128"/>
      </colorScale>
    </cfRule>
  </conditionalFormatting>
  <conditionalFormatting sqref="T38:T41 T4:T36">
    <cfRule type="colorScale" priority="59">
      <colorScale>
        <cfvo type="min"/>
        <cfvo type="max"/>
        <color rgb="FFFFEF9C"/>
        <color rgb="FFFF7128"/>
      </colorScale>
    </cfRule>
  </conditionalFormatting>
  <conditionalFormatting sqref="U38:U41 U4:U36">
    <cfRule type="colorScale" priority="58">
      <colorScale>
        <cfvo type="min"/>
        <cfvo type="max"/>
        <color rgb="FFFFEF9C"/>
        <color rgb="FFFF7128"/>
      </colorScale>
    </cfRule>
  </conditionalFormatting>
  <conditionalFormatting sqref="V38:V41 V4:V36">
    <cfRule type="colorScale" priority="57">
      <colorScale>
        <cfvo type="min"/>
        <cfvo type="max"/>
        <color rgb="FFFFEF9C"/>
        <color rgb="FFFF7128"/>
      </colorScale>
    </cfRule>
  </conditionalFormatting>
  <conditionalFormatting sqref="W38:W41 W4:W36">
    <cfRule type="colorScale" priority="56">
      <colorScale>
        <cfvo type="min"/>
        <cfvo type="max"/>
        <color rgb="FFFFEF9C"/>
        <color rgb="FFFF7128"/>
      </colorScale>
    </cfRule>
  </conditionalFormatting>
  <conditionalFormatting sqref="X38:X41 X4:X36">
    <cfRule type="colorScale" priority="55">
      <colorScale>
        <cfvo type="min"/>
        <cfvo type="max"/>
        <color rgb="FFFFEF9C"/>
        <color rgb="FFFF7128"/>
      </colorScale>
    </cfRule>
  </conditionalFormatting>
  <conditionalFormatting sqref="Y38:Y41 Y4:Y36">
    <cfRule type="colorScale" priority="54">
      <colorScale>
        <cfvo type="min"/>
        <cfvo type="max"/>
        <color rgb="FFFFEF9C"/>
        <color rgb="FFFF7128"/>
      </colorScale>
    </cfRule>
  </conditionalFormatting>
  <conditionalFormatting sqref="Z38:Z41 Z4:Z36">
    <cfRule type="colorScale" priority="53">
      <colorScale>
        <cfvo type="min"/>
        <cfvo type="max"/>
        <color rgb="FFFFEF9C"/>
        <color rgb="FFFF7128"/>
      </colorScale>
    </cfRule>
  </conditionalFormatting>
  <conditionalFormatting sqref="D38:D41 D4:D36">
    <cfRule type="colorScale" priority="52">
      <colorScale>
        <cfvo type="min"/>
        <cfvo type="max"/>
        <color rgb="FFFFEF9C"/>
        <color rgb="FFFF7128"/>
      </colorScale>
    </cfRule>
  </conditionalFormatting>
  <conditionalFormatting sqref="C38:C41 C4:C36">
    <cfRule type="colorScale" priority="24">
      <colorScale>
        <cfvo type="min"/>
        <cfvo type="max"/>
        <color rgb="FFFFEF9C"/>
        <color rgb="FFFF7128"/>
      </colorScale>
    </cfRule>
  </conditionalFormatting>
  <conditionalFormatting sqref="G37">
    <cfRule type="colorScale" priority="22">
      <colorScale>
        <cfvo type="min"/>
        <cfvo type="max"/>
        <color rgb="FFFFEF9C"/>
        <color rgb="FFFF7128"/>
      </colorScale>
    </cfRule>
  </conditionalFormatting>
  <conditionalFormatting sqref="H37">
    <cfRule type="colorScale" priority="21">
      <colorScale>
        <cfvo type="min"/>
        <cfvo type="max"/>
        <color rgb="FFFFEF9C"/>
        <color rgb="FFFF7128"/>
      </colorScale>
    </cfRule>
  </conditionalFormatting>
  <conditionalFormatting sqref="I37">
    <cfRule type="colorScale" priority="20">
      <colorScale>
        <cfvo type="min"/>
        <cfvo type="max"/>
        <color rgb="FFFFEF9C"/>
        <color rgb="FFFF7128"/>
      </colorScale>
    </cfRule>
  </conditionalFormatting>
  <conditionalFormatting sqref="J37">
    <cfRule type="colorScale" priority="19">
      <colorScale>
        <cfvo type="min"/>
        <cfvo type="max"/>
        <color rgb="FFFFEF9C"/>
        <color rgb="FFFF7128"/>
      </colorScale>
    </cfRule>
  </conditionalFormatting>
  <conditionalFormatting sqref="K37">
    <cfRule type="colorScale" priority="18">
      <colorScale>
        <cfvo type="min"/>
        <cfvo type="max"/>
        <color rgb="FFFFEF9C"/>
        <color rgb="FFFF7128"/>
      </colorScale>
    </cfRule>
  </conditionalFormatting>
  <conditionalFormatting sqref="L37">
    <cfRule type="colorScale" priority="17">
      <colorScale>
        <cfvo type="min"/>
        <cfvo type="max"/>
        <color rgb="FFFFEF9C"/>
        <color rgb="FFFF7128"/>
      </colorScale>
    </cfRule>
  </conditionalFormatting>
  <conditionalFormatting sqref="M37">
    <cfRule type="colorScale" priority="16">
      <colorScale>
        <cfvo type="min"/>
        <cfvo type="max"/>
        <color rgb="FFFFEF9C"/>
        <color rgb="FFFF7128"/>
      </colorScale>
    </cfRule>
  </conditionalFormatting>
  <conditionalFormatting sqref="N37">
    <cfRule type="colorScale" priority="15">
      <colorScale>
        <cfvo type="min"/>
        <cfvo type="max"/>
        <color rgb="FFFFEF9C"/>
        <color rgb="FFFF7128"/>
      </colorScale>
    </cfRule>
  </conditionalFormatting>
  <conditionalFormatting sqref="O37">
    <cfRule type="colorScale" priority="14">
      <colorScale>
        <cfvo type="min"/>
        <cfvo type="max"/>
        <color rgb="FFFFEF9C"/>
        <color rgb="FFFF7128"/>
      </colorScale>
    </cfRule>
  </conditionalFormatting>
  <conditionalFormatting sqref="P37">
    <cfRule type="colorScale" priority="13">
      <colorScale>
        <cfvo type="min"/>
        <cfvo type="max"/>
        <color rgb="FFFFEF9C"/>
        <color rgb="FFFF7128"/>
      </colorScale>
    </cfRule>
  </conditionalFormatting>
  <conditionalFormatting sqref="Q37">
    <cfRule type="colorScale" priority="12">
      <colorScale>
        <cfvo type="min"/>
        <cfvo type="max"/>
        <color rgb="FFFFEF9C"/>
        <color rgb="FFFF7128"/>
      </colorScale>
    </cfRule>
  </conditionalFormatting>
  <conditionalFormatting sqref="R37">
    <cfRule type="colorScale" priority="11">
      <colorScale>
        <cfvo type="min"/>
        <cfvo type="max"/>
        <color rgb="FFFFEF9C"/>
        <color rgb="FFFF7128"/>
      </colorScale>
    </cfRule>
  </conditionalFormatting>
  <conditionalFormatting sqref="S37">
    <cfRule type="colorScale" priority="10">
      <colorScale>
        <cfvo type="min"/>
        <cfvo type="max"/>
        <color rgb="FFFFEF9C"/>
        <color rgb="FFFF7128"/>
      </colorScale>
    </cfRule>
  </conditionalFormatting>
  <conditionalFormatting sqref="T37">
    <cfRule type="colorScale" priority="9">
      <colorScale>
        <cfvo type="min"/>
        <cfvo type="max"/>
        <color rgb="FFFFEF9C"/>
        <color rgb="FFFF7128"/>
      </colorScale>
    </cfRule>
  </conditionalFormatting>
  <conditionalFormatting sqref="U37">
    <cfRule type="colorScale" priority="8">
      <colorScale>
        <cfvo type="min"/>
        <cfvo type="max"/>
        <color rgb="FFFFEF9C"/>
        <color rgb="FFFF7128"/>
      </colorScale>
    </cfRule>
  </conditionalFormatting>
  <conditionalFormatting sqref="V37">
    <cfRule type="colorScale" priority="7">
      <colorScale>
        <cfvo type="min"/>
        <cfvo type="max"/>
        <color rgb="FFFFEF9C"/>
        <color rgb="FFFF7128"/>
      </colorScale>
    </cfRule>
  </conditionalFormatting>
  <conditionalFormatting sqref="W37">
    <cfRule type="colorScale" priority="6">
      <colorScale>
        <cfvo type="min"/>
        <cfvo type="max"/>
        <color rgb="FFFFEF9C"/>
        <color rgb="FFFF7128"/>
      </colorScale>
    </cfRule>
  </conditionalFormatting>
  <conditionalFormatting sqref="X37">
    <cfRule type="colorScale" priority="5">
      <colorScale>
        <cfvo type="min"/>
        <cfvo type="max"/>
        <color rgb="FFFFEF9C"/>
        <color rgb="FFFF7128"/>
      </colorScale>
    </cfRule>
  </conditionalFormatting>
  <conditionalFormatting sqref="Y37">
    <cfRule type="colorScale" priority="4">
      <colorScale>
        <cfvo type="min"/>
        <cfvo type="max"/>
        <color rgb="FFFFEF9C"/>
        <color rgb="FFFF7128"/>
      </colorScale>
    </cfRule>
  </conditionalFormatting>
  <conditionalFormatting sqref="Z37">
    <cfRule type="colorScale" priority="3">
      <colorScale>
        <cfvo type="min"/>
        <cfvo type="max"/>
        <color rgb="FFFFEF9C"/>
        <color rgb="FFFF7128"/>
      </colorScale>
    </cfRule>
  </conditionalFormatting>
  <conditionalFormatting sqref="D37">
    <cfRule type="colorScale" priority="2">
      <colorScale>
        <cfvo type="min"/>
        <cfvo type="max"/>
        <color rgb="FFFFEF9C"/>
        <color rgb="FFFF7128"/>
      </colorScale>
    </cfRule>
  </conditionalFormatting>
  <conditionalFormatting sqref="C37">
    <cfRule type="colorScale" priority="1">
      <colorScale>
        <cfvo type="min"/>
        <cfvo type="max"/>
        <color rgb="FFFFEF9C"/>
        <color rgb="FFFF7128"/>
      </colorScale>
    </cfRule>
  </conditionalFormatting>
  <conditionalFormatting sqref="G28:G36">
    <cfRule type="colorScale" priority="193">
      <colorScale>
        <cfvo type="min"/>
        <cfvo type="max"/>
        <color rgb="FFFFEF9C"/>
        <color rgb="FFFF7128"/>
      </colorScale>
    </cfRule>
  </conditionalFormatting>
  <conditionalFormatting sqref="H28:H36">
    <cfRule type="colorScale" priority="194">
      <colorScale>
        <cfvo type="min"/>
        <cfvo type="max"/>
        <color rgb="FFFFEF9C"/>
        <color rgb="FFFF7128"/>
      </colorScale>
    </cfRule>
  </conditionalFormatting>
  <conditionalFormatting sqref="I28:I36">
    <cfRule type="colorScale" priority="195">
      <colorScale>
        <cfvo type="min"/>
        <cfvo type="max"/>
        <color rgb="FFFFEF9C"/>
        <color rgb="FFFF7128"/>
      </colorScale>
    </cfRule>
  </conditionalFormatting>
  <conditionalFormatting sqref="J28:J36">
    <cfRule type="colorScale" priority="196">
      <colorScale>
        <cfvo type="min"/>
        <cfvo type="max"/>
        <color rgb="FFFFEF9C"/>
        <color rgb="FFFF7128"/>
      </colorScale>
    </cfRule>
  </conditionalFormatting>
  <conditionalFormatting sqref="K28:K36">
    <cfRule type="colorScale" priority="197">
      <colorScale>
        <cfvo type="min"/>
        <cfvo type="max"/>
        <color rgb="FFFFEF9C"/>
        <color rgb="FFFF7128"/>
      </colorScale>
    </cfRule>
  </conditionalFormatting>
  <conditionalFormatting sqref="L28:L36">
    <cfRule type="colorScale" priority="198">
      <colorScale>
        <cfvo type="min"/>
        <cfvo type="max"/>
        <color rgb="FFFFEF9C"/>
        <color rgb="FFFF7128"/>
      </colorScale>
    </cfRule>
  </conditionalFormatting>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R25" sqref="R25"/>
    </sheetView>
  </sheetViews>
  <sheetFormatPr defaultRowHeight="15" x14ac:dyDescent="0.25"/>
  <sheetData/>
  <sheetProtection password="EE40" sheet="1" objects="1" scenarios="1"/>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A56" sqref="A56"/>
    </sheetView>
  </sheetViews>
  <sheetFormatPr defaultRowHeight="15" x14ac:dyDescent="0.25"/>
  <cols>
    <col min="1" max="1" width="33.28515625" customWidth="1"/>
    <col min="2" max="2" width="8.7109375" bestFit="1" customWidth="1"/>
    <col min="3" max="3" width="6.28515625" bestFit="1" customWidth="1"/>
    <col min="4" max="4" width="8" bestFit="1" customWidth="1"/>
    <col min="5" max="5" width="8" customWidth="1"/>
    <col min="6" max="7" width="7.140625" bestFit="1" customWidth="1"/>
    <col min="8" max="8" width="8" bestFit="1" customWidth="1"/>
    <col min="9" max="9" width="7.7109375" bestFit="1" customWidth="1"/>
  </cols>
  <sheetData>
    <row r="1" spans="1:13" ht="16.5" thickBot="1" x14ac:dyDescent="0.3">
      <c r="A1" s="266" t="s">
        <v>184</v>
      </c>
    </row>
    <row r="2" spans="1:13" ht="15" customHeight="1" x14ac:dyDescent="0.25">
      <c r="A2" s="400"/>
      <c r="B2" s="862"/>
      <c r="C2" s="864" t="s">
        <v>77</v>
      </c>
      <c r="D2" s="865"/>
      <c r="E2" s="865"/>
      <c r="F2" s="866"/>
      <c r="G2" s="870" t="s">
        <v>78</v>
      </c>
      <c r="H2" s="865"/>
      <c r="I2" s="866"/>
      <c r="J2" s="416" t="s">
        <v>193</v>
      </c>
      <c r="K2" s="416"/>
      <c r="L2" s="416"/>
      <c r="M2" s="416"/>
    </row>
    <row r="3" spans="1:13" ht="15" customHeight="1" x14ac:dyDescent="0.25">
      <c r="A3" s="401"/>
      <c r="B3" s="863"/>
      <c r="C3" s="867"/>
      <c r="D3" s="868"/>
      <c r="E3" s="868"/>
      <c r="F3" s="869"/>
      <c r="G3" s="871"/>
      <c r="H3" s="868"/>
      <c r="I3" s="869"/>
    </row>
    <row r="4" spans="1:13" ht="15" customHeight="1" x14ac:dyDescent="0.25">
      <c r="A4" s="852" t="s">
        <v>191</v>
      </c>
      <c r="B4" s="854" t="s">
        <v>328</v>
      </c>
      <c r="C4" s="856" t="s">
        <v>150</v>
      </c>
      <c r="D4" s="858" t="s">
        <v>151</v>
      </c>
      <c r="E4" s="860" t="s">
        <v>182</v>
      </c>
      <c r="F4" s="854" t="s">
        <v>183</v>
      </c>
      <c r="G4" s="852" t="s">
        <v>150</v>
      </c>
      <c r="H4" s="860" t="s">
        <v>151</v>
      </c>
      <c r="I4" s="854" t="s">
        <v>152</v>
      </c>
    </row>
    <row r="5" spans="1:13" ht="15.75" thickBot="1" x14ac:dyDescent="0.3">
      <c r="A5" s="853"/>
      <c r="B5" s="855"/>
      <c r="C5" s="857"/>
      <c r="D5" s="859"/>
      <c r="E5" s="861"/>
      <c r="F5" s="855"/>
      <c r="G5" s="853"/>
      <c r="H5" s="861"/>
      <c r="I5" s="855"/>
    </row>
    <row r="6" spans="1:13" ht="15.75" thickBot="1" x14ac:dyDescent="0.3">
      <c r="A6" s="484" t="s">
        <v>73</v>
      </c>
      <c r="B6" s="269"/>
      <c r="C6" s="402"/>
      <c r="D6" s="403"/>
      <c r="E6" s="268"/>
      <c r="F6" s="269"/>
      <c r="G6" s="267"/>
      <c r="H6" s="268"/>
      <c r="I6" s="269"/>
    </row>
    <row r="7" spans="1:13" x14ac:dyDescent="0.25">
      <c r="A7" s="270" t="s">
        <v>50</v>
      </c>
      <c r="B7" s="271">
        <v>56.9</v>
      </c>
      <c r="C7" s="404">
        <v>0</v>
      </c>
      <c r="D7" s="405">
        <v>7.375244404305926E-3</v>
      </c>
      <c r="E7" s="405">
        <v>9.9000000000000008E-3</v>
      </c>
      <c r="F7" s="406">
        <v>3.5999999999999999E-3</v>
      </c>
      <c r="G7" s="272">
        <v>0</v>
      </c>
      <c r="H7" s="273">
        <v>7.5276630954452467E-3</v>
      </c>
      <c r="I7" s="274">
        <v>4.6279841458284864E-3</v>
      </c>
    </row>
    <row r="8" spans="1:13" x14ac:dyDescent="0.25">
      <c r="A8" s="270" t="s">
        <v>88</v>
      </c>
      <c r="B8" s="271">
        <v>25.5</v>
      </c>
      <c r="C8" s="404">
        <v>0</v>
      </c>
      <c r="D8" s="405">
        <v>0</v>
      </c>
      <c r="E8" s="405">
        <v>1E-4</v>
      </c>
      <c r="F8" s="274">
        <v>0</v>
      </c>
      <c r="G8" s="272">
        <v>0</v>
      </c>
      <c r="H8" s="273">
        <v>0</v>
      </c>
      <c r="I8" s="274">
        <v>2.7166288425656961E-5</v>
      </c>
    </row>
    <row r="9" spans="1:13" x14ac:dyDescent="0.25">
      <c r="A9" s="270" t="s">
        <v>91</v>
      </c>
      <c r="B9" s="271">
        <v>6.4</v>
      </c>
      <c r="C9" s="404">
        <v>0</v>
      </c>
      <c r="D9" s="405">
        <v>1.3833083750653401E-3</v>
      </c>
      <c r="E9" s="405">
        <v>1.4E-3</v>
      </c>
      <c r="F9" s="274">
        <v>5.0000000000000001E-4</v>
      </c>
      <c r="G9" s="272">
        <v>0</v>
      </c>
      <c r="H9" s="273">
        <v>1.4118961804872761E-3</v>
      </c>
      <c r="I9" s="274">
        <v>5.3328961042034887E-4</v>
      </c>
    </row>
    <row r="10" spans="1:13" x14ac:dyDescent="0.25">
      <c r="A10" s="270" t="s">
        <v>43</v>
      </c>
      <c r="B10" s="271">
        <v>114.8</v>
      </c>
      <c r="C10" s="404">
        <v>2.6258771237815844E-2</v>
      </c>
      <c r="D10" s="405">
        <v>8.3175559812907161E-3</v>
      </c>
      <c r="E10" s="405">
        <v>1.0999999999999999E-2</v>
      </c>
      <c r="F10" s="274">
        <v>3.8E-3</v>
      </c>
      <c r="G10" s="272">
        <v>2.4365440175406577E-2</v>
      </c>
      <c r="H10" s="273">
        <v>8.3447397101575477E-3</v>
      </c>
      <c r="I10" s="274">
        <v>6.1855439285629678E-3</v>
      </c>
    </row>
    <row r="11" spans="1:13" x14ac:dyDescent="0.25">
      <c r="A11" s="270" t="s">
        <v>44</v>
      </c>
      <c r="B11" s="271">
        <v>110.9</v>
      </c>
      <c r="C11" s="404">
        <v>2.3312023258311793E-2</v>
      </c>
      <c r="D11" s="405">
        <v>1.0864374480181446E-2</v>
      </c>
      <c r="E11" s="405">
        <v>1.1299999999999999E-2</v>
      </c>
      <c r="F11" s="274">
        <v>3.8999999999999998E-3</v>
      </c>
      <c r="G11" s="272">
        <v>0</v>
      </c>
      <c r="H11" s="273">
        <v>1.0875236605591579E-2</v>
      </c>
      <c r="I11" s="274">
        <v>6.1950472271423661E-3</v>
      </c>
    </row>
    <row r="12" spans="1:13" x14ac:dyDescent="0.25">
      <c r="A12" s="270" t="s">
        <v>54</v>
      </c>
      <c r="B12" s="271">
        <v>68.400000000000006</v>
      </c>
      <c r="C12" s="404">
        <v>7.2466003431181239E-3</v>
      </c>
      <c r="D12" s="405">
        <v>1.9935012711436544E-3</v>
      </c>
      <c r="E12" s="405">
        <v>5.7000000000000002E-3</v>
      </c>
      <c r="F12" s="274">
        <v>1.6999999999999999E-3</v>
      </c>
      <c r="G12" s="272">
        <v>1.7614734244438508E-2</v>
      </c>
      <c r="H12" s="273">
        <v>2.0115981318000044E-3</v>
      </c>
      <c r="I12" s="274">
        <v>3.3577460801656731E-3</v>
      </c>
    </row>
    <row r="13" spans="1:13" x14ac:dyDescent="0.25">
      <c r="A13" s="270" t="s">
        <v>47</v>
      </c>
      <c r="B13" s="271">
        <v>187.5</v>
      </c>
      <c r="C13" s="404">
        <v>1.8000161867181334E-2</v>
      </c>
      <c r="D13" s="405">
        <v>1.0713643031712045E-2</v>
      </c>
      <c r="E13" s="405">
        <v>1.4E-2</v>
      </c>
      <c r="F13" s="274">
        <v>1.4E-2</v>
      </c>
      <c r="G13" s="272">
        <v>0</v>
      </c>
      <c r="H13" s="273">
        <v>1.0246417234873509E-2</v>
      </c>
      <c r="I13" s="274">
        <v>2.6180577762546335E-3</v>
      </c>
    </row>
    <row r="14" spans="1:13" ht="15.75" thickBot="1" x14ac:dyDescent="0.3">
      <c r="A14" s="270" t="s">
        <v>48</v>
      </c>
      <c r="B14" s="271">
        <v>229.9</v>
      </c>
      <c r="C14" s="404">
        <v>7.4216109788590098E-3</v>
      </c>
      <c r="D14" s="405">
        <v>1.6917032615144462E-2</v>
      </c>
      <c r="E14" s="405">
        <v>1.5299999999999999E-2</v>
      </c>
      <c r="F14" s="274">
        <v>1.6799999999999999E-2</v>
      </c>
      <c r="G14" s="272">
        <v>0</v>
      </c>
      <c r="H14" s="273">
        <v>1.726664434701549E-2</v>
      </c>
      <c r="I14" s="274">
        <v>3.4189332957627098E-3</v>
      </c>
    </row>
    <row r="15" spans="1:13" ht="15.75" thickBot="1" x14ac:dyDescent="0.3">
      <c r="A15" s="275" t="s">
        <v>74</v>
      </c>
      <c r="B15" s="278"/>
      <c r="C15" s="407"/>
      <c r="D15" s="408"/>
      <c r="E15" s="277"/>
      <c r="F15" s="278"/>
      <c r="G15" s="276"/>
      <c r="H15" s="277"/>
      <c r="I15" s="278"/>
    </row>
    <row r="16" spans="1:13" x14ac:dyDescent="0.25">
      <c r="A16" s="279" t="s">
        <v>23</v>
      </c>
      <c r="B16" s="271">
        <v>66</v>
      </c>
      <c r="C16" s="404">
        <v>0</v>
      </c>
      <c r="D16" s="405">
        <v>9.2328296866663344E-4</v>
      </c>
      <c r="E16" s="405">
        <v>2.8E-3</v>
      </c>
      <c r="F16" s="274">
        <v>6.3E-3</v>
      </c>
      <c r="G16" s="272">
        <v>0</v>
      </c>
      <c r="H16" s="273">
        <v>9.4236377113512319E-4</v>
      </c>
      <c r="I16" s="274">
        <v>3.1344071759555059E-3</v>
      </c>
    </row>
    <row r="17" spans="1:9" x14ac:dyDescent="0.25">
      <c r="A17" s="270" t="s">
        <v>35</v>
      </c>
      <c r="B17" s="271">
        <v>34.799999999999997</v>
      </c>
      <c r="C17" s="404">
        <v>3.5841841015437137E-2</v>
      </c>
      <c r="D17" s="405">
        <v>5.5361620067146729E-3</v>
      </c>
      <c r="E17" s="405">
        <v>2.8999999999999998E-3</v>
      </c>
      <c r="F17" s="274">
        <v>6.7999999999999996E-3</v>
      </c>
      <c r="G17" s="272">
        <v>0</v>
      </c>
      <c r="H17" s="273">
        <v>4.4366553983582347E-3</v>
      </c>
      <c r="I17" s="274">
        <v>1.6260522249056295E-3</v>
      </c>
    </row>
    <row r="18" spans="1:9" x14ac:dyDescent="0.25">
      <c r="A18" s="270" t="s">
        <v>37</v>
      </c>
      <c r="B18" s="271">
        <v>208.3</v>
      </c>
      <c r="C18" s="404">
        <v>6.4687310241555218E-2</v>
      </c>
      <c r="D18" s="405">
        <v>1.7232601910309175E-2</v>
      </c>
      <c r="E18" s="405">
        <v>1.12E-2</v>
      </c>
      <c r="F18" s="274">
        <v>2.1100000000000001E-2</v>
      </c>
      <c r="G18" s="272">
        <v>1.8124201136746239E-2</v>
      </c>
      <c r="H18" s="273">
        <v>1.716225229998582E-2</v>
      </c>
      <c r="I18" s="274">
        <v>7.7847018352902144E-3</v>
      </c>
    </row>
    <row r="19" spans="1:9" x14ac:dyDescent="0.25">
      <c r="A19" s="279" t="s">
        <v>27</v>
      </c>
      <c r="B19" s="271">
        <v>191.4</v>
      </c>
      <c r="C19" s="404">
        <v>9.157820544509257E-2</v>
      </c>
      <c r="D19" s="405">
        <v>1.8471137919403705E-2</v>
      </c>
      <c r="E19" s="405">
        <v>1.15E-2</v>
      </c>
      <c r="F19" s="274">
        <v>2.8799999999999999E-2</v>
      </c>
      <c r="G19" s="272">
        <v>1.2384987309052851E-2</v>
      </c>
      <c r="H19" s="273">
        <v>1.6450305128848895E-2</v>
      </c>
      <c r="I19" s="274">
        <v>7.8711438294803756E-3</v>
      </c>
    </row>
    <row r="20" spans="1:9" x14ac:dyDescent="0.25">
      <c r="A20" s="270" t="s">
        <v>38</v>
      </c>
      <c r="B20" s="271">
        <v>208.7</v>
      </c>
      <c r="C20" s="404">
        <v>0.20093369732318772</v>
      </c>
      <c r="D20" s="405">
        <v>2.964646822264598E-2</v>
      </c>
      <c r="E20" s="405">
        <v>1.52E-2</v>
      </c>
      <c r="F20" s="274">
        <v>4.0300000000000002E-2</v>
      </c>
      <c r="G20" s="272">
        <v>2.388484828528439E-2</v>
      </c>
      <c r="H20" s="273">
        <v>2.4488808689957196E-2</v>
      </c>
      <c r="I20" s="274">
        <v>9.3388820765534942E-3</v>
      </c>
    </row>
    <row r="21" spans="1:9" x14ac:dyDescent="0.25">
      <c r="A21" s="270" t="s">
        <v>39</v>
      </c>
      <c r="B21" s="271">
        <v>130.6</v>
      </c>
      <c r="C21" s="404">
        <v>0.10080892275372581</v>
      </c>
      <c r="D21" s="405">
        <v>1.0984078789672768E-2</v>
      </c>
      <c r="E21" s="405">
        <v>8.0000000000000002E-3</v>
      </c>
      <c r="F21" s="274">
        <v>2.07E-2</v>
      </c>
      <c r="G21" s="272">
        <v>0.10140970640953867</v>
      </c>
      <c r="H21" s="273">
        <v>8.750535939337464E-3</v>
      </c>
      <c r="I21" s="274">
        <v>5.1158139167618915E-3</v>
      </c>
    </row>
    <row r="22" spans="1:9" x14ac:dyDescent="0.25">
      <c r="A22" s="270" t="s">
        <v>79</v>
      </c>
      <c r="B22" s="271">
        <v>69.400000000000006</v>
      </c>
      <c r="C22" s="404">
        <v>2.6010354621621021E-2</v>
      </c>
      <c r="D22" s="405">
        <v>9.8511084128178709E-3</v>
      </c>
      <c r="E22" s="405">
        <v>4.1000000000000003E-3</v>
      </c>
      <c r="F22" s="274">
        <v>8.8000000000000005E-3</v>
      </c>
      <c r="G22" s="272">
        <v>7.0108250208441598E-3</v>
      </c>
      <c r="H22" s="273">
        <v>9.9407085792971878E-3</v>
      </c>
      <c r="I22" s="274">
        <v>2.595398859148387E-3</v>
      </c>
    </row>
    <row r="23" spans="1:9" x14ac:dyDescent="0.25">
      <c r="A23" s="270" t="s">
        <v>42</v>
      </c>
      <c r="B23" s="271">
        <v>138.69999999999999</v>
      </c>
      <c r="C23" s="404">
        <v>2.692293580761022E-2</v>
      </c>
      <c r="D23" s="405">
        <v>6.9341242640449663E-3</v>
      </c>
      <c r="E23" s="405">
        <v>5.1999999999999998E-3</v>
      </c>
      <c r="F23" s="274">
        <v>1.0999999999999999E-2</v>
      </c>
      <c r="G23" s="272">
        <v>1.4865169375056723E-3</v>
      </c>
      <c r="H23" s="273">
        <v>6.3158811085847642E-3</v>
      </c>
      <c r="I23" s="274">
        <v>3.0151303924913354E-3</v>
      </c>
    </row>
    <row r="24" spans="1:9" x14ac:dyDescent="0.25">
      <c r="A24" s="279" t="s">
        <v>30</v>
      </c>
      <c r="B24" s="271">
        <v>173.2</v>
      </c>
      <c r="C24" s="404">
        <v>3.8074652678411244E-2</v>
      </c>
      <c r="D24" s="405">
        <v>1.4632249990999728E-2</v>
      </c>
      <c r="E24" s="405">
        <v>1.0200000000000001E-2</v>
      </c>
      <c r="F24" s="274">
        <v>1.9900000000000001E-2</v>
      </c>
      <c r="G24" s="272">
        <v>2.5240586206381015E-2</v>
      </c>
      <c r="H24" s="273">
        <v>1.3562029794945335E-2</v>
      </c>
      <c r="I24" s="274">
        <v>7.6183292914212292E-3</v>
      </c>
    </row>
    <row r="25" spans="1:9" ht="15.75" thickBot="1" x14ac:dyDescent="0.3">
      <c r="A25" s="280" t="s">
        <v>45</v>
      </c>
      <c r="B25" s="282">
        <v>32.5</v>
      </c>
      <c r="C25" s="409">
        <v>3.3457829426416827E-2</v>
      </c>
      <c r="D25" s="410">
        <v>2.1711207803920183E-3</v>
      </c>
      <c r="E25" s="410">
        <v>1.6999999999999999E-3</v>
      </c>
      <c r="F25" s="285">
        <v>2.8E-3</v>
      </c>
      <c r="G25" s="283">
        <v>0</v>
      </c>
      <c r="H25" s="284">
        <v>1.0345890642951376E-3</v>
      </c>
      <c r="I25" s="285">
        <v>7.8199009565607593E-4</v>
      </c>
    </row>
    <row r="26" spans="1:9" ht="15.75" thickBot="1" x14ac:dyDescent="0.3">
      <c r="A26" s="484" t="s">
        <v>72</v>
      </c>
      <c r="B26" s="269"/>
      <c r="C26" s="402"/>
      <c r="D26" s="403"/>
      <c r="E26" s="268"/>
      <c r="F26" s="269"/>
      <c r="G26" s="267"/>
      <c r="H26" s="268"/>
      <c r="I26" s="269"/>
    </row>
    <row r="27" spans="1:9" x14ac:dyDescent="0.25">
      <c r="A27" s="279" t="s">
        <v>28</v>
      </c>
      <c r="B27" s="271">
        <v>262.89999999999998</v>
      </c>
      <c r="C27" s="404">
        <v>0</v>
      </c>
      <c r="D27" s="405">
        <v>7.5991991959899257E-3</v>
      </c>
      <c r="E27" s="405">
        <v>3.8999999999999998E-3</v>
      </c>
      <c r="F27" s="274">
        <v>1.17E-2</v>
      </c>
      <c r="G27" s="272">
        <v>0</v>
      </c>
      <c r="H27" s="273">
        <v>7.7562461942539468E-3</v>
      </c>
      <c r="I27" s="274">
        <v>1.3428175800705149E-2</v>
      </c>
    </row>
    <row r="28" spans="1:9" x14ac:dyDescent="0.25">
      <c r="A28" s="270" t="s">
        <v>41</v>
      </c>
      <c r="B28" s="271">
        <v>204.7</v>
      </c>
      <c r="C28" s="404">
        <v>4.88606353534521E-2</v>
      </c>
      <c r="D28" s="405">
        <v>2.3778391701593557E-2</v>
      </c>
      <c r="E28" s="405">
        <v>9.7000000000000003E-3</v>
      </c>
      <c r="F28" s="274">
        <v>3.4099999999999998E-2</v>
      </c>
      <c r="G28" s="272">
        <v>0.11200260139503054</v>
      </c>
      <c r="H28" s="273">
        <v>2.3210393296356588E-2</v>
      </c>
      <c r="I28" s="274">
        <v>1.8741869765455901E-2</v>
      </c>
    </row>
    <row r="29" spans="1:9" x14ac:dyDescent="0.25">
      <c r="A29" s="270" t="s">
        <v>80</v>
      </c>
      <c r="B29" s="271">
        <v>236.6</v>
      </c>
      <c r="C29" s="404">
        <v>0</v>
      </c>
      <c r="D29" s="405">
        <v>2.0120275787999825E-2</v>
      </c>
      <c r="E29" s="405">
        <v>1.38E-2</v>
      </c>
      <c r="F29" s="274">
        <v>4.0099999999999997E-2</v>
      </c>
      <c r="G29" s="272">
        <v>8.1970589511015352E-2</v>
      </c>
      <c r="H29" s="273">
        <v>2.1403114743111119E-2</v>
      </c>
      <c r="I29" s="274">
        <v>2.5240536655566418E-2</v>
      </c>
    </row>
    <row r="30" spans="1:9" x14ac:dyDescent="0.25">
      <c r="A30" s="270" t="s">
        <v>51</v>
      </c>
      <c r="B30" s="271">
        <v>192.5</v>
      </c>
      <c r="C30" s="404">
        <v>0</v>
      </c>
      <c r="D30" s="405">
        <v>1.5658991777844546E-2</v>
      </c>
      <c r="E30" s="405">
        <v>1.11E-2</v>
      </c>
      <c r="F30" s="274">
        <v>3.3099999999999997E-2</v>
      </c>
      <c r="G30" s="272">
        <v>0</v>
      </c>
      <c r="H30" s="273">
        <v>1.5982604515335251E-2</v>
      </c>
      <c r="I30" s="274">
        <v>1.9524154971885456E-2</v>
      </c>
    </row>
    <row r="31" spans="1:9" x14ac:dyDescent="0.25">
      <c r="A31" s="270" t="s">
        <v>60</v>
      </c>
      <c r="B31" s="271">
        <v>58.6</v>
      </c>
      <c r="C31" s="404">
        <v>3.2657501213355047E-2</v>
      </c>
      <c r="D31" s="405">
        <v>1.8709715391456887E-3</v>
      </c>
      <c r="E31" s="405">
        <v>3.2000000000000002E-3</v>
      </c>
      <c r="F31" s="274">
        <v>8.8999999999999999E-3</v>
      </c>
      <c r="G31" s="272">
        <v>2.2334857667680227E-2</v>
      </c>
      <c r="H31" s="273">
        <v>6.4600816611376499E-4</v>
      </c>
      <c r="I31" s="274">
        <v>6.5950698126284787E-3</v>
      </c>
    </row>
    <row r="32" spans="1:9" ht="15.75" thickBot="1" x14ac:dyDescent="0.3">
      <c r="A32" s="270" t="s">
        <v>61</v>
      </c>
      <c r="B32" s="271">
        <v>117.4</v>
      </c>
      <c r="C32" s="404">
        <v>5.2566442283394348E-2</v>
      </c>
      <c r="D32" s="405">
        <v>1.0884256497758748E-2</v>
      </c>
      <c r="E32" s="405">
        <v>4.1999999999999997E-3</v>
      </c>
      <c r="F32" s="274">
        <v>1.4500000000000001E-2</v>
      </c>
      <c r="G32" s="272">
        <v>5.2129542726914974E-2</v>
      </c>
      <c r="H32" s="273">
        <v>9.7696768478264407E-3</v>
      </c>
      <c r="I32" s="274">
        <v>9.6200842217047527E-3</v>
      </c>
    </row>
    <row r="33" spans="1:9" ht="15.75" thickBot="1" x14ac:dyDescent="0.3">
      <c r="A33" s="275" t="s">
        <v>69</v>
      </c>
      <c r="B33" s="278"/>
      <c r="C33" s="407"/>
      <c r="D33" s="408"/>
      <c r="E33" s="277"/>
      <c r="F33" s="278"/>
      <c r="G33" s="276"/>
      <c r="H33" s="277"/>
      <c r="I33" s="278"/>
    </row>
    <row r="34" spans="1:9" x14ac:dyDescent="0.25">
      <c r="A34" s="270" t="s">
        <v>40</v>
      </c>
      <c r="B34" s="271">
        <v>221.1</v>
      </c>
      <c r="C34" s="404">
        <v>1.1134751223492093E-2</v>
      </c>
      <c r="D34" s="405">
        <v>2.4623359797757861E-2</v>
      </c>
      <c r="E34" s="405">
        <v>4.7999999999999996E-3</v>
      </c>
      <c r="F34" s="274">
        <v>1.1299999999999999E-2</v>
      </c>
      <c r="G34" s="272">
        <v>7.0241969829890186E-2</v>
      </c>
      <c r="H34" s="273">
        <v>2.565485528054039E-2</v>
      </c>
      <c r="I34" s="274">
        <v>2.7987620096284454E-2</v>
      </c>
    </row>
    <row r="35" spans="1:9" x14ac:dyDescent="0.25">
      <c r="A35" s="279" t="s">
        <v>29</v>
      </c>
      <c r="B35" s="271">
        <v>354.9</v>
      </c>
      <c r="C35" s="404">
        <v>2.4552878623141667E-2</v>
      </c>
      <c r="D35" s="405">
        <v>1.857982415763211E-2</v>
      </c>
      <c r="E35" s="405">
        <v>3.5999999999999999E-3</v>
      </c>
      <c r="F35" s="274">
        <v>9.5999999999999992E-3</v>
      </c>
      <c r="G35" s="272">
        <v>4.5306587346395227E-2</v>
      </c>
      <c r="H35" s="273">
        <v>1.880574040099885E-2</v>
      </c>
      <c r="I35" s="274">
        <v>2.5583333035143086E-2</v>
      </c>
    </row>
    <row r="36" spans="1:9" x14ac:dyDescent="0.25">
      <c r="A36" s="710" t="s">
        <v>144</v>
      </c>
      <c r="B36" s="271">
        <f>B50-B37-B38-B39</f>
        <v>1302.6527769999998</v>
      </c>
      <c r="C36" s="404">
        <f>(C50-C37-C38-C39)*50%</f>
        <v>4.578649751405494E-3</v>
      </c>
      <c r="D36" s="405">
        <f t="shared" ref="D36:H36" si="0">(D50-D37-D38-D39)*50%</f>
        <v>3.0695862095502815E-2</v>
      </c>
      <c r="E36" s="405">
        <f t="shared" si="0"/>
        <v>3.9544014999999995E-3</v>
      </c>
      <c r="F36" s="406">
        <f t="shared" si="0"/>
        <v>7.953621000000001E-3</v>
      </c>
      <c r="G36" s="272">
        <f t="shared" si="0"/>
        <v>-1.3133098775153229E-10</v>
      </c>
      <c r="H36" s="273">
        <f t="shared" si="0"/>
        <v>3.1290196221300748E-2</v>
      </c>
      <c r="I36" s="274">
        <f>(I50-I38-I39)*50%</f>
        <v>1.0747253702014323E-2</v>
      </c>
    </row>
    <row r="37" spans="1:9" x14ac:dyDescent="0.25">
      <c r="A37" s="279" t="s">
        <v>31</v>
      </c>
      <c r="B37" s="271">
        <v>279.2</v>
      </c>
      <c r="C37" s="404">
        <v>3.7881820745522932E-2</v>
      </c>
      <c r="D37" s="405">
        <v>3.1910452068070951E-2</v>
      </c>
      <c r="E37" s="405">
        <v>1.1000000000000001E-3</v>
      </c>
      <c r="F37" s="274">
        <v>2.8E-3</v>
      </c>
      <c r="G37" s="272">
        <v>2.6125562687460434E-2</v>
      </c>
      <c r="H37" s="273">
        <v>3.2569921649179302E-2</v>
      </c>
      <c r="I37" s="274" t="s">
        <v>185</v>
      </c>
    </row>
    <row r="38" spans="1:9" x14ac:dyDescent="0.25">
      <c r="A38" s="270" t="s">
        <v>86</v>
      </c>
      <c r="B38" s="271">
        <v>68.900000000000006</v>
      </c>
      <c r="C38" s="404">
        <v>1.5117875845340132E-2</v>
      </c>
      <c r="D38" s="405">
        <v>7.5757611770023167E-3</v>
      </c>
      <c r="E38" s="405">
        <v>1E-3</v>
      </c>
      <c r="F38" s="274">
        <v>1.1999999999999999E-3</v>
      </c>
      <c r="G38" s="272">
        <v>0</v>
      </c>
      <c r="H38" s="273">
        <v>7.0378290763373286E-3</v>
      </c>
      <c r="I38" s="274">
        <v>5.5096031027057442E-3</v>
      </c>
    </row>
    <row r="39" spans="1:9" x14ac:dyDescent="0.25">
      <c r="A39" s="270" t="s">
        <v>87</v>
      </c>
      <c r="B39" s="271">
        <v>28.4</v>
      </c>
      <c r="C39" s="404">
        <v>1.790107590632594E-2</v>
      </c>
      <c r="D39" s="405">
        <v>3.0566865639211171E-3</v>
      </c>
      <c r="E39" s="405">
        <v>5.0000000000000001E-4</v>
      </c>
      <c r="F39" s="274">
        <v>8.0000000000000004E-4</v>
      </c>
      <c r="G39" s="272">
        <v>7.7625383575201545E-2</v>
      </c>
      <c r="H39" s="273">
        <v>3.1198568318818645E-3</v>
      </c>
      <c r="I39" s="274">
        <v>2.159889493265608E-3</v>
      </c>
    </row>
    <row r="40" spans="1:9" x14ac:dyDescent="0.25">
      <c r="A40" s="270" t="s">
        <v>58</v>
      </c>
      <c r="B40" s="271">
        <v>83.1</v>
      </c>
      <c r="C40" s="404">
        <v>1.9182468888244507E-2</v>
      </c>
      <c r="D40" s="405">
        <v>6.5851433844833504E-3</v>
      </c>
      <c r="E40" s="405">
        <v>1.5E-3</v>
      </c>
      <c r="F40" s="274">
        <v>4.4999999999999997E-3</v>
      </c>
      <c r="G40" s="272">
        <v>9.1729866012096192E-2</v>
      </c>
      <c r="H40" s="273">
        <v>6.1568585278571827E-3</v>
      </c>
      <c r="I40" s="274">
        <v>1.0458699993903453E-2</v>
      </c>
    </row>
    <row r="41" spans="1:9" ht="15.75" thickBot="1" x14ac:dyDescent="0.3">
      <c r="A41" s="280" t="s">
        <v>59</v>
      </c>
      <c r="B41" s="282">
        <v>35.6</v>
      </c>
      <c r="C41" s="409">
        <v>8.7131625781790342E-3</v>
      </c>
      <c r="D41" s="410">
        <v>2.0693833240171839E-3</v>
      </c>
      <c r="E41" s="410">
        <v>6.9999999999999999E-4</v>
      </c>
      <c r="F41" s="285">
        <v>5.0000000000000001E-4</v>
      </c>
      <c r="G41" s="283">
        <v>1.0370963400303463E-2</v>
      </c>
      <c r="H41" s="284">
        <v>1.8217472153483441E-3</v>
      </c>
      <c r="I41" s="285">
        <v>2.0272969472756369E-3</v>
      </c>
    </row>
    <row r="42" spans="1:9" ht="15" customHeight="1" thickBot="1" x14ac:dyDescent="0.3">
      <c r="A42" s="484" t="s">
        <v>71</v>
      </c>
      <c r="B42" s="269"/>
      <c r="C42" s="402"/>
      <c r="D42" s="403"/>
      <c r="E42" s="268"/>
      <c r="F42" s="269"/>
      <c r="G42" s="267"/>
      <c r="H42" s="268"/>
      <c r="I42" s="269"/>
    </row>
    <row r="43" spans="1:9" x14ac:dyDescent="0.25">
      <c r="A43" s="270" t="s">
        <v>34</v>
      </c>
      <c r="B43" s="271">
        <v>246.7</v>
      </c>
      <c r="C43" s="411" t="s">
        <v>185</v>
      </c>
      <c r="D43" s="412" t="s">
        <v>185</v>
      </c>
      <c r="E43" s="412" t="s">
        <v>185</v>
      </c>
      <c r="F43" s="413" t="s">
        <v>185</v>
      </c>
      <c r="G43" s="411" t="s">
        <v>185</v>
      </c>
      <c r="H43" s="412" t="s">
        <v>185</v>
      </c>
      <c r="I43" s="413" t="s">
        <v>185</v>
      </c>
    </row>
    <row r="44" spans="1:9" x14ac:dyDescent="0.25">
      <c r="A44" s="270" t="s">
        <v>52</v>
      </c>
      <c r="B44" s="271">
        <v>9.1999999999999993</v>
      </c>
      <c r="C44" s="404">
        <v>0</v>
      </c>
      <c r="D44" s="405">
        <v>0</v>
      </c>
      <c r="E44" s="405">
        <v>0</v>
      </c>
      <c r="F44" s="406">
        <v>0</v>
      </c>
      <c r="G44" s="272">
        <v>5.4301818557552879E-3</v>
      </c>
      <c r="H44" s="273">
        <v>5.7526496444790175E-5</v>
      </c>
      <c r="I44" s="274" t="s">
        <v>185</v>
      </c>
    </row>
    <row r="45" spans="1:9" x14ac:dyDescent="0.25">
      <c r="A45" s="270" t="s">
        <v>57</v>
      </c>
      <c r="B45" s="271">
        <v>24.4</v>
      </c>
      <c r="C45" s="404">
        <v>0</v>
      </c>
      <c r="D45" s="405">
        <v>2.7398028980772744E-3</v>
      </c>
      <c r="E45" s="405">
        <v>1E-4</v>
      </c>
      <c r="F45" s="274">
        <v>1E-4</v>
      </c>
      <c r="G45" s="272">
        <v>3.6110073163838956E-2</v>
      </c>
      <c r="H45" s="273">
        <v>3.031077875465448E-3</v>
      </c>
      <c r="I45" s="274" t="s">
        <v>185</v>
      </c>
    </row>
    <row r="46" spans="1:9" x14ac:dyDescent="0.25">
      <c r="A46" s="279" t="s">
        <v>33</v>
      </c>
      <c r="B46" s="271">
        <v>24.4</v>
      </c>
      <c r="C46" s="404">
        <v>0</v>
      </c>
      <c r="D46" s="405">
        <v>1.9027105896028676E-3</v>
      </c>
      <c r="E46" s="405">
        <v>1E-4</v>
      </c>
      <c r="F46" s="274">
        <v>4.0000000000000002E-4</v>
      </c>
      <c r="G46" s="272">
        <v>1.00827184017428E-2</v>
      </c>
      <c r="H46" s="273">
        <v>2.0488472345375798E-3</v>
      </c>
      <c r="I46" s="274" t="s">
        <v>185</v>
      </c>
    </row>
    <row r="47" spans="1:9" ht="15.75" thickBot="1" x14ac:dyDescent="0.3">
      <c r="A47" s="280" t="s">
        <v>62</v>
      </c>
      <c r="B47" s="282">
        <v>6.2</v>
      </c>
      <c r="C47" s="409">
        <v>0</v>
      </c>
      <c r="D47" s="410">
        <v>0</v>
      </c>
      <c r="E47" s="410">
        <v>0</v>
      </c>
      <c r="F47" s="414">
        <v>0</v>
      </c>
      <c r="G47" s="283">
        <v>3.0822778918631347E-2</v>
      </c>
      <c r="H47" s="284">
        <v>3.2653169433025819E-4</v>
      </c>
      <c r="I47" s="285" t="s">
        <v>185</v>
      </c>
    </row>
    <row r="48" spans="1:9" x14ac:dyDescent="0.25">
      <c r="A48" s="716" t="s">
        <v>329</v>
      </c>
    </row>
    <row r="50" spans="1:9" x14ac:dyDescent="0.25">
      <c r="A50" t="s">
        <v>326</v>
      </c>
      <c r="B50">
        <v>1679.152777</v>
      </c>
      <c r="C50" s="709">
        <v>8.0058071999999994E-2</v>
      </c>
      <c r="D50" s="709">
        <v>0.103934624</v>
      </c>
      <c r="E50" s="709">
        <v>1.0508803000000001E-2</v>
      </c>
      <c r="F50" s="709">
        <v>2.0707242000000001E-2</v>
      </c>
      <c r="G50" s="709">
        <v>0.103750946</v>
      </c>
      <c r="H50" s="709">
        <v>0.105308</v>
      </c>
      <c r="I50" s="709">
        <v>2.9163999999999999E-2</v>
      </c>
    </row>
  </sheetData>
  <sheetProtection password="EE40" sheet="1" objects="1" scenarios="1"/>
  <mergeCells count="12">
    <mergeCell ref="B2:B3"/>
    <mergeCell ref="C2:F3"/>
    <mergeCell ref="G2:I3"/>
    <mergeCell ref="G4:G5"/>
    <mergeCell ref="H4:H5"/>
    <mergeCell ref="I4:I5"/>
    <mergeCell ref="F4:F5"/>
    <mergeCell ref="A4:A5"/>
    <mergeCell ref="B4:B5"/>
    <mergeCell ref="C4:C5"/>
    <mergeCell ref="D4:D5"/>
    <mergeCell ref="E4:E5"/>
  </mergeCells>
  <conditionalFormatting sqref="H44:H47 H7:H41">
    <cfRule type="top10" dxfId="6" priority="7" percent="1" rank="10"/>
  </conditionalFormatting>
  <conditionalFormatting sqref="D44:D47 D7:D14 D16:D25 D27:D32 D34:D41">
    <cfRule type="top10" dxfId="5" priority="6" percent="1" rank="10"/>
  </conditionalFormatting>
  <conditionalFormatting sqref="E7:E47">
    <cfRule type="top10" dxfId="4" priority="301" percent="1" rank="10"/>
  </conditionalFormatting>
  <conditionalFormatting sqref="F7:F47">
    <cfRule type="top10" dxfId="3" priority="303" percent="1" rank="10"/>
  </conditionalFormatting>
  <conditionalFormatting sqref="G7:G47">
    <cfRule type="top10" dxfId="2" priority="305" percent="1" rank="10"/>
  </conditionalFormatting>
  <conditionalFormatting sqref="I7:I47">
    <cfRule type="top10" dxfId="1" priority="307" percent="1" rank="10"/>
  </conditionalFormatting>
  <conditionalFormatting sqref="C7:C47">
    <cfRule type="top10" dxfId="0" priority="309" percent="1" rank="10"/>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R3:R167"/>
  <sheetViews>
    <sheetView zoomScale="85" zoomScaleNormal="85" workbookViewId="0">
      <selection activeCell="Z32" sqref="Z32"/>
    </sheetView>
  </sheetViews>
  <sheetFormatPr defaultRowHeight="15" x14ac:dyDescent="0.25"/>
  <sheetData>
    <row r="3" spans="18:18" ht="46.5" x14ac:dyDescent="0.7">
      <c r="R3" s="875" t="s">
        <v>73</v>
      </c>
    </row>
    <row r="43" spans="18:18" ht="46.5" x14ac:dyDescent="0.7">
      <c r="R43" s="875" t="s">
        <v>74</v>
      </c>
    </row>
    <row r="84" spans="18:18" ht="46.5" x14ac:dyDescent="0.7">
      <c r="R84" s="875" t="s">
        <v>72</v>
      </c>
    </row>
    <row r="126" spans="18:18" ht="46.5" x14ac:dyDescent="0.7">
      <c r="R126" s="875" t="s">
        <v>333</v>
      </c>
    </row>
    <row r="167" spans="18:18" ht="46.5" x14ac:dyDescent="0.7">
      <c r="R167" s="875" t="s">
        <v>334</v>
      </c>
    </row>
  </sheetData>
  <sheetProtection password="EE4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
  <sheetViews>
    <sheetView zoomScale="50" zoomScaleNormal="50" workbookViewId="0">
      <selection activeCell="D90" sqref="D90"/>
    </sheetView>
  </sheetViews>
  <sheetFormatPr defaultRowHeight="15" x14ac:dyDescent="0.25"/>
  <sheetData/>
  <sheetProtection password="EE4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57"/>
  <sheetViews>
    <sheetView zoomScale="70" zoomScaleNormal="70" workbookViewId="0">
      <selection activeCell="B9" sqref="B9"/>
    </sheetView>
  </sheetViews>
  <sheetFormatPr defaultColWidth="108.7109375" defaultRowHeight="15" x14ac:dyDescent="0.25"/>
  <cols>
    <col min="1" max="1" width="35.42578125" style="121" customWidth="1"/>
    <col min="2" max="2" width="146" customWidth="1"/>
  </cols>
  <sheetData>
    <row r="1" spans="1:2" ht="31.5" customHeight="1" thickBot="1" x14ac:dyDescent="0.3">
      <c r="A1" s="739" t="s">
        <v>319</v>
      </c>
      <c r="B1" s="740"/>
    </row>
    <row r="2" spans="1:2" ht="15.75" thickBot="1" x14ac:dyDescent="0.3">
      <c r="A2" s="700" t="s">
        <v>237</v>
      </c>
      <c r="B2" s="680" t="s">
        <v>238</v>
      </c>
    </row>
    <row r="3" spans="1:2" ht="15.75" thickBot="1" x14ac:dyDescent="0.3">
      <c r="A3" s="694" t="s">
        <v>239</v>
      </c>
      <c r="B3" s="679" t="s">
        <v>240</v>
      </c>
    </row>
    <row r="4" spans="1:2" x14ac:dyDescent="0.25">
      <c r="A4" s="730" t="s">
        <v>241</v>
      </c>
      <c r="B4" s="683" t="s">
        <v>242</v>
      </c>
    </row>
    <row r="5" spans="1:2" x14ac:dyDescent="0.25">
      <c r="A5" s="731"/>
      <c r="B5" s="684" t="s">
        <v>243</v>
      </c>
    </row>
    <row r="6" spans="1:2" x14ac:dyDescent="0.25">
      <c r="A6" s="731"/>
      <c r="B6" s="684" t="s">
        <v>244</v>
      </c>
    </row>
    <row r="7" spans="1:2" ht="45" x14ac:dyDescent="0.25">
      <c r="A7" s="731"/>
      <c r="B7" s="684" t="s">
        <v>245</v>
      </c>
    </row>
    <row r="8" spans="1:2" ht="30.75" thickBot="1" x14ac:dyDescent="0.3">
      <c r="A8" s="732"/>
      <c r="B8" s="685" t="s">
        <v>246</v>
      </c>
    </row>
    <row r="9" spans="1:2" ht="45.75" thickBot="1" x14ac:dyDescent="0.3">
      <c r="A9" s="694" t="s">
        <v>247</v>
      </c>
      <c r="B9" s="679" t="s">
        <v>248</v>
      </c>
    </row>
    <row r="10" spans="1:2" ht="15.75" thickBot="1" x14ac:dyDescent="0.3">
      <c r="A10" s="690" t="s">
        <v>249</v>
      </c>
      <c r="B10" s="682" t="s">
        <v>250</v>
      </c>
    </row>
    <row r="11" spans="1:2" ht="30.75" thickBot="1" x14ac:dyDescent="0.3">
      <c r="A11" s="694" t="s">
        <v>251</v>
      </c>
      <c r="B11" s="679" t="s">
        <v>252</v>
      </c>
    </row>
    <row r="12" spans="1:2" ht="30.75" thickBot="1" x14ac:dyDescent="0.3">
      <c r="A12" s="690" t="s">
        <v>253</v>
      </c>
      <c r="B12" s="682" t="s">
        <v>254</v>
      </c>
    </row>
    <row r="13" spans="1:2" x14ac:dyDescent="0.25">
      <c r="A13" s="733" t="s">
        <v>255</v>
      </c>
      <c r="B13" s="686" t="s">
        <v>256</v>
      </c>
    </row>
    <row r="14" spans="1:2" ht="45" x14ac:dyDescent="0.25">
      <c r="A14" s="734"/>
      <c r="B14" s="687" t="s">
        <v>257</v>
      </c>
    </row>
    <row r="15" spans="1:2" ht="30" x14ac:dyDescent="0.25">
      <c r="A15" s="734"/>
      <c r="B15" s="687" t="s">
        <v>305</v>
      </c>
    </row>
    <row r="16" spans="1:2" ht="15.75" thickBot="1" x14ac:dyDescent="0.3">
      <c r="A16" s="735"/>
      <c r="B16" s="688" t="s">
        <v>258</v>
      </c>
    </row>
    <row r="17" spans="1:2" ht="30.75" thickBot="1" x14ac:dyDescent="0.3">
      <c r="A17" s="690" t="s">
        <v>259</v>
      </c>
      <c r="B17" s="682" t="s">
        <v>260</v>
      </c>
    </row>
    <row r="18" spans="1:2" ht="45" x14ac:dyDescent="0.25">
      <c r="A18" s="733" t="s">
        <v>261</v>
      </c>
      <c r="B18" s="686" t="s">
        <v>262</v>
      </c>
    </row>
    <row r="19" spans="1:2" x14ac:dyDescent="0.25">
      <c r="A19" s="734"/>
      <c r="B19" s="687" t="s">
        <v>263</v>
      </c>
    </row>
    <row r="20" spans="1:2" ht="30.75" thickBot="1" x14ac:dyDescent="0.3">
      <c r="A20" s="735"/>
      <c r="B20" s="688" t="s">
        <v>264</v>
      </c>
    </row>
    <row r="21" spans="1:2" x14ac:dyDescent="0.25">
      <c r="A21" s="730" t="s">
        <v>306</v>
      </c>
      <c r="B21" s="683" t="s">
        <v>265</v>
      </c>
    </row>
    <row r="22" spans="1:2" ht="30" x14ac:dyDescent="0.25">
      <c r="A22" s="731"/>
      <c r="B22" s="684" t="s">
        <v>266</v>
      </c>
    </row>
    <row r="23" spans="1:2" ht="30" x14ac:dyDescent="0.25">
      <c r="A23" s="731"/>
      <c r="B23" s="684" t="s">
        <v>268</v>
      </c>
    </row>
    <row r="24" spans="1:2" x14ac:dyDescent="0.25">
      <c r="A24" s="731"/>
      <c r="B24" s="684" t="s">
        <v>269</v>
      </c>
    </row>
    <row r="25" spans="1:2" ht="30.75" thickBot="1" x14ac:dyDescent="0.3">
      <c r="A25" s="732"/>
      <c r="B25" s="685" t="s">
        <v>270</v>
      </c>
    </row>
    <row r="26" spans="1:2" ht="30.75" thickBot="1" x14ac:dyDescent="0.3">
      <c r="A26" s="694" t="s">
        <v>28</v>
      </c>
      <c r="B26" s="679" t="s">
        <v>267</v>
      </c>
    </row>
    <row r="27" spans="1:2" ht="30.75" thickBot="1" x14ac:dyDescent="0.3">
      <c r="A27" s="690" t="s">
        <v>271</v>
      </c>
      <c r="B27" s="682" t="s">
        <v>272</v>
      </c>
    </row>
    <row r="28" spans="1:2" ht="30.75" thickBot="1" x14ac:dyDescent="0.3">
      <c r="A28" s="701" t="s">
        <v>273</v>
      </c>
      <c r="B28" s="681" t="s">
        <v>274</v>
      </c>
    </row>
    <row r="29" spans="1:2" x14ac:dyDescent="0.25">
      <c r="A29" s="736" t="s">
        <v>275</v>
      </c>
      <c r="B29" s="691" t="s">
        <v>276</v>
      </c>
    </row>
    <row r="30" spans="1:2" ht="30" x14ac:dyDescent="0.25">
      <c r="A30" s="737"/>
      <c r="B30" s="692" t="s">
        <v>277</v>
      </c>
    </row>
    <row r="31" spans="1:2" ht="60" x14ac:dyDescent="0.25">
      <c r="A31" s="737"/>
      <c r="B31" s="692" t="s">
        <v>278</v>
      </c>
    </row>
    <row r="32" spans="1:2" ht="30.75" thickBot="1" x14ac:dyDescent="0.3">
      <c r="A32" s="738"/>
      <c r="B32" s="693" t="s">
        <v>279</v>
      </c>
    </row>
    <row r="33" spans="1:2" ht="15.75" thickBot="1" x14ac:dyDescent="0.3">
      <c r="A33" s="701" t="s">
        <v>280</v>
      </c>
      <c r="B33" s="681" t="s">
        <v>281</v>
      </c>
    </row>
    <row r="34" spans="1:2" ht="45.75" thickBot="1" x14ac:dyDescent="0.3">
      <c r="A34" s="690" t="s">
        <v>316</v>
      </c>
      <c r="B34" s="682" t="s">
        <v>282</v>
      </c>
    </row>
    <row r="35" spans="1:2" ht="60" x14ac:dyDescent="0.25">
      <c r="A35" s="728" t="s">
        <v>283</v>
      </c>
      <c r="B35" s="695" t="s">
        <v>284</v>
      </c>
    </row>
    <row r="36" spans="1:2" ht="30" x14ac:dyDescent="0.25">
      <c r="A36" s="741"/>
      <c r="B36" s="696" t="s">
        <v>307</v>
      </c>
    </row>
    <row r="37" spans="1:2" ht="30" x14ac:dyDescent="0.25">
      <c r="A37" s="741"/>
      <c r="B37" s="696" t="s">
        <v>308</v>
      </c>
    </row>
    <row r="38" spans="1:2" x14ac:dyDescent="0.25">
      <c r="A38" s="741"/>
      <c r="B38" s="696" t="s">
        <v>309</v>
      </c>
    </row>
    <row r="39" spans="1:2" ht="15.75" thickBot="1" x14ac:dyDescent="0.3">
      <c r="A39" s="729"/>
      <c r="B39" s="697" t="s">
        <v>310</v>
      </c>
    </row>
    <row r="40" spans="1:2" ht="30" x14ac:dyDescent="0.25">
      <c r="A40" s="730" t="s">
        <v>311</v>
      </c>
      <c r="B40" s="683" t="s">
        <v>285</v>
      </c>
    </row>
    <row r="41" spans="1:2" x14ac:dyDescent="0.25">
      <c r="A41" s="731"/>
      <c r="B41" s="684" t="s">
        <v>312</v>
      </c>
    </row>
    <row r="42" spans="1:2" ht="45" x14ac:dyDescent="0.25">
      <c r="A42" s="731"/>
      <c r="B42" s="684" t="s">
        <v>286</v>
      </c>
    </row>
    <row r="43" spans="1:2" ht="15.75" thickBot="1" x14ac:dyDescent="0.3">
      <c r="A43" s="732"/>
      <c r="B43" s="685" t="s">
        <v>287</v>
      </c>
    </row>
    <row r="44" spans="1:2" ht="30" x14ac:dyDescent="0.25">
      <c r="A44" s="742" t="s">
        <v>315</v>
      </c>
      <c r="B44" s="698" t="s">
        <v>313</v>
      </c>
    </row>
    <row r="45" spans="1:2" ht="45.75" thickBot="1" x14ac:dyDescent="0.3">
      <c r="A45" s="743"/>
      <c r="B45" s="699" t="s">
        <v>314</v>
      </c>
    </row>
    <row r="46" spans="1:2" ht="45.75" thickBot="1" x14ac:dyDescent="0.3">
      <c r="A46" s="690" t="s">
        <v>288</v>
      </c>
      <c r="B46" s="682" t="s">
        <v>317</v>
      </c>
    </row>
    <row r="47" spans="1:2" ht="90" x14ac:dyDescent="0.25">
      <c r="A47" s="728" t="s">
        <v>289</v>
      </c>
      <c r="B47" s="695" t="s">
        <v>290</v>
      </c>
    </row>
    <row r="48" spans="1:2" ht="15.75" thickBot="1" x14ac:dyDescent="0.3">
      <c r="A48" s="729"/>
      <c r="B48" s="688" t="s">
        <v>291</v>
      </c>
    </row>
    <row r="49" spans="1:2" ht="30.75" thickBot="1" x14ac:dyDescent="0.3">
      <c r="A49" s="690" t="s">
        <v>292</v>
      </c>
      <c r="B49" s="682" t="s">
        <v>293</v>
      </c>
    </row>
    <row r="50" spans="1:2" ht="30.75" thickBot="1" x14ac:dyDescent="0.3">
      <c r="A50" s="694" t="s">
        <v>294</v>
      </c>
      <c r="B50" s="679" t="s">
        <v>295</v>
      </c>
    </row>
    <row r="51" spans="1:2" ht="30.75" thickBot="1" x14ac:dyDescent="0.3">
      <c r="A51" s="690" t="s">
        <v>296</v>
      </c>
      <c r="B51" s="682" t="s">
        <v>297</v>
      </c>
    </row>
    <row r="52" spans="1:2" ht="60.75" thickBot="1" x14ac:dyDescent="0.3">
      <c r="A52" s="694" t="s">
        <v>298</v>
      </c>
      <c r="B52" s="679" t="s">
        <v>318</v>
      </c>
    </row>
    <row r="53" spans="1:2" ht="30.75" thickBot="1" x14ac:dyDescent="0.3">
      <c r="A53" s="690" t="s">
        <v>299</v>
      </c>
      <c r="B53" s="682" t="s">
        <v>300</v>
      </c>
    </row>
    <row r="56" spans="1:2" x14ac:dyDescent="0.25">
      <c r="A56" s="702" t="s">
        <v>301</v>
      </c>
      <c r="B56" s="689" t="s">
        <v>303</v>
      </c>
    </row>
    <row r="57" spans="1:2" x14ac:dyDescent="0.25">
      <c r="A57" s="702" t="s">
        <v>302</v>
      </c>
      <c r="B57" s="689" t="s">
        <v>304</v>
      </c>
    </row>
  </sheetData>
  <sheetProtection password="EE40" sheet="1" objects="1" scenarios="1"/>
  <mergeCells count="10">
    <mergeCell ref="A1:B1"/>
    <mergeCell ref="A21:A25"/>
    <mergeCell ref="A35:A39"/>
    <mergeCell ref="A40:A43"/>
    <mergeCell ref="A44:A45"/>
    <mergeCell ref="A47:A48"/>
    <mergeCell ref="A4:A8"/>
    <mergeCell ref="A13:A16"/>
    <mergeCell ref="A18:A20"/>
    <mergeCell ref="A29:A32"/>
  </mergeCells>
  <hyperlinks>
    <hyperlink ref="B56" r:id="rId1"/>
    <hyperlink ref="B57" r:id="rId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29"/>
  <sheetViews>
    <sheetView zoomScale="85" zoomScaleNormal="85" workbookViewId="0">
      <pane ySplit="2" topLeftCell="A3" activePane="bottomLeft" state="frozen"/>
      <selection pane="bottomLeft" activeCell="A3" sqref="A3"/>
    </sheetView>
  </sheetViews>
  <sheetFormatPr defaultColWidth="29.42578125" defaultRowHeight="15" x14ac:dyDescent="0.25"/>
  <cols>
    <col min="1" max="1" width="25.28515625" style="286" customWidth="1"/>
    <col min="2" max="2" width="9.42578125" style="286" bestFit="1" customWidth="1"/>
    <col min="3" max="3" width="10.7109375" style="286" bestFit="1" customWidth="1"/>
    <col min="4" max="4" width="13.28515625" style="286" customWidth="1"/>
    <col min="5" max="5" width="10.85546875" style="286" bestFit="1" customWidth="1"/>
    <col min="6" max="6" width="6.28515625" style="286" bestFit="1" customWidth="1"/>
    <col min="7" max="7" width="22" style="286" bestFit="1" customWidth="1"/>
    <col min="8" max="8" width="9.140625" style="286" bestFit="1" customWidth="1"/>
    <col min="9" max="10" width="9" style="286" bestFit="1" customWidth="1"/>
    <col min="11" max="11" width="9.140625" style="286" bestFit="1" customWidth="1"/>
    <col min="12" max="14" width="10" style="286" bestFit="1" customWidth="1"/>
    <col min="15" max="15" width="6.85546875" style="286" bestFit="1" customWidth="1"/>
    <col min="16" max="16" width="10.5703125" style="286" bestFit="1" customWidth="1"/>
    <col min="17" max="17" width="8.5703125" style="286" bestFit="1" customWidth="1"/>
    <col min="18" max="18" width="6.140625" style="286" bestFit="1" customWidth="1"/>
    <col min="19" max="19" width="8.28515625" style="286" bestFit="1" customWidth="1"/>
    <col min="20" max="21" width="10" style="286" bestFit="1" customWidth="1"/>
    <col min="22" max="22" width="6.85546875" style="286" bestFit="1" customWidth="1"/>
    <col min="23" max="23" width="10.5703125" style="286" bestFit="1" customWidth="1"/>
    <col min="24" max="24" width="8.5703125" style="286" bestFit="1" customWidth="1"/>
    <col min="25" max="25" width="6.140625" style="286" bestFit="1" customWidth="1"/>
    <col min="26" max="26" width="8.28515625" style="286" bestFit="1" customWidth="1"/>
    <col min="27" max="27" width="13.85546875" style="286" bestFit="1" customWidth="1"/>
    <col min="28" max="28" width="16.28515625" style="286" bestFit="1" customWidth="1"/>
    <col min="29" max="29" width="13.85546875" style="286" bestFit="1" customWidth="1"/>
    <col min="30" max="30" width="16.28515625" style="286" bestFit="1" customWidth="1"/>
    <col min="31" max="16384" width="29.42578125" style="286"/>
  </cols>
  <sheetData>
    <row r="1" spans="1:30" ht="30" x14ac:dyDescent="0.25">
      <c r="A1" s="481" t="s">
        <v>200</v>
      </c>
      <c r="B1" s="473"/>
      <c r="C1" s="473"/>
      <c r="D1" s="749" t="s">
        <v>215</v>
      </c>
      <c r="E1" s="755" t="s">
        <v>230</v>
      </c>
      <c r="F1" s="473"/>
      <c r="G1" s="752" t="s">
        <v>149</v>
      </c>
      <c r="H1" s="720" t="s">
        <v>0</v>
      </c>
      <c r="I1" s="720"/>
      <c r="J1" s="721"/>
      <c r="K1" s="720" t="s">
        <v>1</v>
      </c>
      <c r="L1" s="721"/>
      <c r="M1" s="719" t="s">
        <v>346</v>
      </c>
      <c r="N1" s="754"/>
      <c r="O1" s="754"/>
      <c r="P1" s="754"/>
      <c r="Q1" s="754"/>
      <c r="R1" s="754"/>
      <c r="S1" s="751"/>
      <c r="T1" s="719" t="s">
        <v>347</v>
      </c>
      <c r="U1" s="754"/>
      <c r="V1" s="754"/>
      <c r="W1" s="754"/>
      <c r="X1" s="754"/>
      <c r="Y1" s="754"/>
      <c r="Z1" s="751"/>
      <c r="AA1" s="719" t="s">
        <v>145</v>
      </c>
      <c r="AB1" s="751"/>
      <c r="AC1" s="719" t="s">
        <v>162</v>
      </c>
      <c r="AD1" s="751"/>
    </row>
    <row r="2" spans="1:30" ht="30.75" thickBot="1" x14ac:dyDescent="0.3">
      <c r="A2" s="12" t="s">
        <v>12</v>
      </c>
      <c r="B2" s="13" t="s">
        <v>13</v>
      </c>
      <c r="C2" s="13" t="s">
        <v>177</v>
      </c>
      <c r="D2" s="750"/>
      <c r="E2" s="756"/>
      <c r="F2" s="13" t="s">
        <v>14</v>
      </c>
      <c r="G2" s="753"/>
      <c r="H2" s="14" t="s">
        <v>151</v>
      </c>
      <c r="I2" s="14" t="s">
        <v>182</v>
      </c>
      <c r="J2" s="19" t="s">
        <v>183</v>
      </c>
      <c r="K2" s="14" t="s">
        <v>151</v>
      </c>
      <c r="L2" s="19" t="s">
        <v>186</v>
      </c>
      <c r="M2" s="12" t="s">
        <v>5</v>
      </c>
      <c r="N2" s="17" t="s">
        <v>6</v>
      </c>
      <c r="O2" s="17" t="s">
        <v>7</v>
      </c>
      <c r="P2" s="17" t="s">
        <v>8</v>
      </c>
      <c r="Q2" s="17" t="s">
        <v>9</v>
      </c>
      <c r="R2" s="17" t="s">
        <v>10</v>
      </c>
      <c r="S2" s="213" t="s">
        <v>11</v>
      </c>
      <c r="T2" s="12" t="s">
        <v>5</v>
      </c>
      <c r="U2" s="17" t="s">
        <v>6</v>
      </c>
      <c r="V2" s="17" t="s">
        <v>7</v>
      </c>
      <c r="W2" s="17" t="s">
        <v>8</v>
      </c>
      <c r="X2" s="17" t="s">
        <v>9</v>
      </c>
      <c r="Y2" s="17" t="s">
        <v>10</v>
      </c>
      <c r="Z2" s="213" t="s">
        <v>11</v>
      </c>
      <c r="AA2" s="12" t="s">
        <v>146</v>
      </c>
      <c r="AB2" s="213" t="s">
        <v>147</v>
      </c>
      <c r="AC2" s="17" t="s">
        <v>146</v>
      </c>
      <c r="AD2" s="213" t="s">
        <v>147</v>
      </c>
    </row>
    <row r="3" spans="1:30" x14ac:dyDescent="0.25">
      <c r="A3" s="458" t="s">
        <v>50</v>
      </c>
      <c r="B3" s="256" t="s">
        <v>36</v>
      </c>
      <c r="C3" s="256" t="s">
        <v>178</v>
      </c>
      <c r="D3" s="489" t="s">
        <v>321</v>
      </c>
      <c r="E3" s="434">
        <v>21.967395184679404</v>
      </c>
      <c r="F3" s="256" t="s">
        <v>49</v>
      </c>
      <c r="G3" s="483" t="s">
        <v>208</v>
      </c>
      <c r="H3" s="479">
        <f>VLOOKUP($A3,'Additional Tables'!$A:$I,4,FALSE)</f>
        <v>7.375244404305926E-3</v>
      </c>
      <c r="I3" s="479">
        <f>VLOOKUP($A3,'Additional Tables'!$A:$I,5,FALSE)</f>
        <v>9.9000000000000008E-3</v>
      </c>
      <c r="J3" s="480">
        <f>VLOOKUP($A3,'Additional Tables'!$A:$I,6,FALSE)</f>
        <v>3.5999999999999999E-3</v>
      </c>
      <c r="K3" s="479">
        <f>VLOOKUP($A3,'Additional Tables'!$A:$I,8,FALSE)</f>
        <v>7.5276630954452467E-3</v>
      </c>
      <c r="L3" s="480">
        <f>VLOOKUP($A3,'Additional Tables'!$A:$I,9,FALSE)</f>
        <v>4.6279841458284864E-3</v>
      </c>
      <c r="M3" s="478">
        <v>0</v>
      </c>
      <c r="N3" s="479">
        <v>0</v>
      </c>
      <c r="O3" s="479">
        <v>0</v>
      </c>
      <c r="P3" s="479">
        <v>0</v>
      </c>
      <c r="Q3" s="479">
        <v>0</v>
      </c>
      <c r="R3" s="479">
        <v>0</v>
      </c>
      <c r="S3" s="480">
        <v>0</v>
      </c>
      <c r="T3" s="478">
        <v>8.3141979940185715E-5</v>
      </c>
      <c r="U3" s="479">
        <v>9.8586787394160718E-5</v>
      </c>
      <c r="V3" s="479">
        <v>1.7576162805018794E-5</v>
      </c>
      <c r="W3" s="479">
        <v>9.4127446857543429E-6</v>
      </c>
      <c r="X3" s="479">
        <v>6.0624276822017621E-5</v>
      </c>
      <c r="Y3" s="479">
        <v>1.0126726696731411E-5</v>
      </c>
      <c r="Z3" s="480">
        <v>6.0936189030176299E-5</v>
      </c>
      <c r="AA3" s="485">
        <f>J3/E3</f>
        <v>1.6387923874154763E-4</v>
      </c>
      <c r="AB3" s="436">
        <f>L3/E3</f>
        <v>2.1067514409064554E-4</v>
      </c>
      <c r="AC3" s="435">
        <f>H3/E3</f>
        <v>3.3573595514180949E-4</v>
      </c>
      <c r="AD3" s="436">
        <f>K3/E3</f>
        <v>3.4267436044011363E-4</v>
      </c>
    </row>
    <row r="4" spans="1:30" x14ac:dyDescent="0.25">
      <c r="A4" s="461" t="s">
        <v>91</v>
      </c>
      <c r="B4" s="462" t="s">
        <v>36</v>
      </c>
      <c r="C4" s="462" t="s">
        <v>178</v>
      </c>
      <c r="D4" s="490" t="s">
        <v>321</v>
      </c>
      <c r="E4" s="464">
        <v>2.4673660862597364</v>
      </c>
      <c r="F4" s="462" t="s">
        <v>49</v>
      </c>
      <c r="G4" s="463" t="s">
        <v>209</v>
      </c>
      <c r="H4" s="474">
        <f>VLOOKUP($A4,'Additional Tables'!$A:$I,4,FALSE)</f>
        <v>1.3833083750653401E-3</v>
      </c>
      <c r="I4" s="474">
        <f>VLOOKUP($A4,'Additional Tables'!$A:$I,5,FALSE)</f>
        <v>1.4E-3</v>
      </c>
      <c r="J4" s="475">
        <f>VLOOKUP($A4,'Additional Tables'!$A:$I,6,FALSE)</f>
        <v>5.0000000000000001E-4</v>
      </c>
      <c r="K4" s="474">
        <f>VLOOKUP($A4,'Additional Tables'!$A:$I,8,FALSE)</f>
        <v>1.4118961804872761E-3</v>
      </c>
      <c r="L4" s="475">
        <f>VLOOKUP($A4,'Additional Tables'!$A:$I,9,FALSE)</f>
        <v>5.3328961042034887E-4</v>
      </c>
      <c r="M4" s="465">
        <v>0</v>
      </c>
      <c r="N4" s="474">
        <v>6.1899999999999987E-4</v>
      </c>
      <c r="O4" s="474">
        <v>1.12E-4</v>
      </c>
      <c r="P4" s="474">
        <v>0</v>
      </c>
      <c r="Q4" s="474">
        <v>0</v>
      </c>
      <c r="R4" s="474">
        <v>4.3100000000000001E-4</v>
      </c>
      <c r="S4" s="475">
        <v>0</v>
      </c>
      <c r="T4" s="465">
        <v>2.1799478263706472E-4</v>
      </c>
      <c r="U4" s="474">
        <v>2.1680439160428979E-4</v>
      </c>
      <c r="V4" s="474">
        <v>3.0785593420321824E-5</v>
      </c>
      <c r="W4" s="474">
        <v>8.2085645010181582E-6</v>
      </c>
      <c r="X4" s="474">
        <v>1.0149573959700067E-5</v>
      </c>
      <c r="Y4" s="474">
        <v>4.7318182848889008E-5</v>
      </c>
      <c r="Z4" s="475">
        <v>1.3560765332511695E-4</v>
      </c>
      <c r="AA4" s="486">
        <f>J4/E4</f>
        <v>2.0264524295133952E-4</v>
      </c>
      <c r="AB4" s="467">
        <f>L4/E4</f>
        <v>2.161372053341136E-4</v>
      </c>
      <c r="AC4" s="466">
        <f>H4/E4</f>
        <v>5.6064172348347708E-4</v>
      </c>
      <c r="AD4" s="467">
        <f>K4/E4</f>
        <v>5.7222808903382473E-4</v>
      </c>
    </row>
    <row r="5" spans="1:30" x14ac:dyDescent="0.25">
      <c r="A5" s="461" t="s">
        <v>47</v>
      </c>
      <c r="B5" s="462" t="s">
        <v>36</v>
      </c>
      <c r="C5" s="462" t="s">
        <v>178</v>
      </c>
      <c r="D5" s="490" t="s">
        <v>321</v>
      </c>
      <c r="E5" s="464">
        <v>72.39463672800774</v>
      </c>
      <c r="F5" s="462" t="s">
        <v>49</v>
      </c>
      <c r="G5" s="463" t="s">
        <v>204</v>
      </c>
      <c r="H5" s="474">
        <f>VLOOKUP($A5,'Additional Tables'!$A:$I,4,FALSE)</f>
        <v>1.0713643031712045E-2</v>
      </c>
      <c r="I5" s="474">
        <f>VLOOKUP($A5,'Additional Tables'!$A:$I,5,FALSE)</f>
        <v>1.4E-2</v>
      </c>
      <c r="J5" s="475">
        <f>VLOOKUP($A5,'Additional Tables'!$A:$I,6,FALSE)</f>
        <v>1.4E-2</v>
      </c>
      <c r="K5" s="474">
        <f>VLOOKUP($A5,'Additional Tables'!$A:$I,8,FALSE)</f>
        <v>1.0246417234873509E-2</v>
      </c>
      <c r="L5" s="475">
        <f>VLOOKUP($A5,'Additional Tables'!$A:$I,9,FALSE)</f>
        <v>2.6180577762546335E-3</v>
      </c>
      <c r="M5" s="465">
        <v>6.0003428461820572E-3</v>
      </c>
      <c r="N5" s="474">
        <v>4.2114933726788897E-3</v>
      </c>
      <c r="O5" s="474">
        <v>1.9834449888090897E-3</v>
      </c>
      <c r="P5" s="474">
        <v>1.1947108725105986E-3</v>
      </c>
      <c r="Q5" s="474">
        <v>0</v>
      </c>
      <c r="R5" s="474">
        <v>2.7847245607540319E-3</v>
      </c>
      <c r="S5" s="475">
        <v>7.0500029372698178E-3</v>
      </c>
      <c r="T5" s="465">
        <v>3.5323352944959343E-4</v>
      </c>
      <c r="U5" s="474">
        <v>8.9638076359388496E-5</v>
      </c>
      <c r="V5" s="474">
        <v>1.1141242827834658E-4</v>
      </c>
      <c r="W5" s="474">
        <v>3.4766004441866389E-5</v>
      </c>
      <c r="X5" s="474">
        <v>9.2332711798483771E-5</v>
      </c>
      <c r="Y5" s="474">
        <v>5.7822425569002594E-5</v>
      </c>
      <c r="Z5" s="475">
        <v>4.945383972110492E-4</v>
      </c>
      <c r="AA5" s="486">
        <f>J5/E5</f>
        <v>1.9338449134842799E-4</v>
      </c>
      <c r="AB5" s="467">
        <f>L5/E5</f>
        <v>3.6163697955842772E-5</v>
      </c>
      <c r="AC5" s="466">
        <f>H5/E5</f>
        <v>1.4798945772687597E-4</v>
      </c>
      <c r="AD5" s="467">
        <f>K5/E5</f>
        <v>1.4153558465069852E-4</v>
      </c>
    </row>
    <row r="6" spans="1:30" x14ac:dyDescent="0.25">
      <c r="A6" s="461" t="s">
        <v>82</v>
      </c>
      <c r="B6" s="462" t="s">
        <v>36</v>
      </c>
      <c r="C6" s="462" t="s">
        <v>201</v>
      </c>
      <c r="D6" s="490" t="s">
        <v>127</v>
      </c>
      <c r="E6" s="464">
        <f>'Total Areas'!D30</f>
        <v>17.751540612442341</v>
      </c>
      <c r="F6" s="462" t="s">
        <v>49</v>
      </c>
      <c r="G6" s="463" t="s">
        <v>164</v>
      </c>
      <c r="H6" s="747" t="s">
        <v>221</v>
      </c>
      <c r="I6" s="747"/>
      <c r="J6" s="747"/>
      <c r="K6" s="747"/>
      <c r="L6" s="748"/>
      <c r="M6" s="465" t="s">
        <v>26</v>
      </c>
      <c r="N6" s="474" t="s">
        <v>26</v>
      </c>
      <c r="O6" s="474" t="s">
        <v>26</v>
      </c>
      <c r="P6" s="474" t="s">
        <v>26</v>
      </c>
      <c r="Q6" s="474" t="s">
        <v>26</v>
      </c>
      <c r="R6" s="474" t="s">
        <v>26</v>
      </c>
      <c r="S6" s="475" t="s">
        <v>26</v>
      </c>
      <c r="T6" s="465" t="s">
        <v>26</v>
      </c>
      <c r="U6" s="474" t="s">
        <v>26</v>
      </c>
      <c r="V6" s="474" t="s">
        <v>26</v>
      </c>
      <c r="W6" s="474" t="s">
        <v>26</v>
      </c>
      <c r="X6" s="474" t="s">
        <v>26</v>
      </c>
      <c r="Y6" s="474" t="s">
        <v>26</v>
      </c>
      <c r="Z6" s="475" t="s">
        <v>26</v>
      </c>
      <c r="AA6" s="486" t="s">
        <v>26</v>
      </c>
      <c r="AB6" s="467" t="s">
        <v>26</v>
      </c>
      <c r="AC6" s="466" t="s">
        <v>26</v>
      </c>
      <c r="AD6" s="467" t="s">
        <v>26</v>
      </c>
    </row>
    <row r="7" spans="1:30" ht="15.75" thickBot="1" x14ac:dyDescent="0.3">
      <c r="A7" s="458" t="s">
        <v>48</v>
      </c>
      <c r="B7" s="256" t="s">
        <v>36</v>
      </c>
      <c r="C7" s="256" t="s">
        <v>201</v>
      </c>
      <c r="D7" s="489" t="s">
        <v>127</v>
      </c>
      <c r="E7" s="434">
        <v>88.747147779287715</v>
      </c>
      <c r="F7" s="256" t="s">
        <v>49</v>
      </c>
      <c r="G7" s="483" t="s">
        <v>204</v>
      </c>
      <c r="H7" s="479">
        <f>VLOOKUP($A7,'Additional Tables'!$A:$I,4,FALSE)</f>
        <v>1.6917032615144462E-2</v>
      </c>
      <c r="I7" s="479">
        <f>VLOOKUP($A7,'Additional Tables'!$A:$I,5,FALSE)</f>
        <v>1.5299999999999999E-2</v>
      </c>
      <c r="J7" s="480">
        <f>VLOOKUP($A7,'Additional Tables'!$A:$I,6,FALSE)</f>
        <v>1.6799999999999999E-2</v>
      </c>
      <c r="K7" s="479">
        <f>VLOOKUP($A7,'Additional Tables'!$A:$I,8,FALSE)</f>
        <v>1.726664434701549E-2</v>
      </c>
      <c r="L7" s="480">
        <f>VLOOKUP($A7,'Additional Tables'!$A:$I,9,FALSE)</f>
        <v>3.4189332957627098E-3</v>
      </c>
      <c r="M7" s="478">
        <v>2.8782714398642841E-4</v>
      </c>
      <c r="N7" s="479">
        <v>2.8118281770888345E-4</v>
      </c>
      <c r="O7" s="479">
        <v>1.8269016771778801E-4</v>
      </c>
      <c r="P7" s="479">
        <v>2.2082022068914268E-4</v>
      </c>
      <c r="Q7" s="479">
        <v>0</v>
      </c>
      <c r="R7" s="479">
        <v>0</v>
      </c>
      <c r="S7" s="480">
        <v>0</v>
      </c>
      <c r="T7" s="478">
        <v>4.4279639579741245E-3</v>
      </c>
      <c r="U7" s="479">
        <v>2.7954784980329175E-3</v>
      </c>
      <c r="V7" s="479">
        <v>7.0271363160634972E-3</v>
      </c>
      <c r="W7" s="479">
        <v>8.713238226915243E-4</v>
      </c>
      <c r="X7" s="479">
        <v>2.2847939643964072E-3</v>
      </c>
      <c r="Y7" s="479">
        <v>1.9327011404680536E-3</v>
      </c>
      <c r="Z7" s="480">
        <v>1.1628937240355375E-2</v>
      </c>
      <c r="AA7" s="485">
        <f t="shared" ref="AA7:AA26" si="0">J7/E7</f>
        <v>1.893018583738741E-4</v>
      </c>
      <c r="AB7" s="436">
        <f t="shared" ref="AB7:AB18" si="1">L7/E7</f>
        <v>3.8524430151440189E-5</v>
      </c>
      <c r="AC7" s="435">
        <f t="shared" ref="AC7:AC26" si="2">H7/E7</f>
        <v>1.9062057810823133E-4</v>
      </c>
      <c r="AD7" s="436">
        <f t="shared" ref="AD7:AD26" si="3">K7/E7</f>
        <v>1.9455999183159409E-4</v>
      </c>
    </row>
    <row r="8" spans="1:30" x14ac:dyDescent="0.25">
      <c r="A8" s="459" t="s">
        <v>38</v>
      </c>
      <c r="B8" s="477" t="s">
        <v>36</v>
      </c>
      <c r="C8" s="477" t="s">
        <v>201</v>
      </c>
      <c r="D8" s="491" t="s">
        <v>127</v>
      </c>
      <c r="E8" s="438">
        <v>80.586734010599585</v>
      </c>
      <c r="F8" s="477" t="s">
        <v>46</v>
      </c>
      <c r="G8" s="437" t="s">
        <v>207</v>
      </c>
      <c r="H8" s="440">
        <f>VLOOKUP($A8,'Additional Tables'!$A:$I,4,FALSE)</f>
        <v>2.964646822264598E-2</v>
      </c>
      <c r="I8" s="440">
        <f>VLOOKUP($A8,'Additional Tables'!$A:$I,5,FALSE)</f>
        <v>1.52E-2</v>
      </c>
      <c r="J8" s="441">
        <f>VLOOKUP($A8,'Additional Tables'!$A:$I,6,FALSE)</f>
        <v>4.0300000000000002E-2</v>
      </c>
      <c r="K8" s="440">
        <f>VLOOKUP($A8,'Additional Tables'!$A:$I,8,FALSE)</f>
        <v>2.4488808689957196E-2</v>
      </c>
      <c r="L8" s="441">
        <f>VLOOKUP($A8,'Additional Tables'!$A:$I,9,FALSE)</f>
        <v>9.3388820765534942E-3</v>
      </c>
      <c r="M8" s="439">
        <v>3.912479555523804E-3</v>
      </c>
      <c r="N8" s="440">
        <v>6.9218917184550263E-4</v>
      </c>
      <c r="O8" s="440">
        <v>4.9385844238086733E-3</v>
      </c>
      <c r="P8" s="440">
        <v>2.1954833266963946E-3</v>
      </c>
      <c r="Q8" s="440">
        <v>0</v>
      </c>
      <c r="R8" s="440">
        <v>2.5178191523184189E-3</v>
      </c>
      <c r="S8" s="441">
        <v>1.1611798991394051E-4</v>
      </c>
      <c r="T8" s="439">
        <v>5.362074199240785E-3</v>
      </c>
      <c r="U8" s="440">
        <v>5.8044364608171731E-3</v>
      </c>
      <c r="V8" s="440">
        <v>8.899946817006418E-3</v>
      </c>
      <c r="W8" s="440">
        <v>3.3374701773531473E-3</v>
      </c>
      <c r="X8" s="440">
        <v>2.2775250370560404E-3</v>
      </c>
      <c r="Y8" s="440">
        <v>3.1764124371436086E-3</v>
      </c>
      <c r="Z8" s="441">
        <v>2.1270125862505643E-3</v>
      </c>
      <c r="AA8" s="487">
        <f t="shared" si="0"/>
        <v>5.0008230876684163E-4</v>
      </c>
      <c r="AB8" s="443">
        <f t="shared" si="1"/>
        <v>1.1588609702590937E-4</v>
      </c>
      <c r="AC8" s="442">
        <f t="shared" si="2"/>
        <v>3.6788273636634256E-4</v>
      </c>
      <c r="AD8" s="443">
        <f t="shared" si="3"/>
        <v>3.0388138929586327E-4</v>
      </c>
    </row>
    <row r="9" spans="1:30" x14ac:dyDescent="0.25">
      <c r="A9" s="461" t="s">
        <v>79</v>
      </c>
      <c r="B9" s="462" t="s">
        <v>36</v>
      </c>
      <c r="C9" s="462" t="s">
        <v>178</v>
      </c>
      <c r="D9" s="490" t="s">
        <v>127</v>
      </c>
      <c r="E9" s="464">
        <v>26.813464936262818</v>
      </c>
      <c r="F9" s="462" t="s">
        <v>46</v>
      </c>
      <c r="G9" s="463" t="s">
        <v>206</v>
      </c>
      <c r="H9" s="474">
        <f>VLOOKUP($A9,'Additional Tables'!$A:$I,4,FALSE)</f>
        <v>9.8511084128178709E-3</v>
      </c>
      <c r="I9" s="474">
        <f>VLOOKUP($A9,'Additional Tables'!$A:$I,5,FALSE)</f>
        <v>4.1000000000000003E-3</v>
      </c>
      <c r="J9" s="475">
        <f>VLOOKUP($A9,'Additional Tables'!$A:$I,6,FALSE)</f>
        <v>8.8000000000000005E-3</v>
      </c>
      <c r="K9" s="474">
        <f>VLOOKUP($A9,'Additional Tables'!$A:$I,8,FALSE)</f>
        <v>9.9407085792971878E-3</v>
      </c>
      <c r="L9" s="475">
        <f>VLOOKUP($A9,'Additional Tables'!$A:$I,9,FALSE)</f>
        <v>2.595398859148387E-3</v>
      </c>
      <c r="M9" s="465">
        <v>1.4460085115993659E-3</v>
      </c>
      <c r="N9" s="474">
        <v>1.3891281767862457E-3</v>
      </c>
      <c r="O9" s="474">
        <v>1.0767903382807826E-2</v>
      </c>
      <c r="P9" s="474">
        <v>1.1676068728516044E-3</v>
      </c>
      <c r="Q9" s="474">
        <v>0</v>
      </c>
      <c r="R9" s="474">
        <v>3.048497944287991E-3</v>
      </c>
      <c r="S9" s="475">
        <v>3.5736210353053209E-4</v>
      </c>
      <c r="T9" s="465">
        <v>6.8593347283572E-3</v>
      </c>
      <c r="U9" s="474">
        <v>7.7636209168669163E-3</v>
      </c>
      <c r="V9" s="474">
        <v>8.3508727014654435E-3</v>
      </c>
      <c r="W9" s="474">
        <v>1.5914410300340389E-3</v>
      </c>
      <c r="X9" s="474">
        <v>3.983515909391969E-4</v>
      </c>
      <c r="Y9" s="474">
        <v>4.5938180960971246E-3</v>
      </c>
      <c r="Z9" s="475">
        <v>4.60156093361526E-3</v>
      </c>
      <c r="AA9" s="486">
        <f t="shared" si="0"/>
        <v>3.2819331708595353E-4</v>
      </c>
      <c r="AB9" s="467">
        <f t="shared" si="1"/>
        <v>9.6794609175569169E-5</v>
      </c>
      <c r="AC9" s="466">
        <f t="shared" si="2"/>
        <v>3.6739408488364091E-4</v>
      </c>
      <c r="AD9" s="467">
        <f t="shared" si="3"/>
        <v>3.7073569577549323E-4</v>
      </c>
    </row>
    <row r="10" spans="1:30" x14ac:dyDescent="0.25">
      <c r="A10" s="461" t="s">
        <v>30</v>
      </c>
      <c r="B10" s="462" t="s">
        <v>24</v>
      </c>
      <c r="C10" s="462" t="s">
        <v>24</v>
      </c>
      <c r="D10" s="490" t="s">
        <v>127</v>
      </c>
      <c r="E10" s="464">
        <v>66.869240575577706</v>
      </c>
      <c r="F10" s="462" t="s">
        <v>46</v>
      </c>
      <c r="G10" s="463" t="s">
        <v>207</v>
      </c>
      <c r="H10" s="474">
        <f>VLOOKUP($A10,'Additional Tables'!$A:$I,4,FALSE)</f>
        <v>1.4632249990999728E-2</v>
      </c>
      <c r="I10" s="474">
        <f>VLOOKUP($A10,'Additional Tables'!$A:$I,5,FALSE)</f>
        <v>1.0200000000000001E-2</v>
      </c>
      <c r="J10" s="475">
        <f>VLOOKUP($A10,'Additional Tables'!$A:$I,6,FALSE)</f>
        <v>1.9900000000000001E-2</v>
      </c>
      <c r="K10" s="474">
        <f>VLOOKUP($A10,'Additional Tables'!$A:$I,8,FALSE)</f>
        <v>1.3562029794945335E-2</v>
      </c>
      <c r="L10" s="475">
        <f>VLOOKUP($A10,'Additional Tables'!$A:$I,9,FALSE)</f>
        <v>7.6183292914212292E-3</v>
      </c>
      <c r="M10" s="465" t="s">
        <v>26</v>
      </c>
      <c r="N10" s="474" t="s">
        <v>26</v>
      </c>
      <c r="O10" s="474" t="s">
        <v>26</v>
      </c>
      <c r="P10" s="474" t="s">
        <v>26</v>
      </c>
      <c r="Q10" s="474" t="s">
        <v>26</v>
      </c>
      <c r="R10" s="474" t="s">
        <v>26</v>
      </c>
      <c r="S10" s="475" t="s">
        <v>26</v>
      </c>
      <c r="T10" s="465" t="s">
        <v>26</v>
      </c>
      <c r="U10" s="474" t="s">
        <v>26</v>
      </c>
      <c r="V10" s="474" t="s">
        <v>26</v>
      </c>
      <c r="W10" s="474" t="s">
        <v>26</v>
      </c>
      <c r="X10" s="474" t="s">
        <v>26</v>
      </c>
      <c r="Y10" s="474" t="s">
        <v>26</v>
      </c>
      <c r="Z10" s="475" t="s">
        <v>26</v>
      </c>
      <c r="AA10" s="486">
        <f t="shared" si="0"/>
        <v>2.9759572306654804E-4</v>
      </c>
      <c r="AB10" s="467">
        <f t="shared" si="1"/>
        <v>1.1392875447434991E-4</v>
      </c>
      <c r="AC10" s="466">
        <f t="shared" si="2"/>
        <v>2.188188450332691E-4</v>
      </c>
      <c r="AD10" s="467">
        <f t="shared" si="3"/>
        <v>2.0281417402396107E-4</v>
      </c>
    </row>
    <row r="11" spans="1:30" ht="15.75" thickBot="1" x14ac:dyDescent="0.3">
      <c r="A11" s="460" t="s">
        <v>45</v>
      </c>
      <c r="B11" s="444" t="s">
        <v>36</v>
      </c>
      <c r="C11" s="444" t="s">
        <v>180</v>
      </c>
      <c r="D11" s="492" t="s">
        <v>127</v>
      </c>
      <c r="E11" s="445">
        <v>12.536395410948526</v>
      </c>
      <c r="F11" s="444" t="s">
        <v>46</v>
      </c>
      <c r="G11" s="476" t="s">
        <v>207</v>
      </c>
      <c r="H11" s="447">
        <f>VLOOKUP($A11,'Additional Tables'!$A:$I,4,FALSE)</f>
        <v>2.1711207803920183E-3</v>
      </c>
      <c r="I11" s="447">
        <f>VLOOKUP($A11,'Additional Tables'!$A:$I,5,FALSE)</f>
        <v>1.6999999999999999E-3</v>
      </c>
      <c r="J11" s="448">
        <f>VLOOKUP($A11,'Additional Tables'!$A:$I,6,FALSE)</f>
        <v>2.8E-3</v>
      </c>
      <c r="K11" s="447">
        <f>VLOOKUP($A11,'Additional Tables'!$A:$I,8,FALSE)</f>
        <v>1.0345890642951376E-3</v>
      </c>
      <c r="L11" s="448">
        <f>VLOOKUP($A11,'Additional Tables'!$A:$I,9,FALSE)</f>
        <v>7.8199009565607593E-4</v>
      </c>
      <c r="M11" s="446">
        <v>2.3280976243524306E-4</v>
      </c>
      <c r="N11" s="447">
        <v>3.0283332655701951E-4</v>
      </c>
      <c r="O11" s="447">
        <v>3.1112647531112895E-4</v>
      </c>
      <c r="P11" s="447">
        <v>5.9995142615029587E-4</v>
      </c>
      <c r="Q11" s="447">
        <v>0</v>
      </c>
      <c r="R11" s="447">
        <v>4.5758383208903531E-5</v>
      </c>
      <c r="S11" s="448">
        <v>0</v>
      </c>
      <c r="T11" s="446">
        <v>1.901653238681729E-3</v>
      </c>
      <c r="U11" s="447">
        <v>1.3401738322140712E-3</v>
      </c>
      <c r="V11" s="447">
        <v>2.8277906005956923E-3</v>
      </c>
      <c r="W11" s="447">
        <v>6.4902106030272392E-4</v>
      </c>
      <c r="X11" s="447">
        <v>5.3846459872641372E-4</v>
      </c>
      <c r="Y11" s="447">
        <v>9.9256555171485712E-4</v>
      </c>
      <c r="Z11" s="448">
        <v>9.3133348079817732E-4</v>
      </c>
      <c r="AA11" s="488">
        <f t="shared" si="0"/>
        <v>2.233496877064559E-4</v>
      </c>
      <c r="AB11" s="450">
        <f t="shared" si="1"/>
        <v>6.2377587019402193E-5</v>
      </c>
      <c r="AC11" s="449">
        <f t="shared" si="2"/>
        <v>1.731854100976979E-4</v>
      </c>
      <c r="AD11" s="450">
        <f t="shared" si="3"/>
        <v>8.252683729101193E-5</v>
      </c>
    </row>
    <row r="12" spans="1:30" x14ac:dyDescent="0.25">
      <c r="A12" s="459" t="s">
        <v>28</v>
      </c>
      <c r="B12" s="477" t="s">
        <v>24</v>
      </c>
      <c r="C12" s="477" t="s">
        <v>24</v>
      </c>
      <c r="D12" s="491" t="s">
        <v>127</v>
      </c>
      <c r="E12" s="438">
        <v>101.49553996155278</v>
      </c>
      <c r="F12" s="477" t="s">
        <v>64</v>
      </c>
      <c r="G12" s="437" t="s">
        <v>210</v>
      </c>
      <c r="H12" s="440">
        <f>VLOOKUP($A12,'Additional Tables'!$A:$I,4,FALSE)</f>
        <v>0</v>
      </c>
      <c r="I12" s="440">
        <f>VLOOKUP($A12,'Additional Tables'!$A:$I,5,FALSE)</f>
        <v>0</v>
      </c>
      <c r="J12" s="441">
        <f>VLOOKUP($A12,'Additional Tables'!$A:$I,6,FALSE)</f>
        <v>0</v>
      </c>
      <c r="K12" s="440">
        <f>VLOOKUP($A12,'Additional Tables'!$A:$I,8,FALSE)</f>
        <v>0</v>
      </c>
      <c r="L12" s="441">
        <f>VLOOKUP($A12,'Additional Tables'!$A:$I,9,FALSE)</f>
        <v>0</v>
      </c>
      <c r="M12" s="439" t="s">
        <v>26</v>
      </c>
      <c r="N12" s="440" t="s">
        <v>26</v>
      </c>
      <c r="O12" s="440" t="s">
        <v>26</v>
      </c>
      <c r="P12" s="440" t="s">
        <v>26</v>
      </c>
      <c r="Q12" s="440" t="s">
        <v>26</v>
      </c>
      <c r="R12" s="440" t="s">
        <v>26</v>
      </c>
      <c r="S12" s="441" t="s">
        <v>26</v>
      </c>
      <c r="T12" s="439" t="s">
        <v>26</v>
      </c>
      <c r="U12" s="440" t="s">
        <v>26</v>
      </c>
      <c r="V12" s="440" t="s">
        <v>26</v>
      </c>
      <c r="W12" s="440" t="s">
        <v>26</v>
      </c>
      <c r="X12" s="440" t="s">
        <v>26</v>
      </c>
      <c r="Y12" s="440" t="s">
        <v>26</v>
      </c>
      <c r="Z12" s="441" t="s">
        <v>26</v>
      </c>
      <c r="AA12" s="487">
        <f t="shared" si="0"/>
        <v>0</v>
      </c>
      <c r="AB12" s="443">
        <f t="shared" si="1"/>
        <v>0</v>
      </c>
      <c r="AC12" s="442">
        <f t="shared" si="2"/>
        <v>0</v>
      </c>
      <c r="AD12" s="443">
        <f t="shared" si="3"/>
        <v>0</v>
      </c>
    </row>
    <row r="13" spans="1:30" x14ac:dyDescent="0.25">
      <c r="A13" s="461" t="s">
        <v>41</v>
      </c>
      <c r="B13" s="462" t="s">
        <v>36</v>
      </c>
      <c r="C13" s="462" t="s">
        <v>201</v>
      </c>
      <c r="D13" s="490" t="s">
        <v>127</v>
      </c>
      <c r="E13" s="464">
        <v>79.018206200126698</v>
      </c>
      <c r="F13" s="462" t="s">
        <v>64</v>
      </c>
      <c r="G13" s="463" t="s">
        <v>204</v>
      </c>
      <c r="H13" s="474">
        <f>VLOOKUP($A13,'Additional Tables'!$A:$I,4,FALSE)</f>
        <v>2.3778391701593557E-2</v>
      </c>
      <c r="I13" s="474">
        <f>VLOOKUP($A13,'Additional Tables'!$A:$I,5,FALSE)</f>
        <v>9.7000000000000003E-3</v>
      </c>
      <c r="J13" s="475">
        <f>VLOOKUP($A13,'Additional Tables'!$A:$I,6,FALSE)</f>
        <v>3.4099999999999998E-2</v>
      </c>
      <c r="K13" s="474">
        <f>VLOOKUP($A13,'Additional Tables'!$A:$I,8,FALSE)</f>
        <v>2.3210393296356588E-2</v>
      </c>
      <c r="L13" s="475">
        <f>VLOOKUP($A13,'Additional Tables'!$A:$I,9,FALSE)</f>
        <v>1.8741869765455901E-2</v>
      </c>
      <c r="M13" s="465">
        <v>4.2034387880113124E-5</v>
      </c>
      <c r="N13" s="474">
        <v>6.746093381150537E-5</v>
      </c>
      <c r="O13" s="474">
        <v>1.2206605967899155E-4</v>
      </c>
      <c r="P13" s="474">
        <v>3.4312017831983346E-5</v>
      </c>
      <c r="Q13" s="474">
        <v>0</v>
      </c>
      <c r="R13" s="474">
        <v>2.5299585746080823E-5</v>
      </c>
      <c r="S13" s="475">
        <v>0</v>
      </c>
      <c r="T13" s="465">
        <v>2.4889716890145529E-3</v>
      </c>
      <c r="U13" s="474">
        <v>2.8456527823219539E-3</v>
      </c>
      <c r="V13" s="474">
        <v>3.3611843934125579E-3</v>
      </c>
      <c r="W13" s="474">
        <v>1.0042906715771343E-3</v>
      </c>
      <c r="X13" s="474">
        <v>9.7763465264833578E-4</v>
      </c>
      <c r="Y13" s="474">
        <v>1.0632181241194091E-3</v>
      </c>
      <c r="Z13" s="475">
        <v>1.9768506970231528E-3</v>
      </c>
      <c r="AA13" s="486">
        <f t="shared" si="0"/>
        <v>4.3154611626637158E-4</v>
      </c>
      <c r="AB13" s="467">
        <f t="shared" si="1"/>
        <v>2.3718419674054623E-4</v>
      </c>
      <c r="AC13" s="466">
        <f t="shared" si="2"/>
        <v>3.0092294984994774E-4</v>
      </c>
      <c r="AD13" s="467">
        <f t="shared" si="3"/>
        <v>2.9373475319817335E-4</v>
      </c>
    </row>
    <row r="14" spans="1:30" x14ac:dyDescent="0.25">
      <c r="A14" s="461" t="s">
        <v>51</v>
      </c>
      <c r="B14" s="462" t="s">
        <v>36</v>
      </c>
      <c r="C14" s="462" t="s">
        <v>201</v>
      </c>
      <c r="D14" s="490" t="s">
        <v>127</v>
      </c>
      <c r="E14" s="464">
        <v>74.335577372379845</v>
      </c>
      <c r="F14" s="462" t="s">
        <v>64</v>
      </c>
      <c r="G14" s="463" t="s">
        <v>211</v>
      </c>
      <c r="H14" s="474">
        <f>VLOOKUP($A14,'Additional Tables'!$A:$I,4,FALSE)</f>
        <v>1.5658991777844546E-2</v>
      </c>
      <c r="I14" s="474">
        <f>VLOOKUP($A14,'Additional Tables'!$A:$I,5,FALSE)</f>
        <v>1.11E-2</v>
      </c>
      <c r="J14" s="475">
        <f>VLOOKUP($A14,'Additional Tables'!$A:$I,6,FALSE)</f>
        <v>3.3099999999999997E-2</v>
      </c>
      <c r="K14" s="474">
        <f>VLOOKUP($A14,'Additional Tables'!$A:$I,8,FALSE)</f>
        <v>1.5982604515335251E-2</v>
      </c>
      <c r="L14" s="475">
        <f>VLOOKUP($A14,'Additional Tables'!$A:$I,9,FALSE)</f>
        <v>1.9524154971885456E-2</v>
      </c>
      <c r="M14" s="465">
        <v>2.1100738662613698E-10</v>
      </c>
      <c r="N14" s="474">
        <v>4.1143121432379953E-6</v>
      </c>
      <c r="O14" s="474">
        <v>7.9280226931150239E-6</v>
      </c>
      <c r="P14" s="474">
        <v>2.4915656461385876E-5</v>
      </c>
      <c r="Q14" s="474">
        <v>0</v>
      </c>
      <c r="R14" s="474">
        <v>5.985399549562686E-6</v>
      </c>
      <c r="S14" s="475">
        <v>0</v>
      </c>
      <c r="T14" s="465">
        <v>1.3826704872066636E-3</v>
      </c>
      <c r="U14" s="474">
        <v>8.510061856489197E-4</v>
      </c>
      <c r="V14" s="474">
        <v>1.9024091333003331E-3</v>
      </c>
      <c r="W14" s="474">
        <v>2.2064170591540731E-4</v>
      </c>
      <c r="X14" s="474">
        <v>1.9978784922113096E-4</v>
      </c>
      <c r="Y14" s="474">
        <v>3.835433115763895E-4</v>
      </c>
      <c r="Z14" s="475">
        <v>8.3416237911864018E-4</v>
      </c>
      <c r="AA14" s="486">
        <f t="shared" si="0"/>
        <v>4.4527803738158151E-4</v>
      </c>
      <c r="AB14" s="467">
        <f t="shared" si="1"/>
        <v>2.6264886427235657E-4</v>
      </c>
      <c r="AC14" s="466">
        <f t="shared" si="2"/>
        <v>2.1065272284631246E-4</v>
      </c>
      <c r="AD14" s="467">
        <f t="shared" si="3"/>
        <v>2.1500612600708412E-4</v>
      </c>
    </row>
    <row r="15" spans="1:30" ht="15.75" thickBot="1" x14ac:dyDescent="0.3">
      <c r="A15" s="460" t="s">
        <v>61</v>
      </c>
      <c r="B15" s="444" t="s">
        <v>36</v>
      </c>
      <c r="C15" s="444" t="s">
        <v>178</v>
      </c>
      <c r="D15" s="492" t="s">
        <v>127</v>
      </c>
      <c r="E15" s="445">
        <v>45.330448118318941</v>
      </c>
      <c r="F15" s="444" t="s">
        <v>64</v>
      </c>
      <c r="G15" s="476" t="s">
        <v>204</v>
      </c>
      <c r="H15" s="447">
        <f>VLOOKUP($A15,'Additional Tables'!$A:$I,4,FALSE)</f>
        <v>1.0884256497758748E-2</v>
      </c>
      <c r="I15" s="447">
        <f>VLOOKUP($A15,'Additional Tables'!$A:$I,5,FALSE)</f>
        <v>4.1999999999999997E-3</v>
      </c>
      <c r="J15" s="448">
        <f>VLOOKUP($A15,'Additional Tables'!$A:$I,6,FALSE)</f>
        <v>1.4500000000000001E-2</v>
      </c>
      <c r="K15" s="447">
        <f>VLOOKUP($A15,'Additional Tables'!$A:$I,8,FALSE)</f>
        <v>9.7696768478264407E-3</v>
      </c>
      <c r="L15" s="448">
        <f>VLOOKUP($A15,'Additional Tables'!$A:$I,9,FALSE)</f>
        <v>9.6200842217047527E-3</v>
      </c>
      <c r="M15" s="446">
        <v>0</v>
      </c>
      <c r="N15" s="447">
        <v>0</v>
      </c>
      <c r="O15" s="447">
        <v>0</v>
      </c>
      <c r="P15" s="447">
        <v>0</v>
      </c>
      <c r="Q15" s="447">
        <v>0</v>
      </c>
      <c r="R15" s="447">
        <v>0</v>
      </c>
      <c r="S15" s="448">
        <v>0</v>
      </c>
      <c r="T15" s="446">
        <v>3.1042726884657904E-3</v>
      </c>
      <c r="U15" s="447">
        <v>5.216509879874597E-3</v>
      </c>
      <c r="V15" s="447">
        <v>4.8662513677134112E-3</v>
      </c>
      <c r="W15" s="447">
        <v>1.9402673358207983E-3</v>
      </c>
      <c r="X15" s="447">
        <v>2.1219194429062363E-3</v>
      </c>
      <c r="Y15" s="447">
        <v>1.8185580187810365E-3</v>
      </c>
      <c r="Z15" s="448">
        <v>1.6378028900158263E-3</v>
      </c>
      <c r="AA15" s="488">
        <f t="shared" si="0"/>
        <v>3.1987329933630773E-4</v>
      </c>
      <c r="AB15" s="450">
        <f t="shared" si="1"/>
        <v>2.122212468889555E-4</v>
      </c>
      <c r="AC15" s="449">
        <f t="shared" si="2"/>
        <v>2.4010917494901625E-4</v>
      </c>
      <c r="AD15" s="450">
        <f t="shared" si="3"/>
        <v>2.1552129425957118E-4</v>
      </c>
    </row>
    <row r="16" spans="1:30" x14ac:dyDescent="0.25">
      <c r="A16" s="459" t="s">
        <v>40</v>
      </c>
      <c r="B16" s="477" t="s">
        <v>36</v>
      </c>
      <c r="C16" s="477" t="s">
        <v>178</v>
      </c>
      <c r="D16" s="491" t="s">
        <v>127</v>
      </c>
      <c r="E16" s="438">
        <v>85.373403217248836</v>
      </c>
      <c r="F16" s="477" t="s">
        <v>65</v>
      </c>
      <c r="G16" s="437" t="s">
        <v>204</v>
      </c>
      <c r="H16" s="440">
        <f>VLOOKUP($A16,'Additional Tables'!$A:$I,4,FALSE)</f>
        <v>2.4623359797757861E-2</v>
      </c>
      <c r="I16" s="440">
        <f>VLOOKUP($A16,'Additional Tables'!$A:$I,5,FALSE)</f>
        <v>4.7999999999999996E-3</v>
      </c>
      <c r="J16" s="441">
        <f>VLOOKUP($A16,'Additional Tables'!$A:$I,6,FALSE)</f>
        <v>1.1299999999999999E-2</v>
      </c>
      <c r="K16" s="440">
        <f>VLOOKUP($A16,'Additional Tables'!$A:$I,8,FALSE)</f>
        <v>2.565485528054039E-2</v>
      </c>
      <c r="L16" s="441">
        <f>VLOOKUP($A16,'Additional Tables'!$A:$I,9,FALSE)</f>
        <v>2.7987620096284454E-2</v>
      </c>
      <c r="M16" s="439">
        <v>0</v>
      </c>
      <c r="N16" s="440">
        <v>7.3218195163591085E-4</v>
      </c>
      <c r="O16" s="440">
        <v>1.7661257467511862E-4</v>
      </c>
      <c r="P16" s="440">
        <v>2.2493477779657869E-3</v>
      </c>
      <c r="Q16" s="440">
        <v>0</v>
      </c>
      <c r="R16" s="440">
        <v>7.3150391660328393E-4</v>
      </c>
      <c r="S16" s="441">
        <v>4.1392705506087618E-5</v>
      </c>
      <c r="T16" s="439">
        <v>2.2151030190055163E-3</v>
      </c>
      <c r="U16" s="440">
        <v>2.7355718376715151E-3</v>
      </c>
      <c r="V16" s="440">
        <v>1.2758749019533507E-3</v>
      </c>
      <c r="W16" s="440">
        <v>1.2109959800641989E-3</v>
      </c>
      <c r="X16" s="440">
        <v>1.368056485100469E-3</v>
      </c>
      <c r="Y16" s="440">
        <v>3.2471279542482145E-4</v>
      </c>
      <c r="Z16" s="441">
        <v>2.1744258450579114E-4</v>
      </c>
      <c r="AA16" s="487">
        <f t="shared" si="0"/>
        <v>1.3235972298357375E-4</v>
      </c>
      <c r="AB16" s="443">
        <f t="shared" si="1"/>
        <v>3.2782598609855862E-4</v>
      </c>
      <c r="AC16" s="442">
        <f t="shared" si="2"/>
        <v>2.8841956475717672E-4</v>
      </c>
      <c r="AD16" s="443">
        <f t="shared" si="3"/>
        <v>3.0050172903681421E-4</v>
      </c>
    </row>
    <row r="17" spans="1:30" x14ac:dyDescent="0.25">
      <c r="A17" s="461" t="s">
        <v>29</v>
      </c>
      <c r="B17" s="462" t="s">
        <v>24</v>
      </c>
      <c r="C17" s="462" t="s">
        <v>24</v>
      </c>
      <c r="D17" s="490" t="s">
        <v>127</v>
      </c>
      <c r="E17" s="464">
        <v>137.02318723869843</v>
      </c>
      <c r="F17" s="462" t="s">
        <v>65</v>
      </c>
      <c r="G17" s="463" t="s">
        <v>204</v>
      </c>
      <c r="H17" s="474">
        <f>VLOOKUP($A17,'Additional Tables'!$A:$I,4,FALSE)</f>
        <v>1.857982415763211E-2</v>
      </c>
      <c r="I17" s="474">
        <f>VLOOKUP($A17,'Additional Tables'!$A:$I,5,FALSE)</f>
        <v>3.5999999999999999E-3</v>
      </c>
      <c r="J17" s="475">
        <f>VLOOKUP($A17,'Additional Tables'!$A:$I,6,FALSE)</f>
        <v>9.5999999999999992E-3</v>
      </c>
      <c r="K17" s="474">
        <f>VLOOKUP($A17,'Additional Tables'!$A:$I,8,FALSE)</f>
        <v>1.880574040099885E-2</v>
      </c>
      <c r="L17" s="475">
        <f>VLOOKUP($A17,'Additional Tables'!$A:$I,9,FALSE)</f>
        <v>2.5583333035143086E-2</v>
      </c>
      <c r="M17" s="465" t="s">
        <v>26</v>
      </c>
      <c r="N17" s="474" t="s">
        <v>26</v>
      </c>
      <c r="O17" s="474" t="s">
        <v>26</v>
      </c>
      <c r="P17" s="474" t="s">
        <v>26</v>
      </c>
      <c r="Q17" s="474" t="s">
        <v>26</v>
      </c>
      <c r="R17" s="474" t="s">
        <v>26</v>
      </c>
      <c r="S17" s="475" t="s">
        <v>26</v>
      </c>
      <c r="T17" s="465" t="s">
        <v>26</v>
      </c>
      <c r="U17" s="474" t="s">
        <v>26</v>
      </c>
      <c r="V17" s="474" t="s">
        <v>26</v>
      </c>
      <c r="W17" s="474" t="s">
        <v>26</v>
      </c>
      <c r="X17" s="474" t="s">
        <v>26</v>
      </c>
      <c r="Y17" s="474" t="s">
        <v>26</v>
      </c>
      <c r="Z17" s="475" t="s">
        <v>26</v>
      </c>
      <c r="AA17" s="486">
        <f t="shared" si="0"/>
        <v>7.0061134859434525E-5</v>
      </c>
      <c r="AB17" s="467">
        <f t="shared" si="1"/>
        <v>1.8670805686760275E-4</v>
      </c>
      <c r="AC17" s="466">
        <f t="shared" si="2"/>
        <v>1.3559620478879614E-4</v>
      </c>
      <c r="AD17" s="467">
        <f t="shared" si="3"/>
        <v>1.3724494941311428E-4</v>
      </c>
    </row>
    <row r="18" spans="1:30" x14ac:dyDescent="0.25">
      <c r="A18" s="873" t="s">
        <v>144</v>
      </c>
      <c r="B18" s="462" t="s">
        <v>24</v>
      </c>
      <c r="C18" s="462" t="s">
        <v>24</v>
      </c>
      <c r="D18" s="715" t="s">
        <v>127</v>
      </c>
      <c r="E18" s="464">
        <f>VLOOKUP(A18,'Total Areas'!A:D,4,FALSE)+IF(ISBLANK($D20),E20,0)+IF(ISBLANK($D21),E21,0)</f>
        <v>502.97951240383617</v>
      </c>
      <c r="F18" s="462" t="s">
        <v>65</v>
      </c>
      <c r="G18" s="463" t="s">
        <v>204</v>
      </c>
      <c r="H18" s="474">
        <f>VLOOKUP($A18,'Additional Tables'!$A:$I,4,FALSE)+(IF(ISBLANK($D20),H20,0)+IF(ISBLANK($D21),H21,0))*50%</f>
        <v>3.0695862095502815E-2</v>
      </c>
      <c r="I18" s="474">
        <f>VLOOKUP($A18,'Additional Tables'!$A:$I,5,FALSE)+(IF(ISBLANK($D20),I20,0)+IF(ISBLANK($D21),I21,0))*50%</f>
        <v>3.9544014999999995E-3</v>
      </c>
      <c r="J18" s="475">
        <f>VLOOKUP($A18,'Additional Tables'!$A:$I,6,FALSE)+(IF(ISBLANK($D20),J20,0)+IF(ISBLANK($D21),J21,0))*50%</f>
        <v>7.953621000000001E-3</v>
      </c>
      <c r="K18" s="474">
        <f>VLOOKUP($A18,'Additional Tables'!$A:$I,8,FALSE)+(IF(ISBLANK($D20),K20,0)+IF(ISBLANK($D21),K21,0))*50%</f>
        <v>3.1290196221300748E-2</v>
      </c>
      <c r="L18" s="475">
        <f>VLOOKUP($A18,'Additional Tables'!$A:$I,9,FALSE)+(IF(ISBLANK($D20),L20,0)+IF(ISBLANK($D21),L21,0))*50%</f>
        <v>1.0747253702014323E-2</v>
      </c>
      <c r="M18" s="465" t="s">
        <v>26</v>
      </c>
      <c r="N18" s="474" t="s">
        <v>26</v>
      </c>
      <c r="O18" s="474" t="s">
        <v>26</v>
      </c>
      <c r="P18" s="474" t="s">
        <v>26</v>
      </c>
      <c r="Q18" s="474" t="s">
        <v>26</v>
      </c>
      <c r="R18" s="474" t="s">
        <v>26</v>
      </c>
      <c r="S18" s="475" t="s">
        <v>26</v>
      </c>
      <c r="T18" s="465" t="s">
        <v>26</v>
      </c>
      <c r="U18" s="474" t="s">
        <v>26</v>
      </c>
      <c r="V18" s="474" t="s">
        <v>26</v>
      </c>
      <c r="W18" s="474" t="s">
        <v>26</v>
      </c>
      <c r="X18" s="474" t="s">
        <v>26</v>
      </c>
      <c r="Y18" s="474" t="s">
        <v>26</v>
      </c>
      <c r="Z18" s="475" t="s">
        <v>26</v>
      </c>
      <c r="AA18" s="486">
        <f>J18/E18</f>
        <v>1.5813011869982759E-5</v>
      </c>
      <c r="AB18" s="467">
        <f t="shared" si="1"/>
        <v>2.1367179849237046E-5</v>
      </c>
      <c r="AC18" s="466">
        <f t="shared" si="2"/>
        <v>6.1028056488427067E-5</v>
      </c>
      <c r="AD18" s="467">
        <f t="shared" si="3"/>
        <v>6.2209683395967488E-5</v>
      </c>
    </row>
    <row r="19" spans="1:30" x14ac:dyDescent="0.25">
      <c r="A19" s="873" t="s">
        <v>31</v>
      </c>
      <c r="B19" s="462" t="s">
        <v>24</v>
      </c>
      <c r="C19" s="462" t="s">
        <v>24</v>
      </c>
      <c r="D19" s="715" t="s">
        <v>127</v>
      </c>
      <c r="E19" s="464">
        <v>107.79542960772275</v>
      </c>
      <c r="F19" s="462" t="s">
        <v>65</v>
      </c>
      <c r="G19" s="463" t="s">
        <v>204</v>
      </c>
      <c r="H19" s="474">
        <f>VLOOKUP($A19,'Additional Tables'!$A:$I,4,FALSE)</f>
        <v>3.1910452068070951E-2</v>
      </c>
      <c r="I19" s="474">
        <f>VLOOKUP($A19,'Additional Tables'!$A:$I,5,FALSE)</f>
        <v>1.1000000000000001E-3</v>
      </c>
      <c r="J19" s="475">
        <f>VLOOKUP($A19,'Additional Tables'!$A:$I,6,FALSE)</f>
        <v>2.8E-3</v>
      </c>
      <c r="K19" s="474">
        <f>VLOOKUP($A19,'Additional Tables'!$A:$I,8,FALSE)</f>
        <v>3.2569921649179302E-2</v>
      </c>
      <c r="L19" s="475"/>
      <c r="M19" s="465" t="s">
        <v>26</v>
      </c>
      <c r="N19" s="474" t="s">
        <v>26</v>
      </c>
      <c r="O19" s="474" t="s">
        <v>26</v>
      </c>
      <c r="P19" s="474" t="s">
        <v>26</v>
      </c>
      <c r="Q19" s="474" t="s">
        <v>26</v>
      </c>
      <c r="R19" s="474" t="s">
        <v>26</v>
      </c>
      <c r="S19" s="475" t="s">
        <v>26</v>
      </c>
      <c r="T19" s="465" t="s">
        <v>26</v>
      </c>
      <c r="U19" s="474" t="s">
        <v>26</v>
      </c>
      <c r="V19" s="474" t="s">
        <v>26</v>
      </c>
      <c r="W19" s="474" t="s">
        <v>26</v>
      </c>
      <c r="X19" s="474" t="s">
        <v>26</v>
      </c>
      <c r="Y19" s="474" t="s">
        <v>26</v>
      </c>
      <c r="Z19" s="475" t="s">
        <v>26</v>
      </c>
      <c r="AA19" s="486">
        <f t="shared" si="0"/>
        <v>2.597512724045399E-5</v>
      </c>
      <c r="AB19" s="467" t="s">
        <v>185</v>
      </c>
      <c r="AC19" s="466">
        <f t="shared" si="2"/>
        <v>2.9602787598876826E-4</v>
      </c>
      <c r="AD19" s="467">
        <f t="shared" si="3"/>
        <v>3.0214566394608911E-4</v>
      </c>
    </row>
    <row r="20" spans="1:30" x14ac:dyDescent="0.25">
      <c r="A20" s="461" t="s">
        <v>86</v>
      </c>
      <c r="B20" s="462" t="s">
        <v>36</v>
      </c>
      <c r="C20" s="462" t="s">
        <v>178</v>
      </c>
      <c r="D20" s="490" t="s">
        <v>127</v>
      </c>
      <c r="E20" s="464">
        <v>26.593810021275132</v>
      </c>
      <c r="F20" s="462" t="s">
        <v>65</v>
      </c>
      <c r="G20" s="463" t="s">
        <v>204</v>
      </c>
      <c r="H20" s="474">
        <f>VLOOKUP($A20,'Additional Tables'!$A:$I,4,FALSE)</f>
        <v>7.5757611770023167E-3</v>
      </c>
      <c r="I20" s="474">
        <f>VLOOKUP($A20,'Additional Tables'!$A:$I,5,FALSE)</f>
        <v>1E-3</v>
      </c>
      <c r="J20" s="475">
        <f>VLOOKUP($A20,'Additional Tables'!$A:$I,6,FALSE)</f>
        <v>1.1999999999999999E-3</v>
      </c>
      <c r="K20" s="474">
        <f>VLOOKUP($A20,'Additional Tables'!$A:$I,8,FALSE)</f>
        <v>7.0378290763373286E-3</v>
      </c>
      <c r="L20" s="475">
        <f>VLOOKUP($A20,'Additional Tables'!$A:$I,9,FALSE)</f>
        <v>5.5096031027057442E-3</v>
      </c>
      <c r="M20" s="465">
        <v>0</v>
      </c>
      <c r="N20" s="474">
        <v>4.6713805398627935E-5</v>
      </c>
      <c r="O20" s="474">
        <v>0</v>
      </c>
      <c r="P20" s="474">
        <v>0</v>
      </c>
      <c r="Q20" s="474">
        <v>0</v>
      </c>
      <c r="R20" s="474">
        <v>4.5244565472050367E-6</v>
      </c>
      <c r="S20" s="475">
        <v>0</v>
      </c>
      <c r="T20" s="465">
        <v>5.5979299856661627E-7</v>
      </c>
      <c r="U20" s="474">
        <v>4.4617969372386121E-7</v>
      </c>
      <c r="V20" s="474">
        <v>3.1909988467566142E-5</v>
      </c>
      <c r="W20" s="474">
        <v>1.0895369221981537E-3</v>
      </c>
      <c r="X20" s="474">
        <v>3.3879325919507012E-5</v>
      </c>
      <c r="Y20" s="474">
        <v>1.9656010757284125E-5</v>
      </c>
      <c r="Z20" s="475">
        <v>5.7215313768130211E-7</v>
      </c>
      <c r="AA20" s="486">
        <f t="shared" si="0"/>
        <v>4.512328241195963E-5</v>
      </c>
      <c r="AB20" s="467">
        <f>L20/E20</f>
        <v>2.0717614731766693E-4</v>
      </c>
      <c r="AC20" s="466">
        <f t="shared" si="2"/>
        <v>2.8486934256286272E-4</v>
      </c>
      <c r="AD20" s="467">
        <f t="shared" si="3"/>
        <v>2.6464162414889189E-4</v>
      </c>
    </row>
    <row r="21" spans="1:30" x14ac:dyDescent="0.25">
      <c r="A21" s="461" t="s">
        <v>87</v>
      </c>
      <c r="B21" s="462" t="s">
        <v>36</v>
      </c>
      <c r="C21" s="462" t="s">
        <v>178</v>
      </c>
      <c r="D21" s="490" t="s">
        <v>127</v>
      </c>
      <c r="E21" s="464">
        <v>10.955490769705944</v>
      </c>
      <c r="F21" s="462" t="s">
        <v>65</v>
      </c>
      <c r="G21" s="463" t="s">
        <v>204</v>
      </c>
      <c r="H21" s="474">
        <f>VLOOKUP($A21,'Additional Tables'!$A:$I,4,FALSE)</f>
        <v>3.0566865639211171E-3</v>
      </c>
      <c r="I21" s="474">
        <f>VLOOKUP($A21,'Additional Tables'!$A:$I,5,FALSE)</f>
        <v>5.0000000000000001E-4</v>
      </c>
      <c r="J21" s="475">
        <f>VLOOKUP($A21,'Additional Tables'!$A:$I,6,FALSE)</f>
        <v>8.0000000000000004E-4</v>
      </c>
      <c r="K21" s="474">
        <f>VLOOKUP($A21,'Additional Tables'!$A:$I,8,FALSE)</f>
        <v>3.1198568318818645E-3</v>
      </c>
      <c r="L21" s="475">
        <f>VLOOKUP($A21,'Additional Tables'!$A:$I,9,FALSE)</f>
        <v>2.159889493265608E-3</v>
      </c>
      <c r="M21" s="465">
        <v>0</v>
      </c>
      <c r="N21" s="474">
        <v>3.5654224910055025E-5</v>
      </c>
      <c r="O21" s="474">
        <v>8.2702146939506622E-6</v>
      </c>
      <c r="P21" s="474">
        <v>8.3167286823959439E-5</v>
      </c>
      <c r="Q21" s="474">
        <v>0</v>
      </c>
      <c r="R21" s="474">
        <v>4.7442546399185863E-5</v>
      </c>
      <c r="S21" s="475">
        <v>0</v>
      </c>
      <c r="T21" s="465">
        <v>1.8487999222885877E-7</v>
      </c>
      <c r="U21" s="474">
        <v>1.6870742079365538E-7</v>
      </c>
      <c r="V21" s="474">
        <v>1.7469789130747369E-5</v>
      </c>
      <c r="W21" s="474">
        <v>4.8474732723400297E-4</v>
      </c>
      <c r="X21" s="474">
        <v>1.3341853808987373E-5</v>
      </c>
      <c r="Y21" s="474">
        <v>9.3045953463722791E-6</v>
      </c>
      <c r="Z21" s="475">
        <v>1.0754293773155371E-7</v>
      </c>
      <c r="AA21" s="486">
        <f t="shared" si="0"/>
        <v>7.3022744194368286E-5</v>
      </c>
      <c r="AB21" s="467">
        <f>L21/E21</f>
        <v>1.9715132244354776E-4</v>
      </c>
      <c r="AC21" s="466">
        <f t="shared" si="2"/>
        <v>2.7900955129946787E-4</v>
      </c>
      <c r="AD21" s="467">
        <f t="shared" si="3"/>
        <v>2.8477563419695203E-4</v>
      </c>
    </row>
    <row r="22" spans="1:30" ht="15.75" thickBot="1" x14ac:dyDescent="0.3">
      <c r="A22" s="460" t="s">
        <v>58</v>
      </c>
      <c r="B22" s="444" t="s">
        <v>36</v>
      </c>
      <c r="C22" s="444" t="s">
        <v>178</v>
      </c>
      <c r="D22" s="492" t="s">
        <v>127</v>
      </c>
      <c r="E22" s="445">
        <v>32.083536191323411</v>
      </c>
      <c r="F22" s="444" t="s">
        <v>65</v>
      </c>
      <c r="G22" s="476" t="s">
        <v>204</v>
      </c>
      <c r="H22" s="447">
        <f>VLOOKUP($A22,'Additional Tables'!$A:$I,4,FALSE)</f>
        <v>6.5851433844833504E-3</v>
      </c>
      <c r="I22" s="447">
        <f>VLOOKUP($A22,'Additional Tables'!$A:$I,5,FALSE)</f>
        <v>1.5E-3</v>
      </c>
      <c r="J22" s="448">
        <f>VLOOKUP($A22,'Additional Tables'!$A:$I,6,FALSE)</f>
        <v>4.4999999999999997E-3</v>
      </c>
      <c r="K22" s="447">
        <f>VLOOKUP($A22,'Additional Tables'!$A:$I,8,FALSE)</f>
        <v>6.1568585278571827E-3</v>
      </c>
      <c r="L22" s="448">
        <f>VLOOKUP($A22,'Additional Tables'!$A:$I,9,FALSE)</f>
        <v>1.0458699993903453E-2</v>
      </c>
      <c r="M22" s="446">
        <v>0</v>
      </c>
      <c r="N22" s="447">
        <v>0</v>
      </c>
      <c r="O22" s="447">
        <v>0</v>
      </c>
      <c r="P22" s="447">
        <v>0</v>
      </c>
      <c r="Q22" s="447">
        <v>0</v>
      </c>
      <c r="R22" s="447">
        <v>0</v>
      </c>
      <c r="S22" s="448">
        <v>0</v>
      </c>
      <c r="T22" s="446">
        <v>7.9450256701903631E-4</v>
      </c>
      <c r="U22" s="447">
        <v>9.3103700762460159E-4</v>
      </c>
      <c r="V22" s="447">
        <v>4.7230828212106729E-4</v>
      </c>
      <c r="W22" s="447">
        <v>7.3732352747529328E-4</v>
      </c>
      <c r="X22" s="447">
        <v>5.2428676533091388E-4</v>
      </c>
      <c r="Y22" s="447">
        <v>1.1669075079947466E-4</v>
      </c>
      <c r="Z22" s="448">
        <v>8.6869411000702396E-5</v>
      </c>
      <c r="AA22" s="488">
        <f t="shared" si="0"/>
        <v>1.4025885342454765E-4</v>
      </c>
      <c r="AB22" s="450">
        <f>L22/E22</f>
        <v>3.2598339321249372E-4</v>
      </c>
      <c r="AC22" s="449">
        <f t="shared" si="2"/>
        <v>2.0524992460975108E-4</v>
      </c>
      <c r="AD22" s="450">
        <f t="shared" si="3"/>
        <v>1.919008706254215E-4</v>
      </c>
    </row>
    <row r="23" spans="1:30" x14ac:dyDescent="0.25">
      <c r="A23" s="459" t="s">
        <v>52</v>
      </c>
      <c r="B23" s="477" t="s">
        <v>36</v>
      </c>
      <c r="C23" s="477" t="s">
        <v>178</v>
      </c>
      <c r="D23" s="491" t="s">
        <v>127</v>
      </c>
      <c r="E23" s="438">
        <v>3.5411670821825543</v>
      </c>
      <c r="F23" s="477" t="s">
        <v>67</v>
      </c>
      <c r="G23" s="437" t="s">
        <v>204</v>
      </c>
      <c r="H23" s="440">
        <f>VLOOKUP($A23,'Additional Tables'!$A:$I,4,FALSE)</f>
        <v>0</v>
      </c>
      <c r="I23" s="440">
        <f>VLOOKUP($A23,'Additional Tables'!$A:$I,5,FALSE)</f>
        <v>0</v>
      </c>
      <c r="J23" s="441">
        <f>VLOOKUP($A23,'Additional Tables'!$A:$I,6,FALSE)</f>
        <v>0</v>
      </c>
      <c r="K23" s="440">
        <f>VLOOKUP($A23,'Additional Tables'!$A:$I,8,FALSE)</f>
        <v>5.7526496444790175E-5</v>
      </c>
      <c r="L23" s="441"/>
      <c r="M23" s="439">
        <v>0</v>
      </c>
      <c r="N23" s="440">
        <v>1.3310567449033118E-5</v>
      </c>
      <c r="O23" s="440">
        <v>0</v>
      </c>
      <c r="P23" s="440">
        <v>0</v>
      </c>
      <c r="Q23" s="440">
        <v>0</v>
      </c>
      <c r="R23" s="440">
        <v>6.9557295956318502E-6</v>
      </c>
      <c r="S23" s="441">
        <v>0</v>
      </c>
      <c r="T23" s="439">
        <v>3.4495884532313292E-8</v>
      </c>
      <c r="U23" s="440">
        <v>3.706444674252506E-8</v>
      </c>
      <c r="V23" s="440">
        <v>0</v>
      </c>
      <c r="W23" s="440">
        <v>1.5913324069575471E-5</v>
      </c>
      <c r="X23" s="440">
        <v>1.1695916138751027E-6</v>
      </c>
      <c r="Y23" s="440">
        <v>3.2938496506504361E-8</v>
      </c>
      <c r="Z23" s="441">
        <v>0</v>
      </c>
      <c r="AA23" s="487">
        <f t="shared" si="0"/>
        <v>0</v>
      </c>
      <c r="AB23" s="443" t="s">
        <v>185</v>
      </c>
      <c r="AC23" s="442">
        <f t="shared" si="2"/>
        <v>0</v>
      </c>
      <c r="AD23" s="443">
        <f t="shared" si="3"/>
        <v>1.6245066982079376E-5</v>
      </c>
    </row>
    <row r="24" spans="1:30" x14ac:dyDescent="0.25">
      <c r="A24" s="461" t="s">
        <v>57</v>
      </c>
      <c r="B24" s="462" t="s">
        <v>36</v>
      </c>
      <c r="C24" s="462" t="s">
        <v>178</v>
      </c>
      <c r="D24" s="490" t="s">
        <v>127</v>
      </c>
      <c r="E24" s="464">
        <v>9.417736679411064</v>
      </c>
      <c r="F24" s="462" t="s">
        <v>67</v>
      </c>
      <c r="G24" s="463" t="s">
        <v>204</v>
      </c>
      <c r="H24" s="474">
        <f>VLOOKUP($A24,'Additional Tables'!$A:$I,4,FALSE)</f>
        <v>2.7398028980772744E-3</v>
      </c>
      <c r="I24" s="474">
        <f>VLOOKUP($A24,'Additional Tables'!$A:$I,5,FALSE)</f>
        <v>1E-4</v>
      </c>
      <c r="J24" s="475">
        <f>VLOOKUP($A24,'Additional Tables'!$A:$I,6,FALSE)</f>
        <v>1E-4</v>
      </c>
      <c r="K24" s="474">
        <f>VLOOKUP($A24,'Additional Tables'!$A:$I,8,FALSE)</f>
        <v>3.031077875465448E-3</v>
      </c>
      <c r="L24" s="475"/>
      <c r="M24" s="465">
        <v>0</v>
      </c>
      <c r="N24" s="474">
        <v>0</v>
      </c>
      <c r="O24" s="474">
        <v>0</v>
      </c>
      <c r="P24" s="474">
        <v>0</v>
      </c>
      <c r="Q24" s="474">
        <v>0</v>
      </c>
      <c r="R24" s="474">
        <v>0</v>
      </c>
      <c r="S24" s="475">
        <v>0</v>
      </c>
      <c r="T24" s="465">
        <v>3.2394998057067057E-8</v>
      </c>
      <c r="U24" s="474">
        <v>1.60795369688128E-6</v>
      </c>
      <c r="V24" s="474">
        <v>0</v>
      </c>
      <c r="W24" s="474">
        <v>1.9505534222340942E-5</v>
      </c>
      <c r="X24" s="474">
        <v>3.0682568954833973E-7</v>
      </c>
      <c r="Y24" s="474">
        <v>5.608167190109097E-8</v>
      </c>
      <c r="Z24" s="475">
        <v>0</v>
      </c>
      <c r="AA24" s="486">
        <f t="shared" si="0"/>
        <v>1.0618262476866521E-5</v>
      </c>
      <c r="AB24" s="467" t="s">
        <v>185</v>
      </c>
      <c r="AC24" s="466">
        <f t="shared" si="2"/>
        <v>2.9091946306664069E-4</v>
      </c>
      <c r="AD24" s="467">
        <f t="shared" si="3"/>
        <v>3.2184780469515057E-4</v>
      </c>
    </row>
    <row r="25" spans="1:30" x14ac:dyDescent="0.25">
      <c r="A25" s="461" t="s">
        <v>33</v>
      </c>
      <c r="B25" s="462" t="s">
        <v>24</v>
      </c>
      <c r="C25" s="462" t="s">
        <v>24</v>
      </c>
      <c r="D25" s="490" t="s">
        <v>127</v>
      </c>
      <c r="E25" s="464">
        <v>9.4229995417572265</v>
      </c>
      <c r="F25" s="462" t="s">
        <v>67</v>
      </c>
      <c r="G25" s="463" t="s">
        <v>204</v>
      </c>
      <c r="H25" s="474">
        <f>VLOOKUP($A25,'Additional Tables'!$A:$I,4,FALSE)</f>
        <v>1.9027105896028676E-3</v>
      </c>
      <c r="I25" s="474">
        <f>VLOOKUP($A25,'Additional Tables'!$A:$I,5,FALSE)</f>
        <v>1E-4</v>
      </c>
      <c r="J25" s="475">
        <f>VLOOKUP($A25,'Additional Tables'!$A:$I,6,FALSE)</f>
        <v>4.0000000000000002E-4</v>
      </c>
      <c r="K25" s="474">
        <f>VLOOKUP($A25,'Additional Tables'!$A:$I,8,FALSE)</f>
        <v>2.0488472345375798E-3</v>
      </c>
      <c r="L25" s="475"/>
      <c r="M25" s="465" t="s">
        <v>26</v>
      </c>
      <c r="N25" s="474" t="s">
        <v>26</v>
      </c>
      <c r="O25" s="474" t="s">
        <v>26</v>
      </c>
      <c r="P25" s="474" t="s">
        <v>26</v>
      </c>
      <c r="Q25" s="474" t="s">
        <v>26</v>
      </c>
      <c r="R25" s="474" t="s">
        <v>26</v>
      </c>
      <c r="S25" s="475" t="s">
        <v>26</v>
      </c>
      <c r="T25" s="465" t="s">
        <v>26</v>
      </c>
      <c r="U25" s="474" t="s">
        <v>26</v>
      </c>
      <c r="V25" s="474" t="s">
        <v>26</v>
      </c>
      <c r="W25" s="474" t="s">
        <v>26</v>
      </c>
      <c r="X25" s="474" t="s">
        <v>26</v>
      </c>
      <c r="Y25" s="474" t="s">
        <v>26</v>
      </c>
      <c r="Z25" s="475" t="s">
        <v>26</v>
      </c>
      <c r="AA25" s="486">
        <f t="shared" si="0"/>
        <v>4.2449328181269012E-5</v>
      </c>
      <c r="AB25" s="467" t="s">
        <v>185</v>
      </c>
      <c r="AC25" s="466">
        <f t="shared" si="2"/>
        <v>2.0192196563006994E-4</v>
      </c>
      <c r="AD25" s="467">
        <f t="shared" si="3"/>
        <v>2.1743047163042792E-4</v>
      </c>
    </row>
    <row r="26" spans="1:30" ht="15.75" thickBot="1" x14ac:dyDescent="0.3">
      <c r="A26" s="460" t="s">
        <v>62</v>
      </c>
      <c r="B26" s="444" t="s">
        <v>36</v>
      </c>
      <c r="C26" s="444" t="s">
        <v>178</v>
      </c>
      <c r="D26" s="492" t="s">
        <v>127</v>
      </c>
      <c r="E26" s="445">
        <v>2.4098405480566361</v>
      </c>
      <c r="F26" s="444" t="s">
        <v>67</v>
      </c>
      <c r="G26" s="476" t="s">
        <v>205</v>
      </c>
      <c r="H26" s="447">
        <f>VLOOKUP($A26,'Additional Tables'!$A:$I,4,FALSE)</f>
        <v>0</v>
      </c>
      <c r="I26" s="447">
        <f>VLOOKUP($A26,'Additional Tables'!$A:$I,5,FALSE)</f>
        <v>0</v>
      </c>
      <c r="J26" s="448">
        <f>VLOOKUP($A26,'Additional Tables'!$A:$I,6,FALSE)</f>
        <v>0</v>
      </c>
      <c r="K26" s="447">
        <f>VLOOKUP($A26,'Additional Tables'!$A:$I,8,FALSE)</f>
        <v>3.2653169433025819E-4</v>
      </c>
      <c r="L26" s="448"/>
      <c r="M26" s="446">
        <v>0</v>
      </c>
      <c r="N26" s="447">
        <v>0</v>
      </c>
      <c r="O26" s="447">
        <v>0</v>
      </c>
      <c r="P26" s="447">
        <v>0</v>
      </c>
      <c r="Q26" s="447">
        <v>0</v>
      </c>
      <c r="R26" s="447">
        <v>0</v>
      </c>
      <c r="S26" s="448">
        <v>0</v>
      </c>
      <c r="T26" s="446">
        <v>0</v>
      </c>
      <c r="U26" s="447">
        <v>9.2213403270302123E-8</v>
      </c>
      <c r="V26" s="447">
        <v>4.9686875520921599E-7</v>
      </c>
      <c r="W26" s="447">
        <v>6.1005634289325682E-7</v>
      </c>
      <c r="X26" s="447">
        <v>0</v>
      </c>
      <c r="Y26" s="447">
        <v>0</v>
      </c>
      <c r="Z26" s="448">
        <v>0</v>
      </c>
      <c r="AA26" s="488">
        <f t="shared" si="0"/>
        <v>0</v>
      </c>
      <c r="AB26" s="450" t="s">
        <v>185</v>
      </c>
      <c r="AC26" s="449">
        <f t="shared" si="2"/>
        <v>0</v>
      </c>
      <c r="AD26" s="450">
        <f t="shared" si="3"/>
        <v>1.3549929458759528E-4</v>
      </c>
    </row>
    <row r="27" spans="1:30" x14ac:dyDescent="0.25">
      <c r="A27" s="451" t="s">
        <v>331</v>
      </c>
    </row>
    <row r="28" spans="1:30" ht="15.75" thickBot="1" x14ac:dyDescent="0.3">
      <c r="A28" s="874" t="s">
        <v>332</v>
      </c>
      <c r="B28" s="872"/>
      <c r="C28" s="872"/>
    </row>
    <row r="29" spans="1:30" ht="15.75" thickBot="1" x14ac:dyDescent="0.3">
      <c r="A29" s="744" t="s">
        <v>203</v>
      </c>
      <c r="B29" s="745"/>
      <c r="C29" s="745"/>
      <c r="D29" s="746"/>
      <c r="E29" s="468">
        <f>SUMIF($D$3:$D$26,"=X",E$3:E$26)</f>
        <v>1617.9098062776618</v>
      </c>
      <c r="F29" s="469"/>
      <c r="G29" s="468"/>
      <c r="H29" s="470">
        <f t="shared" ref="H29:AD29" si="4">SUMIF($D$3:$D$26,"=X",H$3:H$26)</f>
        <v>0.27068141854233085</v>
      </c>
      <c r="I29" s="470">
        <f t="shared" si="4"/>
        <v>0.1134544015</v>
      </c>
      <c r="J29" s="471">
        <f t="shared" si="4"/>
        <v>0.22705362100000001</v>
      </c>
      <c r="K29" s="470">
        <f t="shared" si="4"/>
        <v>0.26454067293470845</v>
      </c>
      <c r="L29" s="471">
        <f t="shared" si="4"/>
        <v>0.16186537353340816</v>
      </c>
      <c r="M29" s="472">
        <f t="shared" si="4"/>
        <v>1.1921502418614399E-2</v>
      </c>
      <c r="N29" s="470">
        <f t="shared" si="4"/>
        <v>8.3952626609249126E-3</v>
      </c>
      <c r="O29" s="470">
        <f t="shared" si="4"/>
        <v>1.8610626310195683E-2</v>
      </c>
      <c r="P29" s="470">
        <f t="shared" si="4"/>
        <v>7.770315457981152E-3</v>
      </c>
      <c r="Q29" s="470">
        <f t="shared" si="4"/>
        <v>0</v>
      </c>
      <c r="R29" s="470">
        <f t="shared" si="4"/>
        <v>9.6495116750102954E-3</v>
      </c>
      <c r="S29" s="471">
        <f t="shared" si="4"/>
        <v>7.5648757362203785E-3</v>
      </c>
      <c r="T29" s="472">
        <f t="shared" si="4"/>
        <v>2.9191728430865621E-2</v>
      </c>
      <c r="U29" s="470">
        <f t="shared" si="4"/>
        <v>3.0690868775091917E-2</v>
      </c>
      <c r="V29" s="470">
        <f t="shared" si="4"/>
        <v>3.9193425344488976E-2</v>
      </c>
      <c r="W29" s="470">
        <f t="shared" si="4"/>
        <v>1.3225475788929872E-2</v>
      </c>
      <c r="X29" s="470">
        <f t="shared" si="4"/>
        <v>1.0902624545937262E-2</v>
      </c>
      <c r="Y29" s="470">
        <f t="shared" si="4"/>
        <v>1.4546537187511463E-2</v>
      </c>
      <c r="Z29" s="471">
        <f t="shared" si="4"/>
        <v>2.4733734138325247E-2</v>
      </c>
      <c r="AA29" s="472">
        <f t="shared" si="4"/>
        <v>3.850810788667705E-3</v>
      </c>
      <c r="AB29" s="471">
        <f t="shared" si="4"/>
        <v>2.8687539189182374E-3</v>
      </c>
      <c r="AC29" s="472">
        <f t="shared" si="4"/>
        <v>5.1569955876785804E-3</v>
      </c>
      <c r="AD29" s="471">
        <f t="shared" si="4"/>
        <v>5.1696610884658942E-3</v>
      </c>
    </row>
  </sheetData>
  <sheetProtection password="EE40" sheet="1" objects="1" scenarios="1"/>
  <mergeCells count="11">
    <mergeCell ref="A29:D29"/>
    <mergeCell ref="H6:L6"/>
    <mergeCell ref="D1:D2"/>
    <mergeCell ref="AC1:AD1"/>
    <mergeCell ref="G1:G2"/>
    <mergeCell ref="H1:J1"/>
    <mergeCell ref="K1:L1"/>
    <mergeCell ref="M1:S1"/>
    <mergeCell ref="T1:Z1"/>
    <mergeCell ref="AA1:AB1"/>
    <mergeCell ref="E1:E2"/>
  </mergeCells>
  <conditionalFormatting sqref="K3:K5">
    <cfRule type="colorScale" priority="273">
      <colorScale>
        <cfvo type="min"/>
        <cfvo type="max"/>
        <color rgb="FFFFEF9C"/>
        <color rgb="FF63BE7B"/>
      </colorScale>
    </cfRule>
  </conditionalFormatting>
  <conditionalFormatting sqref="I3:I5 I7:I26">
    <cfRule type="colorScale" priority="310">
      <colorScale>
        <cfvo type="min"/>
        <cfvo type="max"/>
        <color rgb="FFFFEF9C"/>
        <color rgb="FFFF7128"/>
      </colorScale>
    </cfRule>
  </conditionalFormatting>
  <conditionalFormatting sqref="E3:E26">
    <cfRule type="colorScale" priority="313">
      <colorScale>
        <cfvo type="min"/>
        <cfvo type="max"/>
        <color rgb="FFFFEF9C"/>
        <color rgb="FFFF7128"/>
      </colorScale>
    </cfRule>
  </conditionalFormatting>
  <conditionalFormatting sqref="H3:H5 H7:H26">
    <cfRule type="colorScale" priority="315">
      <colorScale>
        <cfvo type="min"/>
        <cfvo type="max"/>
        <color rgb="FFFFEF9C"/>
        <color rgb="FFFF7128"/>
      </colorScale>
    </cfRule>
  </conditionalFormatting>
  <conditionalFormatting sqref="J3:J5 J7:J26">
    <cfRule type="colorScale" priority="318">
      <colorScale>
        <cfvo type="min"/>
        <cfvo type="max"/>
        <color rgb="FFFFEF9C"/>
        <color rgb="FFFF7128"/>
      </colorScale>
    </cfRule>
  </conditionalFormatting>
  <conditionalFormatting sqref="K7:K26">
    <cfRule type="colorScale" priority="321">
      <colorScale>
        <cfvo type="min"/>
        <cfvo type="max"/>
        <color rgb="FFFFEF9C"/>
        <color rgb="FF63BE7B"/>
      </colorScale>
    </cfRule>
  </conditionalFormatting>
  <conditionalFormatting sqref="L3:L5 L7:L26">
    <cfRule type="colorScale" priority="323">
      <colorScale>
        <cfvo type="min"/>
        <cfvo type="max"/>
        <color rgb="FFFFEF9C"/>
        <color rgb="FF63BE7B"/>
      </colorScale>
    </cfRule>
  </conditionalFormatting>
  <conditionalFormatting sqref="M3:M26">
    <cfRule type="colorScale" priority="326">
      <colorScale>
        <cfvo type="min"/>
        <cfvo type="max"/>
        <color rgb="FFFFEF9C"/>
        <color rgb="FFFF7128"/>
      </colorScale>
    </cfRule>
  </conditionalFormatting>
  <conditionalFormatting sqref="N3:N26">
    <cfRule type="colorScale" priority="328">
      <colorScale>
        <cfvo type="min"/>
        <cfvo type="max"/>
        <color rgb="FFFFEF9C"/>
        <color rgb="FFFF7128"/>
      </colorScale>
    </cfRule>
  </conditionalFormatting>
  <conditionalFormatting sqref="O3:O26">
    <cfRule type="colorScale" priority="330">
      <colorScale>
        <cfvo type="min"/>
        <cfvo type="max"/>
        <color rgb="FFFFEF9C"/>
        <color rgb="FFFF7128"/>
      </colorScale>
    </cfRule>
  </conditionalFormatting>
  <conditionalFormatting sqref="P3:P26">
    <cfRule type="colorScale" priority="332">
      <colorScale>
        <cfvo type="min"/>
        <cfvo type="max"/>
        <color rgb="FFFFEF9C"/>
        <color rgb="FFFF7128"/>
      </colorScale>
    </cfRule>
  </conditionalFormatting>
  <conditionalFormatting sqref="R3:R26">
    <cfRule type="colorScale" priority="334">
      <colorScale>
        <cfvo type="min"/>
        <cfvo type="max"/>
        <color rgb="FFFFEF9C"/>
        <color rgb="FFFF7128"/>
      </colorScale>
    </cfRule>
  </conditionalFormatting>
  <conditionalFormatting sqref="S3:S26">
    <cfRule type="colorScale" priority="336">
      <colorScale>
        <cfvo type="min"/>
        <cfvo type="max"/>
        <color rgb="FFFFEF9C"/>
        <color rgb="FFFF7128"/>
      </colorScale>
    </cfRule>
  </conditionalFormatting>
  <conditionalFormatting sqref="T3:T26">
    <cfRule type="colorScale" priority="338">
      <colorScale>
        <cfvo type="min"/>
        <cfvo type="max"/>
        <color rgb="FFFFEF9C"/>
        <color rgb="FF63BE7B"/>
      </colorScale>
    </cfRule>
  </conditionalFormatting>
  <conditionalFormatting sqref="U3:U26">
    <cfRule type="colorScale" priority="340">
      <colorScale>
        <cfvo type="min"/>
        <cfvo type="max"/>
        <color rgb="FFFFEF9C"/>
        <color rgb="FF63BE7B"/>
      </colorScale>
    </cfRule>
  </conditionalFormatting>
  <conditionalFormatting sqref="V3:V26">
    <cfRule type="colorScale" priority="342">
      <colorScale>
        <cfvo type="min"/>
        <cfvo type="max"/>
        <color rgb="FFFFEF9C"/>
        <color rgb="FF63BE7B"/>
      </colorScale>
    </cfRule>
  </conditionalFormatting>
  <conditionalFormatting sqref="W3:W26">
    <cfRule type="colorScale" priority="344">
      <colorScale>
        <cfvo type="min"/>
        <cfvo type="max"/>
        <color rgb="FFFFEF9C"/>
        <color rgb="FF63BE7B"/>
      </colorScale>
    </cfRule>
  </conditionalFormatting>
  <conditionalFormatting sqref="X3:X26">
    <cfRule type="colorScale" priority="346">
      <colorScale>
        <cfvo type="min"/>
        <cfvo type="max"/>
        <color rgb="FFFFEF9C"/>
        <color rgb="FF63BE7B"/>
      </colorScale>
    </cfRule>
  </conditionalFormatting>
  <conditionalFormatting sqref="Y3:Y26">
    <cfRule type="colorScale" priority="348">
      <colorScale>
        <cfvo type="min"/>
        <cfvo type="max"/>
        <color rgb="FFFFEF9C"/>
        <color rgb="FF63BE7B"/>
      </colorScale>
    </cfRule>
  </conditionalFormatting>
  <conditionalFormatting sqref="Z3:Z26">
    <cfRule type="colorScale" priority="350">
      <colorScale>
        <cfvo type="min"/>
        <cfvo type="max"/>
        <color rgb="FFFFEF9C"/>
        <color rgb="FF63BE7B"/>
      </colorScale>
    </cfRule>
  </conditionalFormatting>
  <conditionalFormatting sqref="AB3:AB26">
    <cfRule type="colorScale" priority="352">
      <colorScale>
        <cfvo type="min"/>
        <cfvo type="max"/>
        <color rgb="FFFFEF9C"/>
        <color rgb="FF63BE7B"/>
      </colorScale>
    </cfRule>
  </conditionalFormatting>
  <conditionalFormatting sqref="AA3:AA26">
    <cfRule type="colorScale" priority="354">
      <colorScale>
        <cfvo type="min"/>
        <cfvo type="max"/>
        <color rgb="FFFFEF9C"/>
        <color rgb="FFFF7128"/>
      </colorScale>
    </cfRule>
  </conditionalFormatting>
  <conditionalFormatting sqref="AD3:AD26">
    <cfRule type="colorScale" priority="356">
      <colorScale>
        <cfvo type="min"/>
        <cfvo type="max"/>
        <color rgb="FFFFEF9C"/>
        <color rgb="FF63BE7B"/>
      </colorScale>
    </cfRule>
  </conditionalFormatting>
  <conditionalFormatting sqref="AC3:AC26">
    <cfRule type="colorScale" priority="358">
      <colorScale>
        <cfvo type="min"/>
        <cfvo type="max"/>
        <color rgb="FFFFEF9C"/>
        <color rgb="FFFF7128"/>
      </colorScale>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C83"/>
  <sheetViews>
    <sheetView zoomScale="85" zoomScaleNormal="85" workbookViewId="0">
      <pane ySplit="3" topLeftCell="A4" activePane="bottomLeft" state="frozen"/>
      <selection pane="bottomLeft" activeCell="A4" sqref="A4"/>
    </sheetView>
  </sheetViews>
  <sheetFormatPr defaultRowHeight="15" x14ac:dyDescent="0.25"/>
  <cols>
    <col min="1" max="1" width="28.140625" style="608" customWidth="1"/>
    <col min="2" max="2" width="20.7109375" style="608" bestFit="1" customWidth="1"/>
    <col min="3" max="3" width="20.7109375" style="608" customWidth="1"/>
    <col min="4" max="4" width="11.7109375" style="608" customWidth="1"/>
    <col min="5" max="5" width="15.7109375" style="608" customWidth="1"/>
    <col min="6" max="6" width="8.140625" style="608" bestFit="1" customWidth="1"/>
    <col min="7" max="7" width="7.140625" style="608" bestFit="1" customWidth="1"/>
    <col min="8" max="8" width="8.140625" style="608" customWidth="1"/>
    <col min="9" max="9" width="7.140625" style="608" bestFit="1" customWidth="1"/>
    <col min="10" max="10" width="8.7109375" style="608" customWidth="1"/>
    <col min="11" max="11" width="8" style="608" customWidth="1"/>
    <col min="12" max="12" width="7.7109375" style="608" customWidth="1"/>
    <col min="13" max="13" width="7.140625" style="608" bestFit="1" customWidth="1"/>
    <col min="14" max="14" width="9.140625" style="608" customWidth="1"/>
    <col min="15" max="15" width="7.42578125" style="608" customWidth="1"/>
    <col min="16" max="16" width="5.140625" style="608" bestFit="1" customWidth="1"/>
    <col min="17" max="17" width="5.5703125" style="608" bestFit="1" customWidth="1"/>
    <col min="18" max="18" width="5.140625" style="608" bestFit="1" customWidth="1"/>
    <col min="19" max="19" width="5.5703125" style="608" bestFit="1" customWidth="1"/>
    <col min="20" max="20" width="5.140625" style="608" bestFit="1" customWidth="1"/>
    <col min="21" max="21" width="5.5703125" style="608" bestFit="1" customWidth="1"/>
    <col min="22" max="22" width="5.140625" style="608" bestFit="1" customWidth="1"/>
    <col min="23" max="25" width="5.5703125" style="608" bestFit="1" customWidth="1"/>
    <col min="26" max="26" width="7.140625" style="608" customWidth="1"/>
    <col min="27" max="27" width="5.5703125" style="608" bestFit="1" customWidth="1"/>
    <col min="28" max="28" width="5.140625" style="608" bestFit="1" customWidth="1"/>
    <col min="29" max="29" width="5.140625" style="609" bestFit="1" customWidth="1"/>
    <col min="30" max="30" width="12.85546875" style="608" customWidth="1"/>
    <col min="31" max="16384" width="9.140625" style="608"/>
  </cols>
  <sheetData>
    <row r="1" spans="1:29" s="495" customFormat="1" ht="15" customHeight="1" x14ac:dyDescent="0.25">
      <c r="A1" s="793" t="s">
        <v>233</v>
      </c>
      <c r="B1" s="794"/>
      <c r="C1" s="795"/>
      <c r="D1" s="780" t="s">
        <v>215</v>
      </c>
      <c r="E1" s="783" t="s">
        <v>234</v>
      </c>
      <c r="F1" s="759"/>
      <c r="G1" s="493"/>
      <c r="H1" s="761" t="s">
        <v>134</v>
      </c>
      <c r="I1" s="764" t="s">
        <v>77</v>
      </c>
      <c r="J1" s="759"/>
      <c r="K1" s="759"/>
      <c r="L1" s="765"/>
      <c r="M1" s="764" t="s">
        <v>78</v>
      </c>
      <c r="N1" s="768"/>
      <c r="O1" s="769"/>
      <c r="P1" s="773" t="s">
        <v>348</v>
      </c>
      <c r="Q1" s="774"/>
      <c r="R1" s="774"/>
      <c r="S1" s="774"/>
      <c r="T1" s="774"/>
      <c r="U1" s="774"/>
      <c r="V1" s="774"/>
      <c r="W1" s="774"/>
      <c r="X1" s="774"/>
      <c r="Y1" s="774"/>
      <c r="Z1" s="774"/>
      <c r="AA1" s="774"/>
      <c r="AB1" s="774"/>
      <c r="AC1" s="494"/>
    </row>
    <row r="2" spans="1:29" s="495" customFormat="1" ht="24.75" customHeight="1" thickBot="1" x14ac:dyDescent="0.3">
      <c r="A2" s="796"/>
      <c r="B2" s="797"/>
      <c r="C2" s="798"/>
      <c r="D2" s="781"/>
      <c r="E2" s="784"/>
      <c r="F2" s="760" t="s">
        <v>83</v>
      </c>
      <c r="G2" s="496"/>
      <c r="H2" s="762"/>
      <c r="I2" s="766"/>
      <c r="J2" s="760"/>
      <c r="K2" s="760"/>
      <c r="L2" s="767"/>
      <c r="M2" s="770"/>
      <c r="N2" s="771"/>
      <c r="O2" s="772"/>
      <c r="P2" s="776" t="s">
        <v>5</v>
      </c>
      <c r="Q2" s="758"/>
      <c r="R2" s="757" t="s">
        <v>6</v>
      </c>
      <c r="S2" s="758"/>
      <c r="T2" s="757" t="s">
        <v>7</v>
      </c>
      <c r="U2" s="758"/>
      <c r="V2" s="757" t="s">
        <v>8</v>
      </c>
      <c r="W2" s="758"/>
      <c r="X2" s="757" t="s">
        <v>9</v>
      </c>
      <c r="Y2" s="758"/>
      <c r="Z2" s="757" t="s">
        <v>10</v>
      </c>
      <c r="AA2" s="758"/>
      <c r="AB2" s="757" t="s">
        <v>11</v>
      </c>
      <c r="AC2" s="775"/>
    </row>
    <row r="3" spans="1:29" s="495" customFormat="1" ht="51.75" thickBot="1" x14ac:dyDescent="0.3">
      <c r="A3" s="497" t="s">
        <v>12</v>
      </c>
      <c r="B3" s="498" t="s">
        <v>13</v>
      </c>
      <c r="C3" s="498" t="s">
        <v>177</v>
      </c>
      <c r="D3" s="782"/>
      <c r="E3" s="785"/>
      <c r="F3" s="499" t="s">
        <v>220</v>
      </c>
      <c r="G3" s="500" t="s">
        <v>14</v>
      </c>
      <c r="H3" s="763"/>
      <c r="I3" s="501" t="s">
        <v>150</v>
      </c>
      <c r="J3" s="502" t="s">
        <v>217</v>
      </c>
      <c r="K3" s="502" t="s">
        <v>182</v>
      </c>
      <c r="L3" s="503" t="s">
        <v>183</v>
      </c>
      <c r="M3" s="501" t="s">
        <v>150</v>
      </c>
      <c r="N3" s="502" t="s">
        <v>217</v>
      </c>
      <c r="O3" s="503" t="s">
        <v>186</v>
      </c>
      <c r="P3" s="497" t="s">
        <v>21</v>
      </c>
      <c r="Q3" s="498" t="s">
        <v>22</v>
      </c>
      <c r="R3" s="504" t="s">
        <v>21</v>
      </c>
      <c r="S3" s="505" t="s">
        <v>22</v>
      </c>
      <c r="T3" s="504" t="s">
        <v>21</v>
      </c>
      <c r="U3" s="505" t="s">
        <v>22</v>
      </c>
      <c r="V3" s="504" t="s">
        <v>21</v>
      </c>
      <c r="W3" s="505" t="s">
        <v>22</v>
      </c>
      <c r="X3" s="504" t="s">
        <v>21</v>
      </c>
      <c r="Y3" s="505" t="s">
        <v>22</v>
      </c>
      <c r="Z3" s="504" t="s">
        <v>21</v>
      </c>
      <c r="AA3" s="505" t="s">
        <v>22</v>
      </c>
      <c r="AB3" s="498" t="s">
        <v>21</v>
      </c>
      <c r="AC3" s="498" t="s">
        <v>22</v>
      </c>
    </row>
    <row r="4" spans="1:29" s="495" customFormat="1" ht="15.75" thickBot="1" x14ac:dyDescent="0.3">
      <c r="A4" s="506" t="s">
        <v>73</v>
      </c>
      <c r="B4" s="507"/>
      <c r="C4" s="507"/>
      <c r="D4" s="508" t="s">
        <v>202</v>
      </c>
      <c r="E4" s="509" t="s">
        <v>89</v>
      </c>
      <c r="F4" s="510"/>
      <c r="G4" s="511"/>
      <c r="H4" s="511"/>
      <c r="I4" s="507"/>
      <c r="J4" s="510"/>
      <c r="K4" s="510"/>
      <c r="L4" s="512"/>
      <c r="M4" s="507"/>
      <c r="N4" s="510"/>
      <c r="O4" s="512"/>
      <c r="P4" s="506"/>
      <c r="Q4" s="507"/>
      <c r="R4" s="513"/>
      <c r="S4" s="514"/>
      <c r="T4" s="513"/>
      <c r="U4" s="514"/>
      <c r="V4" s="513"/>
      <c r="W4" s="514"/>
      <c r="X4" s="513"/>
      <c r="Y4" s="514"/>
      <c r="Z4" s="513"/>
      <c r="AA4" s="514"/>
      <c r="AB4" s="507"/>
      <c r="AC4" s="507"/>
    </row>
    <row r="5" spans="1:29" s="527" customFormat="1" x14ac:dyDescent="0.25">
      <c r="A5" s="515" t="s">
        <v>50</v>
      </c>
      <c r="B5" s="516" t="s">
        <v>36</v>
      </c>
      <c r="C5" s="516" t="s">
        <v>178</v>
      </c>
      <c r="D5" s="658"/>
      <c r="E5" s="517">
        <v>1</v>
      </c>
      <c r="F5" s="518">
        <f>VLOOKUP($A5,'Total Areas'!A:D,4,FALSE)</f>
        <v>21.967395184679404</v>
      </c>
      <c r="G5" s="519" t="s">
        <v>49</v>
      </c>
      <c r="H5" s="519" t="s">
        <v>232</v>
      </c>
      <c r="I5" s="520">
        <f>VLOOKUP($A5,'Additional Tables'!$A:$I,3,FALSE)</f>
        <v>0</v>
      </c>
      <c r="J5" s="521">
        <f>VLOOKUP($A5,'Additional Tables'!$A:$I,4,FALSE)</f>
        <v>7.375244404305926E-3</v>
      </c>
      <c r="K5" s="521">
        <f>VLOOKUP($A5,'Additional Tables'!$A:$I,5,FALSE)</f>
        <v>9.9000000000000008E-3</v>
      </c>
      <c r="L5" s="522">
        <f>VLOOKUP($A5,'Additional Tables'!$A:$I,6,FALSE)</f>
        <v>3.5999999999999999E-3</v>
      </c>
      <c r="M5" s="520">
        <f>VLOOKUP($A5,'Additional Tables'!$A:$I,7,FALSE)</f>
        <v>0</v>
      </c>
      <c r="N5" s="521">
        <f>VLOOKUP($A5,'Additional Tables'!$A:$I,8,FALSE)</f>
        <v>7.5276630954452467E-3</v>
      </c>
      <c r="O5" s="522">
        <f>VLOOKUP($A5,'Additional Tables'!$A:$I,9,FALSE)</f>
        <v>4.6279841458284864E-3</v>
      </c>
      <c r="P5" s="523">
        <v>8.3141979940185715E-5</v>
      </c>
      <c r="Q5" s="520">
        <v>0</v>
      </c>
      <c r="R5" s="524">
        <v>9.8586787394160718E-5</v>
      </c>
      <c r="S5" s="525">
        <v>0</v>
      </c>
      <c r="T5" s="524">
        <v>1.7576162805018794E-5</v>
      </c>
      <c r="U5" s="525">
        <v>0</v>
      </c>
      <c r="V5" s="524">
        <v>9.4127446857543429E-6</v>
      </c>
      <c r="W5" s="525">
        <v>0</v>
      </c>
      <c r="X5" s="524">
        <v>6.0624276822017621E-5</v>
      </c>
      <c r="Y5" s="525">
        <v>0</v>
      </c>
      <c r="Z5" s="524">
        <v>1.0126726696731411E-5</v>
      </c>
      <c r="AA5" s="525">
        <v>0</v>
      </c>
      <c r="AB5" s="520">
        <v>6.0936189030176299E-5</v>
      </c>
      <c r="AC5" s="526">
        <v>0</v>
      </c>
    </row>
    <row r="6" spans="1:29" s="527" customFormat="1" x14ac:dyDescent="0.25">
      <c r="A6" s="515" t="s">
        <v>88</v>
      </c>
      <c r="B6" s="516" t="s">
        <v>36</v>
      </c>
      <c r="C6" s="516" t="s">
        <v>178</v>
      </c>
      <c r="D6" s="658"/>
      <c r="E6" s="517">
        <v>0</v>
      </c>
      <c r="F6" s="518">
        <f>VLOOKUP($A6,'Total Areas'!A:D,4,FALSE)</f>
        <v>9.8591332767577313</v>
      </c>
      <c r="G6" s="519" t="s">
        <v>49</v>
      </c>
      <c r="H6" s="519" t="s">
        <v>136</v>
      </c>
      <c r="I6" s="520">
        <f>VLOOKUP($A6,'Additional Tables'!$A:$I,3,FALSE)</f>
        <v>0</v>
      </c>
      <c r="J6" s="521">
        <f>VLOOKUP($A6,'Additional Tables'!$A:$I,4,FALSE)</f>
        <v>0</v>
      </c>
      <c r="K6" s="521">
        <f>VLOOKUP($A6,'Additional Tables'!$A:$I,5,FALSE)</f>
        <v>1E-4</v>
      </c>
      <c r="L6" s="522">
        <f>VLOOKUP($A6,'Additional Tables'!$A:$I,6,FALSE)</f>
        <v>0</v>
      </c>
      <c r="M6" s="520">
        <f>VLOOKUP($A6,'Additional Tables'!$A:$I,7,FALSE)</f>
        <v>0</v>
      </c>
      <c r="N6" s="521">
        <f>VLOOKUP($A6,'Additional Tables'!$A:$I,8,FALSE)</f>
        <v>0</v>
      </c>
      <c r="O6" s="522">
        <f>VLOOKUP($A6,'Additional Tables'!$A:$I,9,FALSE)</f>
        <v>2.7166288425656961E-5</v>
      </c>
      <c r="P6" s="523">
        <v>1.3033617258764298E-4</v>
      </c>
      <c r="Q6" s="520">
        <v>4.8843726594775896E-6</v>
      </c>
      <c r="R6" s="524">
        <v>1.0190841257727103E-4</v>
      </c>
      <c r="S6" s="525">
        <v>1.8873280089863311E-4</v>
      </c>
      <c r="T6" s="524">
        <v>3.1938288878380992E-5</v>
      </c>
      <c r="U6" s="525">
        <v>2.5079088718830184E-9</v>
      </c>
      <c r="V6" s="524">
        <v>4.0569472679301012E-6</v>
      </c>
      <c r="W6" s="525">
        <v>4.9853666453391678E-5</v>
      </c>
      <c r="X6" s="524">
        <v>1.0461537720600035E-5</v>
      </c>
      <c r="Y6" s="525">
        <v>0</v>
      </c>
      <c r="Z6" s="524">
        <v>4.7383576117793171E-5</v>
      </c>
      <c r="AA6" s="525">
        <v>3.3958841383496264E-5</v>
      </c>
      <c r="AB6" s="520">
        <v>3.8331822708062352E-4</v>
      </c>
      <c r="AC6" s="526">
        <v>5.7287081670434557E-5</v>
      </c>
    </row>
    <row r="7" spans="1:29" s="527" customFormat="1" x14ac:dyDescent="0.25">
      <c r="A7" s="515" t="s">
        <v>91</v>
      </c>
      <c r="B7" s="516" t="s">
        <v>36</v>
      </c>
      <c r="C7" s="516" t="s">
        <v>178</v>
      </c>
      <c r="D7" s="658"/>
      <c r="E7" s="517">
        <v>1</v>
      </c>
      <c r="F7" s="518">
        <f>VLOOKUP($A7,'Total Areas'!A:D,4,FALSE)</f>
        <v>2.4673660862597364</v>
      </c>
      <c r="G7" s="528" t="s">
        <v>49</v>
      </c>
      <c r="H7" s="519" t="s">
        <v>232</v>
      </c>
      <c r="I7" s="520">
        <f>VLOOKUP($A7,'Additional Tables'!$A:$I,3,FALSE)</f>
        <v>0</v>
      </c>
      <c r="J7" s="521">
        <f>VLOOKUP($A7,'Additional Tables'!$A:$I,4,FALSE)</f>
        <v>1.3833083750653401E-3</v>
      </c>
      <c r="K7" s="521">
        <f>VLOOKUP($A7,'Additional Tables'!$A:$I,5,FALSE)</f>
        <v>1.4E-3</v>
      </c>
      <c r="L7" s="522">
        <f>VLOOKUP($A7,'Additional Tables'!$A:$I,6,FALSE)</f>
        <v>5.0000000000000001E-4</v>
      </c>
      <c r="M7" s="520">
        <f>VLOOKUP($A7,'Additional Tables'!$A:$I,7,FALSE)</f>
        <v>0</v>
      </c>
      <c r="N7" s="521">
        <f>VLOOKUP($A7,'Additional Tables'!$A:$I,8,FALSE)</f>
        <v>1.4118961804872761E-3</v>
      </c>
      <c r="O7" s="522">
        <f>VLOOKUP($A7,'Additional Tables'!$A:$I,9,FALSE)</f>
        <v>5.3328961042034887E-4</v>
      </c>
      <c r="P7" s="523">
        <v>2.1799478263706472E-4</v>
      </c>
      <c r="Q7" s="520">
        <v>0</v>
      </c>
      <c r="R7" s="524">
        <v>2.1680439160428979E-4</v>
      </c>
      <c r="S7" s="525">
        <v>6.1899999999999987E-4</v>
      </c>
      <c r="T7" s="524">
        <v>3.0785593420321824E-5</v>
      </c>
      <c r="U7" s="525">
        <v>1.12E-4</v>
      </c>
      <c r="V7" s="524">
        <v>8.2085645010181582E-6</v>
      </c>
      <c r="W7" s="525">
        <v>0</v>
      </c>
      <c r="X7" s="524">
        <v>1.0149573959700067E-5</v>
      </c>
      <c r="Y7" s="525">
        <v>0</v>
      </c>
      <c r="Z7" s="524">
        <v>4.7318182848889008E-5</v>
      </c>
      <c r="AA7" s="525">
        <v>4.3100000000000001E-4</v>
      </c>
      <c r="AB7" s="520">
        <v>1.3560765332511695E-4</v>
      </c>
      <c r="AC7" s="526">
        <v>0</v>
      </c>
    </row>
    <row r="8" spans="1:29" s="527" customFormat="1" x14ac:dyDescent="0.25">
      <c r="A8" s="515" t="s">
        <v>43</v>
      </c>
      <c r="B8" s="516" t="s">
        <v>36</v>
      </c>
      <c r="C8" s="516" t="s">
        <v>178</v>
      </c>
      <c r="D8" s="658"/>
      <c r="E8" s="517">
        <v>0</v>
      </c>
      <c r="F8" s="518">
        <f>VLOOKUP($A8,'Total Areas'!A:D,4,FALSE)</f>
        <v>44.326556966859116</v>
      </c>
      <c r="G8" s="528" t="s">
        <v>49</v>
      </c>
      <c r="H8" s="519" t="s">
        <v>138</v>
      </c>
      <c r="I8" s="520">
        <f>VLOOKUP($A8,'Additional Tables'!$A:$I,3,FALSE)</f>
        <v>2.6258771237815844E-2</v>
      </c>
      <c r="J8" s="521">
        <f>VLOOKUP($A8,'Additional Tables'!$A:$I,4,FALSE)</f>
        <v>8.3175559812907161E-3</v>
      </c>
      <c r="K8" s="521">
        <f>VLOOKUP($A8,'Additional Tables'!$A:$I,5,FALSE)</f>
        <v>1.0999999999999999E-2</v>
      </c>
      <c r="L8" s="522">
        <f>VLOOKUP($A8,'Additional Tables'!$A:$I,6,FALSE)</f>
        <v>3.8E-3</v>
      </c>
      <c r="M8" s="520">
        <f>VLOOKUP($A8,'Additional Tables'!$A:$I,7,FALSE)</f>
        <v>2.4365440175406577E-2</v>
      </c>
      <c r="N8" s="521">
        <f>VLOOKUP($A8,'Additional Tables'!$A:$I,8,FALSE)</f>
        <v>8.3447397101575477E-3</v>
      </c>
      <c r="O8" s="522">
        <f>VLOOKUP($A8,'Additional Tables'!$A:$I,9,FALSE)</f>
        <v>6.1855439285629678E-3</v>
      </c>
      <c r="P8" s="523">
        <v>1.3144530289876195E-3</v>
      </c>
      <c r="Q8" s="520">
        <v>9.2974360395378262E-5</v>
      </c>
      <c r="R8" s="524">
        <v>1.004624490130282E-3</v>
      </c>
      <c r="S8" s="525">
        <v>2.2980290802519489E-4</v>
      </c>
      <c r="T8" s="524">
        <v>3.2544461662673902E-4</v>
      </c>
      <c r="U8" s="525">
        <v>6.1926124068208401E-5</v>
      </c>
      <c r="V8" s="524">
        <v>1.7526494955152398E-4</v>
      </c>
      <c r="W8" s="525">
        <v>1.5091021297474605E-4</v>
      </c>
      <c r="X8" s="524">
        <v>1.2774121981407715E-3</v>
      </c>
      <c r="Y8" s="525">
        <v>0</v>
      </c>
      <c r="Z8" s="524">
        <v>2.2600971897664097E-4</v>
      </c>
      <c r="AA8" s="525">
        <v>1.5356544856777126E-4</v>
      </c>
      <c r="AB8" s="520">
        <v>1.9844474662463179E-3</v>
      </c>
      <c r="AC8" s="526">
        <v>1.2862824112943826E-4</v>
      </c>
    </row>
    <row r="9" spans="1:29" s="527" customFormat="1" x14ac:dyDescent="0.25">
      <c r="A9" s="515" t="s">
        <v>44</v>
      </c>
      <c r="B9" s="516" t="s">
        <v>36</v>
      </c>
      <c r="C9" s="516" t="s">
        <v>178</v>
      </c>
      <c r="D9" s="658"/>
      <c r="E9" s="517">
        <v>0</v>
      </c>
      <c r="F9" s="518">
        <f>VLOOKUP($A9,'Total Areas'!A:D,4,FALSE)</f>
        <v>42.834713294685194</v>
      </c>
      <c r="G9" s="528" t="s">
        <v>49</v>
      </c>
      <c r="H9" s="519" t="s">
        <v>138</v>
      </c>
      <c r="I9" s="520">
        <f>VLOOKUP($A9,'Additional Tables'!$A:$I,3,FALSE)</f>
        <v>2.3312023258311793E-2</v>
      </c>
      <c r="J9" s="521">
        <f>VLOOKUP($A9,'Additional Tables'!$A:$I,4,FALSE)</f>
        <v>1.0864374480181446E-2</v>
      </c>
      <c r="K9" s="521">
        <f>VLOOKUP($A9,'Additional Tables'!$A:$I,5,FALSE)</f>
        <v>1.1299999999999999E-2</v>
      </c>
      <c r="L9" s="522">
        <f>VLOOKUP($A9,'Additional Tables'!$A:$I,6,FALSE)</f>
        <v>3.8999999999999998E-3</v>
      </c>
      <c r="M9" s="520">
        <f>VLOOKUP($A9,'Additional Tables'!$A:$I,7,FALSE)</f>
        <v>0</v>
      </c>
      <c r="N9" s="521">
        <f>VLOOKUP($A9,'Additional Tables'!$A:$I,8,FALSE)</f>
        <v>1.0875236605591579E-2</v>
      </c>
      <c r="O9" s="522">
        <f>VLOOKUP($A9,'Additional Tables'!$A:$I,9,FALSE)</f>
        <v>6.1950472271423661E-3</v>
      </c>
      <c r="P9" s="523">
        <v>1.3537449769620237E-3</v>
      </c>
      <c r="Q9" s="520">
        <v>1.6735030514654361E-3</v>
      </c>
      <c r="R9" s="524">
        <v>1.2252845708280165E-3</v>
      </c>
      <c r="S9" s="525">
        <v>4.6440086915880826E-3</v>
      </c>
      <c r="T9" s="524">
        <v>3.3648186524543272E-4</v>
      </c>
      <c r="U9" s="525">
        <v>1.5035003979116358E-4</v>
      </c>
      <c r="V9" s="524">
        <v>1.543739115578342E-4</v>
      </c>
      <c r="W9" s="525">
        <v>4.0565892913538954E-4</v>
      </c>
      <c r="X9" s="524">
        <v>1.4552889666392356E-3</v>
      </c>
      <c r="Y9" s="525">
        <v>7.4065099952291269E-3</v>
      </c>
      <c r="Z9" s="524">
        <v>1.5930859149963249E-4</v>
      </c>
      <c r="AA9" s="525">
        <v>2.3062902198453319E-3</v>
      </c>
      <c r="AB9" s="520">
        <v>1.6101247045954364E-3</v>
      </c>
      <c r="AC9" s="526">
        <v>5.2980185467909214E-3</v>
      </c>
    </row>
    <row r="10" spans="1:29" s="527" customFormat="1" x14ac:dyDescent="0.25">
      <c r="A10" s="515" t="s">
        <v>54</v>
      </c>
      <c r="B10" s="516" t="s">
        <v>36</v>
      </c>
      <c r="C10" s="516" t="s">
        <v>178</v>
      </c>
      <c r="D10" s="658"/>
      <c r="E10" s="517">
        <v>0</v>
      </c>
      <c r="F10" s="518">
        <f>VLOOKUP($A10,'Total Areas'!A:D,4,FALSE)</f>
        <v>26.419693492351392</v>
      </c>
      <c r="G10" s="519" t="s">
        <v>49</v>
      </c>
      <c r="H10" s="519" t="s">
        <v>138</v>
      </c>
      <c r="I10" s="520">
        <f>VLOOKUP($A10,'Additional Tables'!$A:$I,3,FALSE)</f>
        <v>7.2466003431181239E-3</v>
      </c>
      <c r="J10" s="521">
        <f>VLOOKUP($A10,'Additional Tables'!$A:$I,4,FALSE)</f>
        <v>1.9935012711436544E-3</v>
      </c>
      <c r="K10" s="521">
        <f>VLOOKUP($A10,'Additional Tables'!$A:$I,5,FALSE)</f>
        <v>5.7000000000000002E-3</v>
      </c>
      <c r="L10" s="522">
        <f>VLOOKUP($A10,'Additional Tables'!$A:$I,6,FALSE)</f>
        <v>1.6999999999999999E-3</v>
      </c>
      <c r="M10" s="520">
        <f>VLOOKUP($A10,'Additional Tables'!$A:$I,7,FALSE)</f>
        <v>1.7614734244438508E-2</v>
      </c>
      <c r="N10" s="521">
        <f>VLOOKUP($A10,'Additional Tables'!$A:$I,8,FALSE)</f>
        <v>2.0115981318000044E-3</v>
      </c>
      <c r="O10" s="522">
        <f>VLOOKUP($A10,'Additional Tables'!$A:$I,9,FALSE)</f>
        <v>3.3577460801656731E-3</v>
      </c>
      <c r="P10" s="523">
        <v>1.5524950620960344E-4</v>
      </c>
      <c r="Q10" s="520">
        <v>6.8398544197278898E-3</v>
      </c>
      <c r="R10" s="524">
        <v>1.4992066381251982E-4</v>
      </c>
      <c r="S10" s="525">
        <v>3.4589908257031776E-3</v>
      </c>
      <c r="T10" s="524">
        <v>4.0563712615533319E-5</v>
      </c>
      <c r="U10" s="525">
        <v>6.406746880287763E-5</v>
      </c>
      <c r="V10" s="524">
        <v>5.3025355198248115E-5</v>
      </c>
      <c r="W10" s="525">
        <v>2.0055346948730923E-4</v>
      </c>
      <c r="X10" s="524">
        <v>2.4566757992811798E-4</v>
      </c>
      <c r="Y10" s="525">
        <v>1.4605998829289009E-3</v>
      </c>
      <c r="Z10" s="524">
        <v>1.6670114616414756E-5</v>
      </c>
      <c r="AA10" s="525">
        <v>1.4327195512429606E-3</v>
      </c>
      <c r="AB10" s="520">
        <v>1.4557742013660279E-4</v>
      </c>
      <c r="AC10" s="526">
        <v>8.5309496793610461E-3</v>
      </c>
    </row>
    <row r="11" spans="1:29" s="527" customFormat="1" x14ac:dyDescent="0.25">
      <c r="A11" s="515" t="s">
        <v>47</v>
      </c>
      <c r="B11" s="516" t="s">
        <v>36</v>
      </c>
      <c r="C11" s="516" t="s">
        <v>178</v>
      </c>
      <c r="D11" s="658"/>
      <c r="E11" s="517">
        <v>1</v>
      </c>
      <c r="F11" s="518">
        <f>VLOOKUP($A11,'Total Areas'!A:D,4,FALSE)</f>
        <v>72.39463672800774</v>
      </c>
      <c r="G11" s="528" t="s">
        <v>49</v>
      </c>
      <c r="H11" s="519" t="s">
        <v>138</v>
      </c>
      <c r="I11" s="520">
        <f>VLOOKUP($A11,'Additional Tables'!$A:$I,3,FALSE)</f>
        <v>1.8000161867181334E-2</v>
      </c>
      <c r="J11" s="521">
        <f>VLOOKUP($A11,'Additional Tables'!$A:$I,4,FALSE)</f>
        <v>1.0713643031712045E-2</v>
      </c>
      <c r="K11" s="521">
        <f>VLOOKUP($A11,'Additional Tables'!$A:$I,5,FALSE)</f>
        <v>1.4E-2</v>
      </c>
      <c r="L11" s="522">
        <f>VLOOKUP($A11,'Additional Tables'!$A:$I,6,FALSE)</f>
        <v>1.4E-2</v>
      </c>
      <c r="M11" s="520">
        <f>VLOOKUP($A11,'Additional Tables'!$A:$I,7,FALSE)</f>
        <v>0</v>
      </c>
      <c r="N11" s="521">
        <f>VLOOKUP($A11,'Additional Tables'!$A:$I,8,FALSE)</f>
        <v>1.0246417234873509E-2</v>
      </c>
      <c r="O11" s="522">
        <f>VLOOKUP($A11,'Additional Tables'!$A:$I,9,FALSE)</f>
        <v>2.6180577762546335E-3</v>
      </c>
      <c r="P11" s="523">
        <v>3.5323352944959343E-4</v>
      </c>
      <c r="Q11" s="520">
        <v>6.0003428461820572E-3</v>
      </c>
      <c r="R11" s="524">
        <v>8.9638076359388496E-5</v>
      </c>
      <c r="S11" s="525">
        <v>4.2114933726788897E-3</v>
      </c>
      <c r="T11" s="524">
        <v>1.1141242827834658E-4</v>
      </c>
      <c r="U11" s="525">
        <v>1.9834449888090897E-3</v>
      </c>
      <c r="V11" s="524">
        <v>3.4766004441866389E-5</v>
      </c>
      <c r="W11" s="525">
        <v>1.1947108725105986E-3</v>
      </c>
      <c r="X11" s="524">
        <v>9.2332711798483771E-5</v>
      </c>
      <c r="Y11" s="525">
        <v>0</v>
      </c>
      <c r="Z11" s="524">
        <v>5.7822425569002594E-5</v>
      </c>
      <c r="AA11" s="525">
        <v>2.7847245607540319E-3</v>
      </c>
      <c r="AB11" s="520">
        <v>4.945383972110492E-4</v>
      </c>
      <c r="AC11" s="526">
        <v>7.0500029372698178E-3</v>
      </c>
    </row>
    <row r="12" spans="1:29" s="527" customFormat="1" x14ac:dyDescent="0.25">
      <c r="A12" s="515" t="s">
        <v>82</v>
      </c>
      <c r="B12" s="516" t="s">
        <v>36</v>
      </c>
      <c r="C12" s="516" t="s">
        <v>179</v>
      </c>
      <c r="D12" s="658"/>
      <c r="E12" s="517">
        <v>1</v>
      </c>
      <c r="F12" s="518">
        <f>VLOOKUP($A12,'Total Areas'!A:D,4,FALSE)</f>
        <v>17.751540612442341</v>
      </c>
      <c r="G12" s="519" t="s">
        <v>49</v>
      </c>
      <c r="H12" s="519" t="s">
        <v>165</v>
      </c>
      <c r="I12" s="786" t="s">
        <v>221</v>
      </c>
      <c r="J12" s="787"/>
      <c r="K12" s="787"/>
      <c r="L12" s="787"/>
      <c r="M12" s="787"/>
      <c r="N12" s="787"/>
      <c r="O12" s="788"/>
      <c r="P12" s="523"/>
      <c r="Q12" s="520"/>
      <c r="R12" s="524"/>
      <c r="S12" s="525"/>
      <c r="T12" s="524"/>
      <c r="U12" s="525"/>
      <c r="V12" s="524"/>
      <c r="W12" s="525"/>
      <c r="X12" s="524"/>
      <c r="Y12" s="525"/>
      <c r="Z12" s="524"/>
      <c r="AA12" s="525"/>
      <c r="AB12" s="520"/>
      <c r="AC12" s="526"/>
    </row>
    <row r="13" spans="1:29" s="527" customFormat="1" ht="15.75" thickBot="1" x14ac:dyDescent="0.3">
      <c r="A13" s="515" t="s">
        <v>48</v>
      </c>
      <c r="B13" s="516" t="s">
        <v>36</v>
      </c>
      <c r="C13" s="516" t="s">
        <v>179</v>
      </c>
      <c r="D13" s="659"/>
      <c r="E13" s="529">
        <v>1</v>
      </c>
      <c r="F13" s="518">
        <f>VLOOKUP($A13,'Total Areas'!A:D,4,FALSE)</f>
        <v>88.747147779287715</v>
      </c>
      <c r="G13" s="519" t="s">
        <v>49</v>
      </c>
      <c r="H13" s="519" t="s">
        <v>138</v>
      </c>
      <c r="I13" s="520">
        <f>VLOOKUP($A13,'Additional Tables'!$A:$I,3,FALSE)</f>
        <v>7.4216109788590098E-3</v>
      </c>
      <c r="J13" s="521">
        <f>VLOOKUP($A13,'Additional Tables'!$A:$I,4,FALSE)</f>
        <v>1.6917032615144462E-2</v>
      </c>
      <c r="K13" s="521">
        <f>VLOOKUP($A13,'Additional Tables'!$A:$I,5,FALSE)</f>
        <v>1.5299999999999999E-2</v>
      </c>
      <c r="L13" s="522">
        <f>VLOOKUP($A13,'Additional Tables'!$A:$I,6,FALSE)</f>
        <v>1.6799999999999999E-2</v>
      </c>
      <c r="M13" s="520">
        <f>VLOOKUP($A13,'Additional Tables'!$A:$I,7,FALSE)</f>
        <v>0</v>
      </c>
      <c r="N13" s="521">
        <f>VLOOKUP($A13,'Additional Tables'!$A:$I,8,FALSE)</f>
        <v>1.726664434701549E-2</v>
      </c>
      <c r="O13" s="522">
        <f>VLOOKUP($A13,'Additional Tables'!$A:$I,9,FALSE)</f>
        <v>3.4189332957627098E-3</v>
      </c>
      <c r="P13" s="523">
        <v>4.4279639579741245E-3</v>
      </c>
      <c r="Q13" s="520">
        <v>2.8782714398642841E-4</v>
      </c>
      <c r="R13" s="524">
        <v>2.7954784980329175E-3</v>
      </c>
      <c r="S13" s="525">
        <v>2.8118281770888345E-4</v>
      </c>
      <c r="T13" s="524">
        <v>7.0271363160634972E-3</v>
      </c>
      <c r="U13" s="525">
        <v>1.8269016771778801E-4</v>
      </c>
      <c r="V13" s="524">
        <v>8.713238226915243E-4</v>
      </c>
      <c r="W13" s="525">
        <v>2.2082022068914268E-4</v>
      </c>
      <c r="X13" s="524">
        <v>2.2847939643964072E-3</v>
      </c>
      <c r="Y13" s="525">
        <v>0</v>
      </c>
      <c r="Z13" s="524">
        <v>1.9327011404680536E-3</v>
      </c>
      <c r="AA13" s="525">
        <v>0</v>
      </c>
      <c r="AB13" s="520">
        <v>1.1628937240355375E-2</v>
      </c>
      <c r="AC13" s="526">
        <v>0</v>
      </c>
    </row>
    <row r="14" spans="1:29" s="527" customFormat="1" x14ac:dyDescent="0.25">
      <c r="A14" s="530"/>
      <c r="B14" s="531"/>
      <c r="C14" s="531"/>
      <c r="D14" s="531">
        <f>COUNTIF(D5:D13,"=X")</f>
        <v>0</v>
      </c>
      <c r="E14" s="532">
        <f>COUNTIF(E5:E13,"&gt;0")</f>
        <v>5</v>
      </c>
      <c r="F14" s="533">
        <f>SUMIF(E5:E13,"&gt;=1",F5:F13)</f>
        <v>203.32808639067696</v>
      </c>
      <c r="G14" s="532"/>
      <c r="H14" s="532"/>
      <c r="I14" s="534">
        <f t="shared" ref="I14:AC14" si="0">SUMIF($E$5:$E$13,"&gt;=1",I5:I13)</f>
        <v>2.5421772846040344E-2</v>
      </c>
      <c r="J14" s="535">
        <f t="shared" si="0"/>
        <v>3.6389228426227771E-2</v>
      </c>
      <c r="K14" s="535">
        <f t="shared" si="0"/>
        <v>4.0600000000000004E-2</v>
      </c>
      <c r="L14" s="536">
        <f t="shared" si="0"/>
        <v>3.49E-2</v>
      </c>
      <c r="M14" s="534">
        <f t="shared" si="0"/>
        <v>0</v>
      </c>
      <c r="N14" s="535">
        <f t="shared" si="0"/>
        <v>3.645262085782152E-2</v>
      </c>
      <c r="O14" s="536">
        <f t="shared" si="0"/>
        <v>1.1198264828266179E-2</v>
      </c>
      <c r="P14" s="537">
        <f t="shared" si="0"/>
        <v>5.0823342500009687E-3</v>
      </c>
      <c r="Q14" s="534">
        <f t="shared" si="0"/>
        <v>6.288169990168486E-3</v>
      </c>
      <c r="R14" s="538">
        <f t="shared" si="0"/>
        <v>3.2005077533907565E-3</v>
      </c>
      <c r="S14" s="539">
        <f t="shared" si="0"/>
        <v>5.1116761903877731E-3</v>
      </c>
      <c r="T14" s="538">
        <f t="shared" si="0"/>
        <v>7.1869105005671844E-3</v>
      </c>
      <c r="U14" s="539">
        <f t="shared" si="0"/>
        <v>2.278135156526878E-3</v>
      </c>
      <c r="V14" s="538">
        <f t="shared" si="0"/>
        <v>9.2371113632016319E-4</v>
      </c>
      <c r="W14" s="539">
        <f t="shared" si="0"/>
        <v>1.4155310931997411E-3</v>
      </c>
      <c r="X14" s="538">
        <f t="shared" si="0"/>
        <v>2.4479005269766084E-3</v>
      </c>
      <c r="Y14" s="539">
        <f t="shared" si="0"/>
        <v>0</v>
      </c>
      <c r="Z14" s="538">
        <f t="shared" si="0"/>
        <v>2.0479684755826768E-3</v>
      </c>
      <c r="AA14" s="539">
        <f t="shared" si="0"/>
        <v>3.2157245607540319E-3</v>
      </c>
      <c r="AB14" s="534">
        <f t="shared" si="0"/>
        <v>1.2320019479921718E-2</v>
      </c>
      <c r="AC14" s="540">
        <f t="shared" si="0"/>
        <v>7.0500029372698178E-3</v>
      </c>
    </row>
    <row r="15" spans="1:29" s="527" customFormat="1" ht="15.75" thickBot="1" x14ac:dyDescent="0.3">
      <c r="A15" s="515"/>
      <c r="B15" s="516"/>
      <c r="C15" s="516"/>
      <c r="D15" s="516"/>
      <c r="E15" s="541"/>
      <c r="F15" s="518"/>
      <c r="G15" s="519"/>
      <c r="H15" s="519"/>
      <c r="I15" s="520"/>
      <c r="J15" s="521"/>
      <c r="K15" s="521"/>
      <c r="L15" s="522"/>
      <c r="M15" s="520"/>
      <c r="N15" s="521"/>
      <c r="O15" s="522"/>
      <c r="P15" s="523"/>
      <c r="Q15" s="520"/>
      <c r="R15" s="524"/>
      <c r="S15" s="525"/>
      <c r="T15" s="524"/>
      <c r="U15" s="525"/>
      <c r="V15" s="524"/>
      <c r="W15" s="525"/>
      <c r="X15" s="524"/>
      <c r="Y15" s="525"/>
      <c r="Z15" s="524"/>
      <c r="AA15" s="525"/>
      <c r="AB15" s="520"/>
      <c r="AC15" s="526"/>
    </row>
    <row r="16" spans="1:29" s="527" customFormat="1" ht="15.75" thickBot="1" x14ac:dyDescent="0.3">
      <c r="A16" s="542" t="s">
        <v>74</v>
      </c>
      <c r="B16" s="543"/>
      <c r="C16" s="543"/>
      <c r="D16" s="544" t="s">
        <v>202</v>
      </c>
      <c r="E16" s="509" t="s">
        <v>89</v>
      </c>
      <c r="F16" s="545"/>
      <c r="G16" s="546"/>
      <c r="H16" s="546"/>
      <c r="I16" s="543"/>
      <c r="J16" s="545"/>
      <c r="K16" s="545"/>
      <c r="L16" s="547"/>
      <c r="M16" s="543"/>
      <c r="N16" s="545"/>
      <c r="O16" s="547"/>
      <c r="P16" s="542"/>
      <c r="Q16" s="543"/>
      <c r="R16" s="548"/>
      <c r="S16" s="549"/>
      <c r="T16" s="548"/>
      <c r="U16" s="549"/>
      <c r="V16" s="548"/>
      <c r="W16" s="549"/>
      <c r="X16" s="548"/>
      <c r="Y16" s="549"/>
      <c r="Z16" s="548"/>
      <c r="AA16" s="549"/>
      <c r="AB16" s="543"/>
      <c r="AC16" s="546"/>
    </row>
    <row r="17" spans="1:29" s="527" customFormat="1" x14ac:dyDescent="0.25">
      <c r="A17" s="550" t="s">
        <v>23</v>
      </c>
      <c r="B17" s="551" t="s">
        <v>24</v>
      </c>
      <c r="C17" s="551" t="s">
        <v>24</v>
      </c>
      <c r="D17" s="660" t="s">
        <v>127</v>
      </c>
      <c r="E17" s="552">
        <v>0</v>
      </c>
      <c r="F17" s="518">
        <f>VLOOKUP($A17,'Total Areas'!A:D,4,FALSE)</f>
        <v>25.486774331916184</v>
      </c>
      <c r="G17" s="528" t="s">
        <v>46</v>
      </c>
      <c r="H17" s="519" t="s">
        <v>136</v>
      </c>
      <c r="I17" s="553">
        <f>VLOOKUP($A17,'Additional Tables'!$A:$I,3,FALSE)</f>
        <v>0</v>
      </c>
      <c r="J17" s="554">
        <f>VLOOKUP($A17,'Additional Tables'!$A:$I,4,FALSE)</f>
        <v>9.2328296866663344E-4</v>
      </c>
      <c r="K17" s="554">
        <f>VLOOKUP($A17,'Additional Tables'!$A:$I,5,FALSE)</f>
        <v>2.8E-3</v>
      </c>
      <c r="L17" s="555">
        <f>VLOOKUP($A17,'Additional Tables'!$A:$I,6,FALSE)</f>
        <v>6.3E-3</v>
      </c>
      <c r="M17" s="553">
        <f>VLOOKUP($A17,'Additional Tables'!$A:$I,7,FALSE)</f>
        <v>0</v>
      </c>
      <c r="N17" s="554">
        <f>VLOOKUP($A17,'Additional Tables'!$A:$I,8,FALSE)</f>
        <v>9.4236377113512319E-4</v>
      </c>
      <c r="O17" s="555">
        <f>VLOOKUP($A17,'Additional Tables'!$A:$I,9,FALSE)</f>
        <v>3.1344071759555059E-3</v>
      </c>
      <c r="P17" s="556" t="s">
        <v>26</v>
      </c>
      <c r="Q17" s="551" t="s">
        <v>26</v>
      </c>
      <c r="R17" s="557" t="s">
        <v>26</v>
      </c>
      <c r="S17" s="558" t="s">
        <v>26</v>
      </c>
      <c r="T17" s="557" t="s">
        <v>26</v>
      </c>
      <c r="U17" s="558" t="s">
        <v>26</v>
      </c>
      <c r="V17" s="557" t="s">
        <v>26</v>
      </c>
      <c r="W17" s="558" t="s">
        <v>26</v>
      </c>
      <c r="X17" s="557" t="s">
        <v>26</v>
      </c>
      <c r="Y17" s="558" t="s">
        <v>26</v>
      </c>
      <c r="Z17" s="557" t="s">
        <v>26</v>
      </c>
      <c r="AA17" s="558" t="s">
        <v>26</v>
      </c>
      <c r="AB17" s="551" t="s">
        <v>26</v>
      </c>
      <c r="AC17" s="528" t="s">
        <v>26</v>
      </c>
    </row>
    <row r="18" spans="1:29" s="527" customFormat="1" x14ac:dyDescent="0.25">
      <c r="A18" s="515" t="s">
        <v>35</v>
      </c>
      <c r="B18" s="516" t="s">
        <v>36</v>
      </c>
      <c r="C18" s="516" t="s">
        <v>178</v>
      </c>
      <c r="D18" s="658"/>
      <c r="E18" s="517">
        <v>0</v>
      </c>
      <c r="F18" s="518">
        <f>VLOOKUP($A18,'Total Areas'!A:D,4,FALSE)</f>
        <v>13.417064810277948</v>
      </c>
      <c r="G18" s="528" t="s">
        <v>46</v>
      </c>
      <c r="H18" s="519" t="s">
        <v>138</v>
      </c>
      <c r="I18" s="520">
        <f>VLOOKUP($A18,'Additional Tables'!$A:$I,3,FALSE)</f>
        <v>3.5841841015437137E-2</v>
      </c>
      <c r="J18" s="521">
        <f>VLOOKUP($A18,'Additional Tables'!$A:$I,4,FALSE)</f>
        <v>5.5361620067146729E-3</v>
      </c>
      <c r="K18" s="521">
        <f>VLOOKUP($A18,'Additional Tables'!$A:$I,5,FALSE)</f>
        <v>2.8999999999999998E-3</v>
      </c>
      <c r="L18" s="522">
        <f>VLOOKUP($A18,'Additional Tables'!$A:$I,6,FALSE)</f>
        <v>6.7999999999999996E-3</v>
      </c>
      <c r="M18" s="520">
        <f>VLOOKUP($A18,'Additional Tables'!$A:$I,7,FALSE)</f>
        <v>0</v>
      </c>
      <c r="N18" s="521">
        <f>VLOOKUP($A18,'Additional Tables'!$A:$I,8,FALSE)</f>
        <v>4.4366553983582347E-3</v>
      </c>
      <c r="O18" s="522">
        <f>VLOOKUP($A18,'Additional Tables'!$A:$I,9,FALSE)</f>
        <v>1.6260522249056295E-3</v>
      </c>
      <c r="P18" s="559">
        <v>1.4444696133024204E-3</v>
      </c>
      <c r="Q18" s="553">
        <v>1.2282683493022867E-4</v>
      </c>
      <c r="R18" s="524">
        <v>1.5823233007542493E-3</v>
      </c>
      <c r="S18" s="525">
        <v>1.9926522995928095E-5</v>
      </c>
      <c r="T18" s="524">
        <v>2.1734189320639159E-3</v>
      </c>
      <c r="U18" s="525">
        <v>2.1303542237543466E-4</v>
      </c>
      <c r="V18" s="524">
        <v>6.3671410977312172E-4</v>
      </c>
      <c r="W18" s="525">
        <v>1.6345531071758725E-4</v>
      </c>
      <c r="X18" s="524">
        <v>7.6787326155903254E-4</v>
      </c>
      <c r="Y18" s="525">
        <v>0</v>
      </c>
      <c r="Z18" s="524">
        <v>7.5589419135967128E-4</v>
      </c>
      <c r="AA18" s="525">
        <v>2.4745055640376154E-5</v>
      </c>
      <c r="AB18" s="520">
        <v>1.091462898938733E-3</v>
      </c>
      <c r="AC18" s="526">
        <v>5.84212048367083E-6</v>
      </c>
    </row>
    <row r="19" spans="1:29" s="527" customFormat="1" x14ac:dyDescent="0.25">
      <c r="A19" s="515" t="s">
        <v>37</v>
      </c>
      <c r="B19" s="516" t="s">
        <v>36</v>
      </c>
      <c r="C19" s="516" t="s">
        <v>178</v>
      </c>
      <c r="D19" s="658" t="s">
        <v>127</v>
      </c>
      <c r="E19" s="517">
        <v>0</v>
      </c>
      <c r="F19" s="518">
        <f>VLOOKUP($A19,'Total Areas'!A:D,4,FALSE)</f>
        <v>80.418562154362306</v>
      </c>
      <c r="G19" s="528" t="s">
        <v>46</v>
      </c>
      <c r="H19" s="519" t="s">
        <v>139</v>
      </c>
      <c r="I19" s="520">
        <f>VLOOKUP($A19,'Additional Tables'!$A:$I,3,FALSE)</f>
        <v>6.4687310241555218E-2</v>
      </c>
      <c r="J19" s="521">
        <f>VLOOKUP($A19,'Additional Tables'!$A:$I,4,FALSE)</f>
        <v>1.7232601910309175E-2</v>
      </c>
      <c r="K19" s="521">
        <f>VLOOKUP($A19,'Additional Tables'!$A:$I,5,FALSE)</f>
        <v>1.12E-2</v>
      </c>
      <c r="L19" s="522">
        <f>VLOOKUP($A19,'Additional Tables'!$A:$I,6,FALSE)</f>
        <v>2.1100000000000001E-2</v>
      </c>
      <c r="M19" s="520">
        <f>VLOOKUP($A19,'Additional Tables'!$A:$I,7,FALSE)</f>
        <v>1.8124201136746239E-2</v>
      </c>
      <c r="N19" s="521">
        <f>VLOOKUP($A19,'Additional Tables'!$A:$I,8,FALSE)</f>
        <v>1.716225229998582E-2</v>
      </c>
      <c r="O19" s="522">
        <f>VLOOKUP($A19,'Additional Tables'!$A:$I,9,FALSE)</f>
        <v>7.7847018352902144E-3</v>
      </c>
      <c r="P19" s="523">
        <v>5.7631818397120456E-3</v>
      </c>
      <c r="Q19" s="520">
        <v>3.6878505743676024E-3</v>
      </c>
      <c r="R19" s="524">
        <v>5.3090371759735994E-3</v>
      </c>
      <c r="S19" s="525">
        <v>3.6276253225512338E-3</v>
      </c>
      <c r="T19" s="524">
        <v>8.553861946232413E-3</v>
      </c>
      <c r="U19" s="525">
        <v>2.7713255903694712E-2</v>
      </c>
      <c r="V19" s="524">
        <v>2.2864828428566077E-3</v>
      </c>
      <c r="W19" s="525">
        <v>3.1609512545996525E-3</v>
      </c>
      <c r="X19" s="524">
        <v>2.5930635294169539E-3</v>
      </c>
      <c r="Y19" s="525">
        <v>0</v>
      </c>
      <c r="Z19" s="524">
        <v>3.008873359948947E-3</v>
      </c>
      <c r="AA19" s="525">
        <v>7.6060221928854962E-3</v>
      </c>
      <c r="AB19" s="520">
        <v>3.7319406541438983E-3</v>
      </c>
      <c r="AC19" s="526">
        <v>9.953384588475033E-4</v>
      </c>
    </row>
    <row r="20" spans="1:29" s="527" customFormat="1" x14ac:dyDescent="0.25">
      <c r="A20" s="556" t="s">
        <v>27</v>
      </c>
      <c r="B20" s="551" t="s">
        <v>24</v>
      </c>
      <c r="C20" s="551" t="s">
        <v>24</v>
      </c>
      <c r="D20" s="660"/>
      <c r="E20" s="517">
        <v>0</v>
      </c>
      <c r="F20" s="518">
        <f>VLOOKUP($A20,'Total Areas'!A:D,4,FALSE)</f>
        <v>73.893005735951661</v>
      </c>
      <c r="G20" s="528" t="s">
        <v>46</v>
      </c>
      <c r="H20" s="519" t="s">
        <v>140</v>
      </c>
      <c r="I20" s="553">
        <f>VLOOKUP($A20,'Additional Tables'!$A:$I,3,FALSE)</f>
        <v>9.157820544509257E-2</v>
      </c>
      <c r="J20" s="554">
        <f>VLOOKUP($A20,'Additional Tables'!$A:$I,4,FALSE)</f>
        <v>1.8471137919403705E-2</v>
      </c>
      <c r="K20" s="554">
        <f>VLOOKUP($A20,'Additional Tables'!$A:$I,5,FALSE)</f>
        <v>1.15E-2</v>
      </c>
      <c r="L20" s="555">
        <f>VLOOKUP($A20,'Additional Tables'!$A:$I,6,FALSE)</f>
        <v>2.8799999999999999E-2</v>
      </c>
      <c r="M20" s="553">
        <f>VLOOKUP($A20,'Additional Tables'!$A:$I,7,FALSE)</f>
        <v>1.2384987309052851E-2</v>
      </c>
      <c r="N20" s="554">
        <f>VLOOKUP($A20,'Additional Tables'!$A:$I,8,FALSE)</f>
        <v>1.6450305128848895E-2</v>
      </c>
      <c r="O20" s="555">
        <f>VLOOKUP($A20,'Additional Tables'!$A:$I,9,FALSE)</f>
        <v>7.8711438294803756E-3</v>
      </c>
      <c r="P20" s="556" t="s">
        <v>26</v>
      </c>
      <c r="Q20" s="551" t="s">
        <v>26</v>
      </c>
      <c r="R20" s="557" t="s">
        <v>26</v>
      </c>
      <c r="S20" s="558" t="s">
        <v>26</v>
      </c>
      <c r="T20" s="557" t="s">
        <v>26</v>
      </c>
      <c r="U20" s="558" t="s">
        <v>26</v>
      </c>
      <c r="V20" s="557" t="s">
        <v>26</v>
      </c>
      <c r="W20" s="558" t="s">
        <v>26</v>
      </c>
      <c r="X20" s="557" t="s">
        <v>26</v>
      </c>
      <c r="Y20" s="558" t="s">
        <v>26</v>
      </c>
      <c r="Z20" s="557" t="s">
        <v>26</v>
      </c>
      <c r="AA20" s="558" t="s">
        <v>26</v>
      </c>
      <c r="AB20" s="551" t="s">
        <v>26</v>
      </c>
      <c r="AC20" s="528" t="s">
        <v>26</v>
      </c>
    </row>
    <row r="21" spans="1:29" s="527" customFormat="1" x14ac:dyDescent="0.25">
      <c r="A21" s="515" t="s">
        <v>38</v>
      </c>
      <c r="B21" s="516" t="s">
        <v>36</v>
      </c>
      <c r="C21" s="516" t="s">
        <v>179</v>
      </c>
      <c r="D21" s="658" t="s">
        <v>127</v>
      </c>
      <c r="E21" s="517">
        <v>1</v>
      </c>
      <c r="F21" s="518">
        <f>VLOOKUP($A21,'Total Areas'!A:D,4,FALSE)</f>
        <v>80.586734010599585</v>
      </c>
      <c r="G21" s="528" t="s">
        <v>46</v>
      </c>
      <c r="H21" s="519" t="s">
        <v>140</v>
      </c>
      <c r="I21" s="520">
        <f>VLOOKUP($A21,'Additional Tables'!$A:$I,3,FALSE)</f>
        <v>0.20093369732318772</v>
      </c>
      <c r="J21" s="521">
        <f>VLOOKUP($A21,'Additional Tables'!$A:$I,4,FALSE)</f>
        <v>2.964646822264598E-2</v>
      </c>
      <c r="K21" s="521">
        <f>VLOOKUP($A21,'Additional Tables'!$A:$I,5,FALSE)</f>
        <v>1.52E-2</v>
      </c>
      <c r="L21" s="522">
        <f>VLOOKUP($A21,'Additional Tables'!$A:$I,6,FALSE)</f>
        <v>4.0300000000000002E-2</v>
      </c>
      <c r="M21" s="520">
        <f>VLOOKUP($A21,'Additional Tables'!$A:$I,7,FALSE)</f>
        <v>2.388484828528439E-2</v>
      </c>
      <c r="N21" s="521">
        <f>VLOOKUP($A21,'Additional Tables'!$A:$I,8,FALSE)</f>
        <v>2.4488808689957196E-2</v>
      </c>
      <c r="O21" s="522">
        <f>VLOOKUP($A21,'Additional Tables'!$A:$I,9,FALSE)</f>
        <v>9.3388820765534942E-3</v>
      </c>
      <c r="P21" s="523">
        <v>5.362074199240785E-3</v>
      </c>
      <c r="Q21" s="520">
        <v>3.912479555523804E-3</v>
      </c>
      <c r="R21" s="524">
        <v>5.8044364608171731E-3</v>
      </c>
      <c r="S21" s="525">
        <v>6.9218917184550263E-4</v>
      </c>
      <c r="T21" s="524">
        <v>8.899946817006418E-3</v>
      </c>
      <c r="U21" s="525">
        <v>4.9385844238086733E-3</v>
      </c>
      <c r="V21" s="524">
        <v>3.3374701773531473E-3</v>
      </c>
      <c r="W21" s="525">
        <v>2.1954833266963946E-3</v>
      </c>
      <c r="X21" s="524">
        <v>2.2775250370560404E-3</v>
      </c>
      <c r="Y21" s="525">
        <v>0</v>
      </c>
      <c r="Z21" s="524">
        <v>3.1764124371436086E-3</v>
      </c>
      <c r="AA21" s="525">
        <v>2.5178191523184189E-3</v>
      </c>
      <c r="AB21" s="520">
        <v>2.1270125862505643E-3</v>
      </c>
      <c r="AC21" s="526">
        <v>1.1611798991394051E-4</v>
      </c>
    </row>
    <row r="22" spans="1:29" s="527" customFormat="1" x14ac:dyDescent="0.25">
      <c r="A22" s="515" t="s">
        <v>39</v>
      </c>
      <c r="B22" s="516" t="s">
        <v>36</v>
      </c>
      <c r="C22" s="516" t="s">
        <v>180</v>
      </c>
      <c r="D22" s="658"/>
      <c r="E22" s="517">
        <v>0</v>
      </c>
      <c r="F22" s="518">
        <f>VLOOKUP($A22,'Total Areas'!A:D,4,FALSE)</f>
        <v>50.418970229565204</v>
      </c>
      <c r="G22" s="519" t="s">
        <v>46</v>
      </c>
      <c r="H22" s="519" t="s">
        <v>140</v>
      </c>
      <c r="I22" s="520">
        <f>VLOOKUP($A22,'Additional Tables'!$A:$I,3,FALSE)</f>
        <v>0.10080892275372581</v>
      </c>
      <c r="J22" s="521">
        <f>VLOOKUP($A22,'Additional Tables'!$A:$I,4,FALSE)</f>
        <v>1.0984078789672768E-2</v>
      </c>
      <c r="K22" s="521">
        <f>VLOOKUP($A22,'Additional Tables'!$A:$I,5,FALSE)</f>
        <v>8.0000000000000002E-3</v>
      </c>
      <c r="L22" s="522">
        <f>VLOOKUP($A22,'Additional Tables'!$A:$I,6,FALSE)</f>
        <v>2.07E-2</v>
      </c>
      <c r="M22" s="520">
        <f>VLOOKUP($A22,'Additional Tables'!$A:$I,7,FALSE)</f>
        <v>0.10140970640953867</v>
      </c>
      <c r="N22" s="521">
        <f>VLOOKUP($A22,'Additional Tables'!$A:$I,8,FALSE)</f>
        <v>8.750535939337464E-3</v>
      </c>
      <c r="O22" s="522">
        <f>VLOOKUP($A22,'Additional Tables'!$A:$I,9,FALSE)</f>
        <v>5.1158139167618915E-3</v>
      </c>
      <c r="P22" s="523">
        <v>3.0203143375307326E-3</v>
      </c>
      <c r="Q22" s="520">
        <v>4.2778213184857853E-4</v>
      </c>
      <c r="R22" s="524">
        <v>2.76080852612035E-3</v>
      </c>
      <c r="S22" s="525">
        <v>9.3444378503987276E-5</v>
      </c>
      <c r="T22" s="524">
        <v>5.9990248631423878E-3</v>
      </c>
      <c r="U22" s="525">
        <v>8.9448360744897291E-4</v>
      </c>
      <c r="V22" s="524">
        <v>1.9483394570412461E-3</v>
      </c>
      <c r="W22" s="525">
        <v>3.3007298383945255E-4</v>
      </c>
      <c r="X22" s="524">
        <v>1.090361512791209E-3</v>
      </c>
      <c r="Y22" s="525">
        <v>0</v>
      </c>
      <c r="Z22" s="524">
        <v>2.166355275204149E-3</v>
      </c>
      <c r="AA22" s="525">
        <v>3.2601896063358783E-4</v>
      </c>
      <c r="AB22" s="520">
        <v>7.9003477743369165E-4</v>
      </c>
      <c r="AC22" s="526">
        <v>0</v>
      </c>
    </row>
    <row r="23" spans="1:29" s="527" customFormat="1" x14ac:dyDescent="0.25">
      <c r="A23" s="515" t="s">
        <v>79</v>
      </c>
      <c r="B23" s="516" t="s">
        <v>36</v>
      </c>
      <c r="C23" s="516" t="s">
        <v>178</v>
      </c>
      <c r="D23" s="658"/>
      <c r="E23" s="517">
        <v>1</v>
      </c>
      <c r="F23" s="518">
        <f>VLOOKUP($A23,'Total Areas'!A:D,4,FALSE)</f>
        <v>26.813464936262818</v>
      </c>
      <c r="G23" s="519" t="s">
        <v>46</v>
      </c>
      <c r="H23" s="519" t="s">
        <v>139</v>
      </c>
      <c r="I23" s="520">
        <f>VLOOKUP($A23,'Additional Tables'!$A:$I,3,FALSE)</f>
        <v>2.6010354621621021E-2</v>
      </c>
      <c r="J23" s="521">
        <f>VLOOKUP($A23,'Additional Tables'!$A:$I,4,FALSE)</f>
        <v>9.8511084128178709E-3</v>
      </c>
      <c r="K23" s="521">
        <f>VLOOKUP($A23,'Additional Tables'!$A:$I,5,FALSE)</f>
        <v>4.1000000000000003E-3</v>
      </c>
      <c r="L23" s="522">
        <f>VLOOKUP($A23,'Additional Tables'!$A:$I,6,FALSE)</f>
        <v>8.8000000000000005E-3</v>
      </c>
      <c r="M23" s="520">
        <f>VLOOKUP($A23,'Additional Tables'!$A:$I,7,FALSE)</f>
        <v>7.0108250208441598E-3</v>
      </c>
      <c r="N23" s="521">
        <f>VLOOKUP($A23,'Additional Tables'!$A:$I,8,FALSE)</f>
        <v>9.9407085792971878E-3</v>
      </c>
      <c r="O23" s="522">
        <f>VLOOKUP($A23,'Additional Tables'!$A:$I,9,FALSE)</f>
        <v>2.595398859148387E-3</v>
      </c>
      <c r="P23" s="523">
        <v>6.8593347283572E-3</v>
      </c>
      <c r="Q23" s="520">
        <v>1.4460085115993659E-3</v>
      </c>
      <c r="R23" s="524">
        <v>7.7636209168669163E-3</v>
      </c>
      <c r="S23" s="525">
        <v>1.3891281767862457E-3</v>
      </c>
      <c r="T23" s="524">
        <v>8.3508727014654435E-3</v>
      </c>
      <c r="U23" s="525">
        <v>1.0767903382807826E-2</v>
      </c>
      <c r="V23" s="524">
        <v>1.5914410300340389E-3</v>
      </c>
      <c r="W23" s="525">
        <v>1.1676068728516044E-3</v>
      </c>
      <c r="X23" s="524">
        <v>3.983515909391969E-4</v>
      </c>
      <c r="Y23" s="525">
        <v>0</v>
      </c>
      <c r="Z23" s="524">
        <v>4.5938180960971246E-3</v>
      </c>
      <c r="AA23" s="525">
        <v>3.048497944287991E-3</v>
      </c>
      <c r="AB23" s="520">
        <v>4.60156093361526E-3</v>
      </c>
      <c r="AC23" s="526">
        <v>3.5736210353053209E-4</v>
      </c>
    </row>
    <row r="24" spans="1:29" s="527" customFormat="1" x14ac:dyDescent="0.25">
      <c r="A24" s="515" t="s">
        <v>42</v>
      </c>
      <c r="B24" s="516" t="s">
        <v>36</v>
      </c>
      <c r="C24" s="516" t="s">
        <v>178</v>
      </c>
      <c r="D24" s="658"/>
      <c r="E24" s="517">
        <v>0</v>
      </c>
      <c r="F24" s="518">
        <f>VLOOKUP($A24,'Total Areas'!A:D,4,FALSE)</f>
        <v>53.535572304011666</v>
      </c>
      <c r="G24" s="519" t="s">
        <v>46</v>
      </c>
      <c r="H24" s="519" t="s">
        <v>138</v>
      </c>
      <c r="I24" s="520">
        <f>VLOOKUP($A24,'Additional Tables'!$A:$I,3,FALSE)</f>
        <v>2.692293580761022E-2</v>
      </c>
      <c r="J24" s="521">
        <f>VLOOKUP($A24,'Additional Tables'!$A:$I,4,FALSE)</f>
        <v>6.9341242640449663E-3</v>
      </c>
      <c r="K24" s="521">
        <f>VLOOKUP($A24,'Additional Tables'!$A:$I,5,FALSE)</f>
        <v>5.1999999999999998E-3</v>
      </c>
      <c r="L24" s="522">
        <f>VLOOKUP($A24,'Additional Tables'!$A:$I,6,FALSE)</f>
        <v>1.0999999999999999E-2</v>
      </c>
      <c r="M24" s="520">
        <f>VLOOKUP($A24,'Additional Tables'!$A:$I,7,FALSE)</f>
        <v>1.4865169375056723E-3</v>
      </c>
      <c r="N24" s="521">
        <f>VLOOKUP($A24,'Additional Tables'!$A:$I,8,FALSE)</f>
        <v>6.3158811085847642E-3</v>
      </c>
      <c r="O24" s="522">
        <f>VLOOKUP($A24,'Additional Tables'!$A:$I,9,FALSE)</f>
        <v>3.0151303924913354E-3</v>
      </c>
      <c r="P24" s="523">
        <v>4.0704490206288869E-3</v>
      </c>
      <c r="Q24" s="520">
        <v>1.6305110862777336E-4</v>
      </c>
      <c r="R24" s="524">
        <v>2.9253377866584078E-3</v>
      </c>
      <c r="S24" s="525">
        <v>3.9767612262145907E-4</v>
      </c>
      <c r="T24" s="524">
        <v>6.2038930390744193E-3</v>
      </c>
      <c r="U24" s="525">
        <v>4.7742855829191137E-3</v>
      </c>
      <c r="V24" s="524">
        <v>1.4008229078579274E-3</v>
      </c>
      <c r="W24" s="525">
        <v>6.0780920303762128E-4</v>
      </c>
      <c r="X24" s="524">
        <v>1.0900177453905106E-3</v>
      </c>
      <c r="Y24" s="525">
        <v>0</v>
      </c>
      <c r="Z24" s="524">
        <v>2.1250820651521132E-3</v>
      </c>
      <c r="AA24" s="525">
        <v>5.4464191962678597E-4</v>
      </c>
      <c r="AB24" s="520">
        <v>1.8824449973663267E-3</v>
      </c>
      <c r="AC24" s="526">
        <v>5.8264262964132589E-5</v>
      </c>
    </row>
    <row r="25" spans="1:29" s="527" customFormat="1" x14ac:dyDescent="0.25">
      <c r="A25" s="556" t="s">
        <v>30</v>
      </c>
      <c r="B25" s="551" t="s">
        <v>24</v>
      </c>
      <c r="C25" s="551" t="s">
        <v>24</v>
      </c>
      <c r="D25" s="660" t="s">
        <v>127</v>
      </c>
      <c r="E25" s="517">
        <v>1</v>
      </c>
      <c r="F25" s="518">
        <f>VLOOKUP($A25,'Total Areas'!A:D,4,FALSE)</f>
        <v>66.869240575577706</v>
      </c>
      <c r="G25" s="528" t="s">
        <v>46</v>
      </c>
      <c r="H25" s="519" t="s">
        <v>140</v>
      </c>
      <c r="I25" s="553">
        <f>VLOOKUP($A25,'Additional Tables'!$A:$I,3,FALSE)</f>
        <v>3.8074652678411244E-2</v>
      </c>
      <c r="J25" s="554">
        <f>VLOOKUP($A25,'Additional Tables'!$A:$I,4,FALSE)</f>
        <v>1.4632249990999728E-2</v>
      </c>
      <c r="K25" s="554">
        <f>VLOOKUP($A25,'Additional Tables'!$A:$I,5,FALSE)</f>
        <v>1.0200000000000001E-2</v>
      </c>
      <c r="L25" s="555">
        <f>VLOOKUP($A25,'Additional Tables'!$A:$I,6,FALSE)</f>
        <v>1.9900000000000001E-2</v>
      </c>
      <c r="M25" s="553">
        <f>VLOOKUP($A25,'Additional Tables'!$A:$I,7,FALSE)</f>
        <v>2.5240586206381015E-2</v>
      </c>
      <c r="N25" s="554">
        <f>VLOOKUP($A25,'Additional Tables'!$A:$I,8,FALSE)</f>
        <v>1.3562029794945335E-2</v>
      </c>
      <c r="O25" s="555">
        <f>VLOOKUP($A25,'Additional Tables'!$A:$I,9,FALSE)</f>
        <v>7.6183292914212292E-3</v>
      </c>
      <c r="P25" s="556" t="s">
        <v>26</v>
      </c>
      <c r="Q25" s="551" t="s">
        <v>26</v>
      </c>
      <c r="R25" s="557" t="s">
        <v>26</v>
      </c>
      <c r="S25" s="558" t="s">
        <v>26</v>
      </c>
      <c r="T25" s="557" t="s">
        <v>26</v>
      </c>
      <c r="U25" s="558" t="s">
        <v>26</v>
      </c>
      <c r="V25" s="557" t="s">
        <v>26</v>
      </c>
      <c r="W25" s="558" t="s">
        <v>26</v>
      </c>
      <c r="X25" s="557" t="s">
        <v>26</v>
      </c>
      <c r="Y25" s="558" t="s">
        <v>26</v>
      </c>
      <c r="Z25" s="557" t="s">
        <v>26</v>
      </c>
      <c r="AA25" s="558" t="s">
        <v>26</v>
      </c>
      <c r="AB25" s="551" t="s">
        <v>26</v>
      </c>
      <c r="AC25" s="528" t="s">
        <v>26</v>
      </c>
    </row>
    <row r="26" spans="1:29" s="527" customFormat="1" ht="15.75" thickBot="1" x14ac:dyDescent="0.3">
      <c r="A26" s="560" t="s">
        <v>45</v>
      </c>
      <c r="B26" s="561" t="s">
        <v>36</v>
      </c>
      <c r="C26" s="561" t="s">
        <v>180</v>
      </c>
      <c r="D26" s="659" t="s">
        <v>127</v>
      </c>
      <c r="E26" s="529">
        <v>1</v>
      </c>
      <c r="F26" s="562">
        <f>VLOOKUP($A26,'Total Areas'!A:D,4,FALSE)</f>
        <v>12.536395410948526</v>
      </c>
      <c r="G26" s="563" t="s">
        <v>46</v>
      </c>
      <c r="H26" s="563" t="s">
        <v>140</v>
      </c>
      <c r="I26" s="564">
        <f>VLOOKUP($A26,'Additional Tables'!$A:$I,3,FALSE)</f>
        <v>3.3457829426416827E-2</v>
      </c>
      <c r="J26" s="565">
        <f>VLOOKUP($A26,'Additional Tables'!$A:$I,4,FALSE)</f>
        <v>2.1711207803920183E-3</v>
      </c>
      <c r="K26" s="565">
        <f>VLOOKUP($A26,'Additional Tables'!$A:$I,5,FALSE)</f>
        <v>1.6999999999999999E-3</v>
      </c>
      <c r="L26" s="566">
        <f>VLOOKUP($A26,'Additional Tables'!$A:$I,6,FALSE)</f>
        <v>2.8E-3</v>
      </c>
      <c r="M26" s="564">
        <f>VLOOKUP($A26,'Additional Tables'!$A:$I,7,FALSE)</f>
        <v>0</v>
      </c>
      <c r="N26" s="565">
        <f>VLOOKUP($A26,'Additional Tables'!$A:$I,8,FALSE)</f>
        <v>1.0345890642951376E-3</v>
      </c>
      <c r="O26" s="566">
        <f>VLOOKUP($A26,'Additional Tables'!$A:$I,9,FALSE)</f>
        <v>7.8199009565607593E-4</v>
      </c>
      <c r="P26" s="567">
        <v>1.901653238681729E-3</v>
      </c>
      <c r="Q26" s="564">
        <v>2.3280976243524306E-4</v>
      </c>
      <c r="R26" s="568">
        <v>1.3401738322140712E-3</v>
      </c>
      <c r="S26" s="569">
        <v>3.0283332655701951E-4</v>
      </c>
      <c r="T26" s="568">
        <v>2.8277906005956923E-3</v>
      </c>
      <c r="U26" s="569">
        <v>3.1112647531112895E-4</v>
      </c>
      <c r="V26" s="568">
        <v>6.4902106030272392E-4</v>
      </c>
      <c r="W26" s="569">
        <v>5.9995142615029587E-4</v>
      </c>
      <c r="X26" s="568">
        <v>5.3846459872641372E-4</v>
      </c>
      <c r="Y26" s="569">
        <v>0</v>
      </c>
      <c r="Z26" s="568">
        <v>9.9256555171485712E-4</v>
      </c>
      <c r="AA26" s="569">
        <v>4.5758383208903531E-5</v>
      </c>
      <c r="AB26" s="564">
        <v>9.3133348079817732E-4</v>
      </c>
      <c r="AC26" s="570">
        <v>0</v>
      </c>
    </row>
    <row r="27" spans="1:29" s="527" customFormat="1" ht="15.75" thickBot="1" x14ac:dyDescent="0.3">
      <c r="A27" s="571"/>
      <c r="B27" s="572"/>
      <c r="C27" s="572"/>
      <c r="D27" s="572">
        <f>COUNTIF(D17:D26,"=X")</f>
        <v>5</v>
      </c>
      <c r="E27" s="573">
        <f>COUNTIF(E17:E26,"&gt;0")</f>
        <v>4</v>
      </c>
      <c r="F27" s="574">
        <f>SUMIF(E17:E26,"&gt;=1",F17:F26)</f>
        <v>186.80583493338864</v>
      </c>
      <c r="G27" s="573"/>
      <c r="H27" s="573"/>
      <c r="I27" s="575">
        <f t="shared" ref="I27:AC27" si="1">SUMIF($E$17:$E$26,"&gt;=1",I17:I26)</f>
        <v>0.29847653404963681</v>
      </c>
      <c r="J27" s="576">
        <f t="shared" si="1"/>
        <v>5.6300947406855602E-2</v>
      </c>
      <c r="K27" s="576">
        <f t="shared" si="1"/>
        <v>3.1200000000000002E-2</v>
      </c>
      <c r="L27" s="577">
        <f t="shared" si="1"/>
        <v>7.1800000000000003E-2</v>
      </c>
      <c r="M27" s="575">
        <f t="shared" si="1"/>
        <v>5.613625951250957E-2</v>
      </c>
      <c r="N27" s="576">
        <f t="shared" si="1"/>
        <v>4.9026136128494852E-2</v>
      </c>
      <c r="O27" s="577">
        <f t="shared" si="1"/>
        <v>2.0334600322779187E-2</v>
      </c>
      <c r="P27" s="578">
        <f t="shared" si="1"/>
        <v>1.4123062166279713E-2</v>
      </c>
      <c r="Q27" s="575">
        <f t="shared" si="1"/>
        <v>5.5912978295584127E-3</v>
      </c>
      <c r="R27" s="579">
        <f t="shared" si="1"/>
        <v>1.4908231209898162E-2</v>
      </c>
      <c r="S27" s="580">
        <f t="shared" si="1"/>
        <v>2.384150675188768E-3</v>
      </c>
      <c r="T27" s="579">
        <f t="shared" si="1"/>
        <v>2.0078610119067555E-2</v>
      </c>
      <c r="U27" s="580">
        <f t="shared" si="1"/>
        <v>1.601761428192763E-2</v>
      </c>
      <c r="V27" s="579">
        <f t="shared" si="1"/>
        <v>5.5779322676899109E-3</v>
      </c>
      <c r="W27" s="580">
        <f t="shared" si="1"/>
        <v>3.9630416256982949E-3</v>
      </c>
      <c r="X27" s="579">
        <f t="shared" si="1"/>
        <v>3.2143412267216509E-3</v>
      </c>
      <c r="Y27" s="580">
        <f t="shared" si="1"/>
        <v>0</v>
      </c>
      <c r="Z27" s="579">
        <f t="shared" si="1"/>
        <v>8.762796084955591E-3</v>
      </c>
      <c r="AA27" s="580">
        <f t="shared" si="1"/>
        <v>5.6120754798153136E-3</v>
      </c>
      <c r="AB27" s="575">
        <f t="shared" si="1"/>
        <v>7.6599070006640015E-3</v>
      </c>
      <c r="AC27" s="581">
        <f t="shared" si="1"/>
        <v>4.7348009344447262E-4</v>
      </c>
    </row>
    <row r="28" spans="1:29" s="527" customFormat="1" ht="15.75" thickBot="1" x14ac:dyDescent="0.3">
      <c r="A28" s="515"/>
      <c r="B28" s="516"/>
      <c r="C28" s="516"/>
      <c r="D28" s="516"/>
      <c r="E28" s="541"/>
      <c r="F28" s="518"/>
      <c r="G28" s="519"/>
      <c r="H28" s="519"/>
      <c r="I28" s="520"/>
      <c r="J28" s="521"/>
      <c r="K28" s="521"/>
      <c r="L28" s="522"/>
      <c r="M28" s="520"/>
      <c r="N28" s="521"/>
      <c r="O28" s="522"/>
      <c r="P28" s="523"/>
      <c r="Q28" s="520"/>
      <c r="R28" s="524"/>
      <c r="S28" s="525"/>
      <c r="T28" s="524"/>
      <c r="U28" s="525"/>
      <c r="V28" s="524"/>
      <c r="W28" s="525"/>
      <c r="X28" s="524"/>
      <c r="Y28" s="525"/>
      <c r="Z28" s="524"/>
      <c r="AA28" s="525"/>
      <c r="AB28" s="520"/>
      <c r="AC28" s="526"/>
    </row>
    <row r="29" spans="1:29" s="527" customFormat="1" ht="15.75" thickBot="1" x14ac:dyDescent="0.3">
      <c r="A29" s="542" t="s">
        <v>72</v>
      </c>
      <c r="B29" s="543"/>
      <c r="C29" s="543"/>
      <c r="D29" s="544" t="s">
        <v>202</v>
      </c>
      <c r="E29" s="509" t="s">
        <v>89</v>
      </c>
      <c r="F29" s="545"/>
      <c r="G29" s="546"/>
      <c r="H29" s="546"/>
      <c r="I29" s="543"/>
      <c r="J29" s="545"/>
      <c r="K29" s="545"/>
      <c r="L29" s="547"/>
      <c r="M29" s="543"/>
      <c r="N29" s="545"/>
      <c r="O29" s="547"/>
      <c r="P29" s="542"/>
      <c r="Q29" s="543"/>
      <c r="R29" s="548"/>
      <c r="S29" s="549"/>
      <c r="T29" s="548"/>
      <c r="U29" s="549"/>
      <c r="V29" s="548"/>
      <c r="W29" s="549"/>
      <c r="X29" s="548"/>
      <c r="Y29" s="549"/>
      <c r="Z29" s="548"/>
      <c r="AA29" s="549"/>
      <c r="AB29" s="543"/>
      <c r="AC29" s="546"/>
    </row>
    <row r="30" spans="1:29" s="527" customFormat="1" x14ac:dyDescent="0.25">
      <c r="A30" s="556" t="s">
        <v>28</v>
      </c>
      <c r="B30" s="551" t="s">
        <v>24</v>
      </c>
      <c r="C30" s="551" t="s">
        <v>24</v>
      </c>
      <c r="D30" s="660" t="s">
        <v>127</v>
      </c>
      <c r="E30" s="552">
        <v>1</v>
      </c>
      <c r="F30" s="518">
        <f>VLOOKUP($A30,'Total Areas'!A:D,4,FALSE)</f>
        <v>101.49553996155278</v>
      </c>
      <c r="G30" s="528" t="s">
        <v>64</v>
      </c>
      <c r="H30" s="519" t="s">
        <v>141</v>
      </c>
      <c r="I30" s="553">
        <f>VLOOKUP($A30,'Additional Tables'!$A:$I,3,FALSE)</f>
        <v>0</v>
      </c>
      <c r="J30" s="554">
        <f>VLOOKUP($A30,'Additional Tables'!$A:$I,4,FALSE)</f>
        <v>0</v>
      </c>
      <c r="K30" s="554">
        <f>VLOOKUP($A30,'Additional Tables'!$A:$I,5,FALSE)</f>
        <v>0</v>
      </c>
      <c r="L30" s="555">
        <f>VLOOKUP($A30,'Additional Tables'!$A:$I,6,FALSE)</f>
        <v>0</v>
      </c>
      <c r="M30" s="553">
        <f>VLOOKUP($A30,'Additional Tables'!$A:$I,7,FALSE)</f>
        <v>0</v>
      </c>
      <c r="N30" s="554">
        <f>VLOOKUP($A30,'Additional Tables'!$A:$I,8,FALSE)</f>
        <v>0</v>
      </c>
      <c r="O30" s="555">
        <f>VLOOKUP($A30,'Additional Tables'!$A:$I,9,FALSE)</f>
        <v>0</v>
      </c>
      <c r="P30" s="556" t="s">
        <v>26</v>
      </c>
      <c r="Q30" s="551" t="s">
        <v>26</v>
      </c>
      <c r="R30" s="557" t="s">
        <v>26</v>
      </c>
      <c r="S30" s="558" t="s">
        <v>26</v>
      </c>
      <c r="T30" s="557" t="s">
        <v>26</v>
      </c>
      <c r="U30" s="558" t="s">
        <v>26</v>
      </c>
      <c r="V30" s="557" t="s">
        <v>26</v>
      </c>
      <c r="W30" s="558" t="s">
        <v>26</v>
      </c>
      <c r="X30" s="557" t="s">
        <v>26</v>
      </c>
      <c r="Y30" s="558" t="s">
        <v>26</v>
      </c>
      <c r="Z30" s="557" t="s">
        <v>26</v>
      </c>
      <c r="AA30" s="558" t="s">
        <v>26</v>
      </c>
      <c r="AB30" s="551" t="s">
        <v>26</v>
      </c>
      <c r="AC30" s="528" t="s">
        <v>26</v>
      </c>
    </row>
    <row r="31" spans="1:29" s="527" customFormat="1" x14ac:dyDescent="0.25">
      <c r="A31" s="515" t="s">
        <v>41</v>
      </c>
      <c r="B31" s="516" t="s">
        <v>36</v>
      </c>
      <c r="C31" s="516" t="s">
        <v>179</v>
      </c>
      <c r="D31" s="658"/>
      <c r="E31" s="517">
        <v>1</v>
      </c>
      <c r="F31" s="518">
        <f>VLOOKUP($A31,'Total Areas'!A:D,4,FALSE)</f>
        <v>79.018206200126698</v>
      </c>
      <c r="G31" s="519" t="s">
        <v>64</v>
      </c>
      <c r="H31" s="519" t="s">
        <v>138</v>
      </c>
      <c r="I31" s="520">
        <f>VLOOKUP($A31,'Additional Tables'!$A:$I,3,FALSE)</f>
        <v>4.88606353534521E-2</v>
      </c>
      <c r="J31" s="521">
        <f>VLOOKUP($A31,'Additional Tables'!$A:$I,4,FALSE)</f>
        <v>2.3778391701593557E-2</v>
      </c>
      <c r="K31" s="521">
        <f>VLOOKUP($A31,'Additional Tables'!$A:$I,5,FALSE)</f>
        <v>9.7000000000000003E-3</v>
      </c>
      <c r="L31" s="522">
        <f>VLOOKUP($A31,'Additional Tables'!$A:$I,6,FALSE)</f>
        <v>3.4099999999999998E-2</v>
      </c>
      <c r="M31" s="520">
        <f>VLOOKUP($A31,'Additional Tables'!$A:$I,7,FALSE)</f>
        <v>0.11200260139503054</v>
      </c>
      <c r="N31" s="521">
        <f>VLOOKUP($A31,'Additional Tables'!$A:$I,8,FALSE)</f>
        <v>2.3210393296356588E-2</v>
      </c>
      <c r="O31" s="522">
        <f>VLOOKUP($A31,'Additional Tables'!$A:$I,9,FALSE)</f>
        <v>1.8741869765455901E-2</v>
      </c>
      <c r="P31" s="523">
        <v>2.4889716890145529E-3</v>
      </c>
      <c r="Q31" s="520">
        <v>4.2034387880113124E-5</v>
      </c>
      <c r="R31" s="524">
        <v>2.8456527823219539E-3</v>
      </c>
      <c r="S31" s="525">
        <v>6.746093381150537E-5</v>
      </c>
      <c r="T31" s="524">
        <v>3.3611843934125579E-3</v>
      </c>
      <c r="U31" s="525">
        <v>1.2206605967899155E-4</v>
      </c>
      <c r="V31" s="524">
        <v>1.0042906715771343E-3</v>
      </c>
      <c r="W31" s="525">
        <v>3.4312017831983346E-5</v>
      </c>
      <c r="X31" s="524">
        <v>9.7763465264833578E-4</v>
      </c>
      <c r="Y31" s="525">
        <v>0</v>
      </c>
      <c r="Z31" s="524">
        <v>1.0632181241194091E-3</v>
      </c>
      <c r="AA31" s="525">
        <v>2.5299585746080823E-5</v>
      </c>
      <c r="AB31" s="520">
        <v>1.9768506970231528E-3</v>
      </c>
      <c r="AC31" s="526">
        <v>0</v>
      </c>
    </row>
    <row r="32" spans="1:29" s="527" customFormat="1" x14ac:dyDescent="0.25">
      <c r="A32" s="515" t="s">
        <v>80</v>
      </c>
      <c r="B32" s="516" t="s">
        <v>36</v>
      </c>
      <c r="C32" s="516" t="s">
        <v>180</v>
      </c>
      <c r="D32" s="658"/>
      <c r="E32" s="517">
        <v>0</v>
      </c>
      <c r="F32" s="518">
        <f>VLOOKUP($A32,'Total Areas'!A:D,4,FALSE)</f>
        <v>91.336973086565536</v>
      </c>
      <c r="G32" s="519" t="s">
        <v>64</v>
      </c>
      <c r="H32" s="519" t="s">
        <v>232</v>
      </c>
      <c r="I32" s="520">
        <f>VLOOKUP($A32,'Additional Tables'!$A:$I,3,FALSE)</f>
        <v>0</v>
      </c>
      <c r="J32" s="521">
        <f>VLOOKUP($A32,'Additional Tables'!$A:$I,4,FALSE)</f>
        <v>2.0120275787999825E-2</v>
      </c>
      <c r="K32" s="521">
        <f>VLOOKUP($A32,'Additional Tables'!$A:$I,5,FALSE)</f>
        <v>1.38E-2</v>
      </c>
      <c r="L32" s="522">
        <f>VLOOKUP($A32,'Additional Tables'!$A:$I,6,FALSE)</f>
        <v>4.0099999999999997E-2</v>
      </c>
      <c r="M32" s="520">
        <f>VLOOKUP($A32,'Additional Tables'!$A:$I,7,FALSE)</f>
        <v>8.1970589511015352E-2</v>
      </c>
      <c r="N32" s="521">
        <f>VLOOKUP($A32,'Additional Tables'!$A:$I,8,FALSE)</f>
        <v>2.1403114743111119E-2</v>
      </c>
      <c r="O32" s="522">
        <f>VLOOKUP($A32,'Additional Tables'!$A:$I,9,FALSE)</f>
        <v>2.5240536655566418E-2</v>
      </c>
      <c r="P32" s="523">
        <v>6.1863565950992525E-3</v>
      </c>
      <c r="Q32" s="520">
        <v>0</v>
      </c>
      <c r="R32" s="524">
        <v>6.3504270445162462E-3</v>
      </c>
      <c r="S32" s="525">
        <v>0</v>
      </c>
      <c r="T32" s="524">
        <v>5.764188566520446E-3</v>
      </c>
      <c r="U32" s="525">
        <v>0</v>
      </c>
      <c r="V32" s="524">
        <v>1.1303770844680908E-3</v>
      </c>
      <c r="W32" s="525">
        <v>0</v>
      </c>
      <c r="X32" s="524">
        <v>2.1053353583256343E-4</v>
      </c>
      <c r="Y32" s="525">
        <v>0</v>
      </c>
      <c r="Z32" s="524">
        <v>2.9084868980553289E-3</v>
      </c>
      <c r="AA32" s="525">
        <v>0</v>
      </c>
      <c r="AB32" s="520">
        <v>4.8426971549470708E-3</v>
      </c>
      <c r="AC32" s="526">
        <v>0</v>
      </c>
    </row>
    <row r="33" spans="1:29" s="527" customFormat="1" x14ac:dyDescent="0.25">
      <c r="A33" s="515" t="s">
        <v>51</v>
      </c>
      <c r="B33" s="516" t="s">
        <v>36</v>
      </c>
      <c r="C33" s="516" t="s">
        <v>179</v>
      </c>
      <c r="D33" s="658"/>
      <c r="E33" s="517">
        <v>1</v>
      </c>
      <c r="F33" s="518">
        <f>VLOOKUP($A33,'Total Areas'!A:D,4,FALSE)</f>
        <v>74.335577372379845</v>
      </c>
      <c r="G33" s="519" t="s">
        <v>64</v>
      </c>
      <c r="H33" s="519" t="s">
        <v>232</v>
      </c>
      <c r="I33" s="520">
        <f>VLOOKUP($A33,'Additional Tables'!$A:$I,3,FALSE)</f>
        <v>0</v>
      </c>
      <c r="J33" s="521">
        <f>VLOOKUP($A33,'Additional Tables'!$A:$I,4,FALSE)</f>
        <v>1.5658991777844546E-2</v>
      </c>
      <c r="K33" s="521">
        <f>VLOOKUP($A33,'Additional Tables'!$A:$I,5,FALSE)</f>
        <v>1.11E-2</v>
      </c>
      <c r="L33" s="522">
        <f>VLOOKUP($A33,'Additional Tables'!$A:$I,6,FALSE)</f>
        <v>3.3099999999999997E-2</v>
      </c>
      <c r="M33" s="520">
        <f>VLOOKUP($A33,'Additional Tables'!$A:$I,7,FALSE)</f>
        <v>0</v>
      </c>
      <c r="N33" s="521">
        <f>VLOOKUP($A33,'Additional Tables'!$A:$I,8,FALSE)</f>
        <v>1.5982604515335251E-2</v>
      </c>
      <c r="O33" s="522">
        <f>VLOOKUP($A33,'Additional Tables'!$A:$I,9,FALSE)</f>
        <v>1.9524154971885456E-2</v>
      </c>
      <c r="P33" s="523">
        <v>1.3826704872066636E-3</v>
      </c>
      <c r="Q33" s="520">
        <v>2.1100738662613698E-10</v>
      </c>
      <c r="R33" s="524">
        <v>8.510061856489197E-4</v>
      </c>
      <c r="S33" s="525">
        <v>4.1143121432379953E-6</v>
      </c>
      <c r="T33" s="524">
        <v>1.9024091333003331E-3</v>
      </c>
      <c r="U33" s="525">
        <v>7.9280226931150239E-6</v>
      </c>
      <c r="V33" s="524">
        <v>2.2064170591540731E-4</v>
      </c>
      <c r="W33" s="525">
        <v>2.4915656461385876E-5</v>
      </c>
      <c r="X33" s="524">
        <v>1.9978784922113096E-4</v>
      </c>
      <c r="Y33" s="525">
        <v>0</v>
      </c>
      <c r="Z33" s="524">
        <v>3.835433115763895E-4</v>
      </c>
      <c r="AA33" s="525">
        <v>5.985399549562686E-6</v>
      </c>
      <c r="AB33" s="520">
        <v>8.3416237911864018E-4</v>
      </c>
      <c r="AC33" s="526">
        <v>0</v>
      </c>
    </row>
    <row r="34" spans="1:29" s="527" customFormat="1" x14ac:dyDescent="0.25">
      <c r="A34" s="515" t="s">
        <v>60</v>
      </c>
      <c r="B34" s="516" t="s">
        <v>36</v>
      </c>
      <c r="C34" s="516" t="s">
        <v>178</v>
      </c>
      <c r="D34" s="658"/>
      <c r="E34" s="517">
        <v>0</v>
      </c>
      <c r="F34" s="518">
        <f>VLOOKUP($A34,'Total Areas'!A:D,4,FALSE)</f>
        <v>22.641638808372765</v>
      </c>
      <c r="G34" s="519" t="s">
        <v>64</v>
      </c>
      <c r="H34" s="519" t="s">
        <v>138</v>
      </c>
      <c r="I34" s="520">
        <f>VLOOKUP($A34,'Additional Tables'!$A:$I,3,FALSE)</f>
        <v>3.2657501213355047E-2</v>
      </c>
      <c r="J34" s="521">
        <f>VLOOKUP($A34,'Additional Tables'!$A:$I,4,FALSE)</f>
        <v>1.8709715391456887E-3</v>
      </c>
      <c r="K34" s="521">
        <f>VLOOKUP($A34,'Additional Tables'!$A:$I,5,FALSE)</f>
        <v>3.2000000000000002E-3</v>
      </c>
      <c r="L34" s="522">
        <f>VLOOKUP($A34,'Additional Tables'!$A:$I,6,FALSE)</f>
        <v>8.8999999999999999E-3</v>
      </c>
      <c r="M34" s="520">
        <f>VLOOKUP($A34,'Additional Tables'!$A:$I,7,FALSE)</f>
        <v>2.2334857667680227E-2</v>
      </c>
      <c r="N34" s="521">
        <f>VLOOKUP($A34,'Additional Tables'!$A:$I,8,FALSE)</f>
        <v>6.4600816611376499E-4</v>
      </c>
      <c r="O34" s="522">
        <f>VLOOKUP($A34,'Additional Tables'!$A:$I,9,FALSE)</f>
        <v>6.5950698126284787E-3</v>
      </c>
      <c r="P34" s="523">
        <v>1.6666666499266175E-3</v>
      </c>
      <c r="Q34" s="520">
        <v>0</v>
      </c>
      <c r="R34" s="524">
        <v>2.7985362281665932E-3</v>
      </c>
      <c r="S34" s="525">
        <v>0</v>
      </c>
      <c r="T34" s="524">
        <v>2.6500648413073711E-3</v>
      </c>
      <c r="U34" s="525">
        <v>0</v>
      </c>
      <c r="V34" s="524">
        <v>1.0495065930388842E-3</v>
      </c>
      <c r="W34" s="525">
        <v>0</v>
      </c>
      <c r="X34" s="524">
        <v>1.1280135842303555E-3</v>
      </c>
      <c r="Y34" s="525">
        <v>0</v>
      </c>
      <c r="Z34" s="524">
        <v>9.8521909583210686E-4</v>
      </c>
      <c r="AA34" s="525">
        <v>0</v>
      </c>
      <c r="AB34" s="520">
        <v>9.2020230117241151E-4</v>
      </c>
      <c r="AC34" s="526">
        <v>0</v>
      </c>
    </row>
    <row r="35" spans="1:29" s="527" customFormat="1" ht="15.75" thickBot="1" x14ac:dyDescent="0.3">
      <c r="A35" s="515" t="s">
        <v>61</v>
      </c>
      <c r="B35" s="516" t="s">
        <v>36</v>
      </c>
      <c r="C35" s="516" t="s">
        <v>178</v>
      </c>
      <c r="D35" s="659"/>
      <c r="E35" s="529">
        <v>1</v>
      </c>
      <c r="F35" s="518">
        <f>VLOOKUP($A35,'Total Areas'!A:D,4,FALSE)</f>
        <v>45.330448118318941</v>
      </c>
      <c r="G35" s="519" t="s">
        <v>64</v>
      </c>
      <c r="H35" s="519" t="s">
        <v>138</v>
      </c>
      <c r="I35" s="520">
        <f>VLOOKUP($A35,'Additional Tables'!$A:$I,3,FALSE)</f>
        <v>5.2566442283394348E-2</v>
      </c>
      <c r="J35" s="521">
        <f>VLOOKUP($A35,'Additional Tables'!$A:$I,4,FALSE)</f>
        <v>1.0884256497758748E-2</v>
      </c>
      <c r="K35" s="521">
        <f>VLOOKUP($A35,'Additional Tables'!$A:$I,5,FALSE)</f>
        <v>4.1999999999999997E-3</v>
      </c>
      <c r="L35" s="522">
        <f>VLOOKUP($A35,'Additional Tables'!$A:$I,6,FALSE)</f>
        <v>1.4500000000000001E-2</v>
      </c>
      <c r="M35" s="520">
        <f>VLOOKUP($A35,'Additional Tables'!$A:$I,7,FALSE)</f>
        <v>5.2129542726914974E-2</v>
      </c>
      <c r="N35" s="521">
        <f>VLOOKUP($A35,'Additional Tables'!$A:$I,8,FALSE)</f>
        <v>9.7696768478264407E-3</v>
      </c>
      <c r="O35" s="522">
        <f>VLOOKUP($A35,'Additional Tables'!$A:$I,9,FALSE)</f>
        <v>9.6200842217047527E-3</v>
      </c>
      <c r="P35" s="523">
        <v>3.1042726884657904E-3</v>
      </c>
      <c r="Q35" s="520">
        <v>0</v>
      </c>
      <c r="R35" s="524">
        <v>5.216509879874597E-3</v>
      </c>
      <c r="S35" s="525">
        <v>0</v>
      </c>
      <c r="T35" s="524">
        <v>4.8662513677134112E-3</v>
      </c>
      <c r="U35" s="525">
        <v>0</v>
      </c>
      <c r="V35" s="524">
        <v>1.9402673358207983E-3</v>
      </c>
      <c r="W35" s="525">
        <v>0</v>
      </c>
      <c r="X35" s="524">
        <v>2.1219194429062363E-3</v>
      </c>
      <c r="Y35" s="525">
        <v>0</v>
      </c>
      <c r="Z35" s="524">
        <v>1.8185580187810365E-3</v>
      </c>
      <c r="AA35" s="525">
        <v>0</v>
      </c>
      <c r="AB35" s="520">
        <v>1.6378028900158263E-3</v>
      </c>
      <c r="AC35" s="526">
        <v>0</v>
      </c>
    </row>
    <row r="36" spans="1:29" s="527" customFormat="1" ht="15.75" thickBot="1" x14ac:dyDescent="0.3">
      <c r="A36" s="571"/>
      <c r="B36" s="572"/>
      <c r="C36" s="572"/>
      <c r="D36" s="572">
        <f>COUNTIF(D30:D35,"=X")</f>
        <v>1</v>
      </c>
      <c r="E36" s="573">
        <f>COUNTIF(E30:E35,"&gt;0")</f>
        <v>4</v>
      </c>
      <c r="F36" s="574">
        <f>SUMIF(E30:E35,"&gt;=1",F30:F35)</f>
        <v>300.17977165237824</v>
      </c>
      <c r="G36" s="573"/>
      <c r="H36" s="573"/>
      <c r="I36" s="575">
        <f t="shared" ref="I36:AC36" si="2">SUMIF($E$30:$E$35,"&gt;=1",I30:I35)</f>
        <v>0.10142707763684644</v>
      </c>
      <c r="J36" s="576">
        <f t="shared" si="2"/>
        <v>5.0321639977196853E-2</v>
      </c>
      <c r="K36" s="576">
        <f t="shared" si="2"/>
        <v>2.4999999999999998E-2</v>
      </c>
      <c r="L36" s="577">
        <f t="shared" si="2"/>
        <v>8.1699999999999995E-2</v>
      </c>
      <c r="M36" s="575">
        <f t="shared" si="2"/>
        <v>0.16413214412194552</v>
      </c>
      <c r="N36" s="576">
        <f t="shared" si="2"/>
        <v>4.8962674659518278E-2</v>
      </c>
      <c r="O36" s="577">
        <f t="shared" si="2"/>
        <v>4.788610895904611E-2</v>
      </c>
      <c r="P36" s="578">
        <f t="shared" si="2"/>
        <v>6.9759148646870066E-3</v>
      </c>
      <c r="Q36" s="575">
        <f t="shared" si="2"/>
        <v>4.203459888749975E-5</v>
      </c>
      <c r="R36" s="579">
        <f t="shared" si="2"/>
        <v>8.91316884784547E-3</v>
      </c>
      <c r="S36" s="580">
        <f t="shared" si="2"/>
        <v>7.1575245954743366E-5</v>
      </c>
      <c r="T36" s="579">
        <f t="shared" si="2"/>
        <v>1.0129844894426303E-2</v>
      </c>
      <c r="U36" s="580">
        <f t="shared" si="2"/>
        <v>1.2999408237210656E-4</v>
      </c>
      <c r="V36" s="579">
        <f t="shared" si="2"/>
        <v>3.1651997133133399E-3</v>
      </c>
      <c r="W36" s="580">
        <f t="shared" si="2"/>
        <v>5.9227674293369222E-5</v>
      </c>
      <c r="X36" s="579">
        <f t="shared" si="2"/>
        <v>3.2993419447757029E-3</v>
      </c>
      <c r="Y36" s="580">
        <f t="shared" si="2"/>
        <v>0</v>
      </c>
      <c r="Z36" s="579">
        <f t="shared" si="2"/>
        <v>3.2653194544768351E-3</v>
      </c>
      <c r="AA36" s="580">
        <f t="shared" si="2"/>
        <v>3.128498529564351E-5</v>
      </c>
      <c r="AB36" s="575">
        <f t="shared" si="2"/>
        <v>4.4488159661576192E-3</v>
      </c>
      <c r="AC36" s="581">
        <f t="shared" si="2"/>
        <v>0</v>
      </c>
    </row>
    <row r="37" spans="1:29" s="527" customFormat="1" ht="15.75" thickBot="1" x14ac:dyDescent="0.3">
      <c r="A37" s="515"/>
      <c r="B37" s="516"/>
      <c r="C37" s="516"/>
      <c r="D37" s="516"/>
      <c r="E37" s="541"/>
      <c r="F37" s="518"/>
      <c r="G37" s="519"/>
      <c r="H37" s="519"/>
      <c r="I37" s="520"/>
      <c r="J37" s="521"/>
      <c r="K37" s="521"/>
      <c r="L37" s="522"/>
      <c r="M37" s="520"/>
      <c r="N37" s="521"/>
      <c r="O37" s="522"/>
      <c r="P37" s="523"/>
      <c r="Q37" s="520"/>
      <c r="R37" s="524"/>
      <c r="S37" s="525"/>
      <c r="T37" s="524"/>
      <c r="U37" s="525"/>
      <c r="V37" s="524"/>
      <c r="W37" s="525"/>
      <c r="X37" s="524"/>
      <c r="Y37" s="525"/>
      <c r="Z37" s="524"/>
      <c r="AA37" s="525"/>
      <c r="AB37" s="520"/>
      <c r="AC37" s="526"/>
    </row>
    <row r="38" spans="1:29" s="527" customFormat="1" ht="15.75" thickBot="1" x14ac:dyDescent="0.3">
      <c r="A38" s="542" t="s">
        <v>69</v>
      </c>
      <c r="B38" s="543"/>
      <c r="C38" s="543"/>
      <c r="D38" s="544" t="s">
        <v>202</v>
      </c>
      <c r="E38" s="509" t="s">
        <v>89</v>
      </c>
      <c r="F38" s="545"/>
      <c r="G38" s="546"/>
      <c r="H38" s="546"/>
      <c r="I38" s="543"/>
      <c r="J38" s="545"/>
      <c r="K38" s="545"/>
      <c r="L38" s="547"/>
      <c r="M38" s="543"/>
      <c r="N38" s="545"/>
      <c r="O38" s="547"/>
      <c r="P38" s="542"/>
      <c r="Q38" s="543"/>
      <c r="R38" s="548"/>
      <c r="S38" s="549"/>
      <c r="T38" s="548"/>
      <c r="U38" s="549"/>
      <c r="V38" s="548"/>
      <c r="W38" s="549"/>
      <c r="X38" s="548"/>
      <c r="Y38" s="549"/>
      <c r="Z38" s="548"/>
      <c r="AA38" s="549"/>
      <c r="AB38" s="543"/>
      <c r="AC38" s="546"/>
    </row>
    <row r="39" spans="1:29" s="527" customFormat="1" x14ac:dyDescent="0.25">
      <c r="A39" s="582" t="s">
        <v>40</v>
      </c>
      <c r="B39" s="583" t="s">
        <v>36</v>
      </c>
      <c r="C39" s="583" t="s">
        <v>178</v>
      </c>
      <c r="D39" s="661"/>
      <c r="E39" s="552">
        <v>1</v>
      </c>
      <c r="F39" s="584">
        <f>VLOOKUP($A39,'Total Areas'!A:D,4,FALSE)</f>
        <v>85.373403217248836</v>
      </c>
      <c r="G39" s="585" t="s">
        <v>65</v>
      </c>
      <c r="H39" s="585" t="s">
        <v>138</v>
      </c>
      <c r="I39" s="586">
        <f>VLOOKUP($A39,'Additional Tables'!$A:$I,3,FALSE)</f>
        <v>1.1134751223492093E-2</v>
      </c>
      <c r="J39" s="587">
        <f>VLOOKUP($A39,'Additional Tables'!$A:$I,4,FALSE)</f>
        <v>2.4623359797757861E-2</v>
      </c>
      <c r="K39" s="587">
        <f>VLOOKUP($A39,'Additional Tables'!$A:$I,5,FALSE)</f>
        <v>4.7999999999999996E-3</v>
      </c>
      <c r="L39" s="588">
        <f>VLOOKUP($A39,'Additional Tables'!$A:$I,6,FALSE)</f>
        <v>1.1299999999999999E-2</v>
      </c>
      <c r="M39" s="586">
        <f>VLOOKUP($A39,'Additional Tables'!$A:$I,7,FALSE)</f>
        <v>7.0241969829890186E-2</v>
      </c>
      <c r="N39" s="587">
        <f>VLOOKUP($A39,'Additional Tables'!$A:$I,8,FALSE)</f>
        <v>2.565485528054039E-2</v>
      </c>
      <c r="O39" s="588">
        <f>VLOOKUP($A39,'Additional Tables'!$A:$I,9,FALSE)</f>
        <v>2.7987620096284454E-2</v>
      </c>
      <c r="P39" s="589">
        <v>2.2151030190055163E-3</v>
      </c>
      <c r="Q39" s="586">
        <v>0</v>
      </c>
      <c r="R39" s="590">
        <v>2.7355718376715151E-3</v>
      </c>
      <c r="S39" s="591">
        <v>7.3218195163591085E-4</v>
      </c>
      <c r="T39" s="590">
        <v>1.2758749019533507E-3</v>
      </c>
      <c r="U39" s="591">
        <v>1.7661257467511862E-4</v>
      </c>
      <c r="V39" s="590">
        <v>1.2109959800641989E-3</v>
      </c>
      <c r="W39" s="591">
        <v>2.2493477779657869E-3</v>
      </c>
      <c r="X39" s="590">
        <v>1.368056485100469E-3</v>
      </c>
      <c r="Y39" s="591">
        <v>0</v>
      </c>
      <c r="Z39" s="590">
        <v>3.2471279542482145E-4</v>
      </c>
      <c r="AA39" s="591">
        <v>7.3150391660328393E-4</v>
      </c>
      <c r="AB39" s="586">
        <v>2.1744258450579114E-4</v>
      </c>
      <c r="AC39" s="592">
        <v>4.1392705506087618E-5</v>
      </c>
    </row>
    <row r="40" spans="1:29" s="527" customFormat="1" x14ac:dyDescent="0.25">
      <c r="A40" s="556" t="s">
        <v>29</v>
      </c>
      <c r="B40" s="551" t="s">
        <v>24</v>
      </c>
      <c r="C40" s="551" t="s">
        <v>24</v>
      </c>
      <c r="D40" s="660" t="s">
        <v>127</v>
      </c>
      <c r="E40" s="517">
        <v>1</v>
      </c>
      <c r="F40" s="518">
        <f>VLOOKUP($A40,'Total Areas'!A:D,4,FALSE)</f>
        <v>137.02318723869843</v>
      </c>
      <c r="G40" s="519" t="s">
        <v>65</v>
      </c>
      <c r="H40" s="519" t="s">
        <v>138</v>
      </c>
      <c r="I40" s="553">
        <f>VLOOKUP($A40,'Additional Tables'!$A:$I,3,FALSE)</f>
        <v>2.4552878623141667E-2</v>
      </c>
      <c r="J40" s="554">
        <f>VLOOKUP($A40,'Additional Tables'!$A:$I,4,FALSE)</f>
        <v>1.857982415763211E-2</v>
      </c>
      <c r="K40" s="554">
        <f>VLOOKUP($A40,'Additional Tables'!$A:$I,5,FALSE)</f>
        <v>3.5999999999999999E-3</v>
      </c>
      <c r="L40" s="555">
        <f>VLOOKUP($A40,'Additional Tables'!$A:$I,6,FALSE)</f>
        <v>9.5999999999999992E-3</v>
      </c>
      <c r="M40" s="553">
        <f>VLOOKUP($A40,'Additional Tables'!$A:$I,7,FALSE)</f>
        <v>4.5306587346395227E-2</v>
      </c>
      <c r="N40" s="554">
        <f>VLOOKUP($A40,'Additional Tables'!$A:$I,8,FALSE)</f>
        <v>1.880574040099885E-2</v>
      </c>
      <c r="O40" s="555">
        <f>VLOOKUP($A40,'Additional Tables'!$A:$I,9,FALSE)</f>
        <v>2.5583333035143086E-2</v>
      </c>
      <c r="P40" s="556" t="s">
        <v>26</v>
      </c>
      <c r="Q40" s="551" t="s">
        <v>26</v>
      </c>
      <c r="R40" s="557" t="s">
        <v>26</v>
      </c>
      <c r="S40" s="558" t="s">
        <v>26</v>
      </c>
      <c r="T40" s="557" t="s">
        <v>26</v>
      </c>
      <c r="U40" s="558" t="s">
        <v>26</v>
      </c>
      <c r="V40" s="557" t="s">
        <v>26</v>
      </c>
      <c r="W40" s="558" t="s">
        <v>26</v>
      </c>
      <c r="X40" s="557" t="s">
        <v>26</v>
      </c>
      <c r="Y40" s="558" t="s">
        <v>26</v>
      </c>
      <c r="Z40" s="557" t="s">
        <v>26</v>
      </c>
      <c r="AA40" s="558" t="s">
        <v>26</v>
      </c>
      <c r="AB40" s="551" t="s">
        <v>26</v>
      </c>
      <c r="AC40" s="528" t="s">
        <v>26</v>
      </c>
    </row>
    <row r="41" spans="1:29" s="527" customFormat="1" x14ac:dyDescent="0.25">
      <c r="A41" s="593" t="s">
        <v>144</v>
      </c>
      <c r="B41" s="594" t="s">
        <v>24</v>
      </c>
      <c r="C41" s="594" t="s">
        <v>24</v>
      </c>
      <c r="D41" s="711" t="s">
        <v>127</v>
      </c>
      <c r="E41" s="517">
        <v>1</v>
      </c>
      <c r="F41" s="518">
        <f>VLOOKUP($A41,'Total Areas'!A:D,4,FALSE)+IF(ISBLANK(D43),F43,0)+IF(ISBLANK(D44),F44,0)</f>
        <v>502.97951240383617</v>
      </c>
      <c r="G41" s="519" t="s">
        <v>65</v>
      </c>
      <c r="H41" s="519" t="s">
        <v>138</v>
      </c>
      <c r="I41" s="553">
        <f>((VLOOKUP($A41,'Additional Tables'!$A:$I,3,FALSE)*2)+IF(ISBLANK($D43),I43,0)+IF(ISBLANK($D44),I44,0))*$B$68</f>
        <v>4.578649751405494E-3</v>
      </c>
      <c r="J41" s="554">
        <f>((VLOOKUP($A41,'Additional Tables'!$A:$I,4,FALSE)*2)+IF(ISBLANK($D43),J43,0)+IF(ISBLANK($D44),J44,0))*$B$68</f>
        <v>3.0695862095502815E-2</v>
      </c>
      <c r="K41" s="554">
        <f>((VLOOKUP($A41,'Additional Tables'!$A:$I,5,FALSE)*2)+IF(ISBLANK($D43),K43,0)+IF(ISBLANK($D44),K44,0))*$B$68</f>
        <v>3.9544014999999995E-3</v>
      </c>
      <c r="L41" s="555">
        <f>((VLOOKUP($A41,'Additional Tables'!$A:$I,6,FALSE)*2)+IF(ISBLANK($D43),L43,0)+IF(ISBLANK($D44),L44,0))*$B$68</f>
        <v>7.953621000000001E-3</v>
      </c>
      <c r="M41" s="553">
        <f>((VLOOKUP($A41,'Additional Tables'!$A:$I,7,FALSE)*2)+IF(ISBLANK($D43),M43,0)+IF(ISBLANK($D44),M44,0))*$B$68</f>
        <v>-1.3133098775153229E-10</v>
      </c>
      <c r="N41" s="554">
        <f>((VLOOKUP($A41,'Additional Tables'!$A:$I,8,FALSE)*2)+IF(ISBLANK($D43),N43,0)+IF(ISBLANK($D44),N44,0))*$B$68</f>
        <v>3.1290196221300748E-2</v>
      </c>
      <c r="O41" s="555">
        <f>((VLOOKUP($A41,'Additional Tables'!$A:$I,9,FALSE)*2)+IF(ISBLANK($D43),O43,0)+IF(ISBLANK($D44),O44,0))*$B$68</f>
        <v>1.0747253702014323E-2</v>
      </c>
      <c r="P41" s="556" t="s">
        <v>26</v>
      </c>
      <c r="Q41" s="551" t="s">
        <v>26</v>
      </c>
      <c r="R41" s="557" t="s">
        <v>26</v>
      </c>
      <c r="S41" s="558" t="s">
        <v>26</v>
      </c>
      <c r="T41" s="557" t="s">
        <v>26</v>
      </c>
      <c r="U41" s="558" t="s">
        <v>26</v>
      </c>
      <c r="V41" s="557" t="s">
        <v>26</v>
      </c>
      <c r="W41" s="558" t="s">
        <v>26</v>
      </c>
      <c r="X41" s="557" t="s">
        <v>26</v>
      </c>
      <c r="Y41" s="558" t="s">
        <v>26</v>
      </c>
      <c r="Z41" s="557" t="s">
        <v>26</v>
      </c>
      <c r="AA41" s="558" t="s">
        <v>26</v>
      </c>
      <c r="AB41" s="551" t="s">
        <v>26</v>
      </c>
      <c r="AC41" s="528" t="s">
        <v>26</v>
      </c>
    </row>
    <row r="42" spans="1:29" s="527" customFormat="1" ht="30" x14ac:dyDescent="0.25">
      <c r="A42" s="556" t="s">
        <v>31</v>
      </c>
      <c r="B42" s="551" t="s">
        <v>24</v>
      </c>
      <c r="C42" s="551" t="s">
        <v>24</v>
      </c>
      <c r="D42" s="712" t="s">
        <v>127</v>
      </c>
      <c r="E42" s="517">
        <v>1</v>
      </c>
      <c r="F42" s="518">
        <f>VLOOKUP($A42,'Total Areas'!A:D,4,FALSE)</f>
        <v>107.79542960772275</v>
      </c>
      <c r="G42" s="519" t="s">
        <v>65</v>
      </c>
      <c r="H42" s="519" t="s">
        <v>138</v>
      </c>
      <c r="I42" s="553">
        <f>VLOOKUP($A42,'Additional Tables'!$A:$I,3,FALSE)</f>
        <v>3.7881820745522932E-2</v>
      </c>
      <c r="J42" s="554">
        <f>VLOOKUP($A42,'Additional Tables'!$A:$I,4,FALSE)</f>
        <v>3.1910452068070951E-2</v>
      </c>
      <c r="K42" s="554">
        <f>VLOOKUP($A42,'Additional Tables'!$A:$I,5,FALSE)</f>
        <v>1.1000000000000001E-3</v>
      </c>
      <c r="L42" s="555">
        <f>VLOOKUP($A42,'Additional Tables'!$A:$I,6,FALSE)</f>
        <v>2.8E-3</v>
      </c>
      <c r="M42" s="553">
        <f>VLOOKUP($A42,'Additional Tables'!$A:$I,7,FALSE)</f>
        <v>2.6125562687460434E-2</v>
      </c>
      <c r="N42" s="554">
        <f>VLOOKUP($A42,'Additional Tables'!$A:$I,8,FALSE)</f>
        <v>3.2569921649179302E-2</v>
      </c>
      <c r="O42" s="555" t="str">
        <f>VLOOKUP($A42,'Additional Tables'!$A:$I,9,FALSE)</f>
        <v>Not eval.</v>
      </c>
      <c r="P42" s="556" t="s">
        <v>26</v>
      </c>
      <c r="Q42" s="551" t="s">
        <v>26</v>
      </c>
      <c r="R42" s="557" t="s">
        <v>26</v>
      </c>
      <c r="S42" s="558" t="s">
        <v>26</v>
      </c>
      <c r="T42" s="557" t="s">
        <v>26</v>
      </c>
      <c r="U42" s="558" t="s">
        <v>26</v>
      </c>
      <c r="V42" s="557" t="s">
        <v>26</v>
      </c>
      <c r="W42" s="558" t="s">
        <v>26</v>
      </c>
      <c r="X42" s="557" t="s">
        <v>26</v>
      </c>
      <c r="Y42" s="558" t="s">
        <v>26</v>
      </c>
      <c r="Z42" s="557" t="s">
        <v>26</v>
      </c>
      <c r="AA42" s="558" t="s">
        <v>26</v>
      </c>
      <c r="AB42" s="551" t="s">
        <v>26</v>
      </c>
      <c r="AC42" s="528" t="s">
        <v>26</v>
      </c>
    </row>
    <row r="43" spans="1:29" s="527" customFormat="1" x14ac:dyDescent="0.25">
      <c r="A43" s="515" t="s">
        <v>86</v>
      </c>
      <c r="B43" s="516" t="s">
        <v>36</v>
      </c>
      <c r="C43" s="516" t="s">
        <v>178</v>
      </c>
      <c r="D43" s="658" t="s">
        <v>127</v>
      </c>
      <c r="E43" s="517">
        <v>1</v>
      </c>
      <c r="F43" s="518">
        <f>VLOOKUP($A43,'Total Areas'!A:D,4,FALSE)</f>
        <v>26.593810021275132</v>
      </c>
      <c r="G43" s="519" t="s">
        <v>65</v>
      </c>
      <c r="H43" s="519" t="s">
        <v>138</v>
      </c>
      <c r="I43" s="520">
        <f>VLOOKUP($A43,'Additional Tables'!$A:$I,3,FALSE)</f>
        <v>1.5117875845340132E-2</v>
      </c>
      <c r="J43" s="521">
        <f>VLOOKUP($A43,'Additional Tables'!$A:$I,4,FALSE)</f>
        <v>7.5757611770023167E-3</v>
      </c>
      <c r="K43" s="521">
        <f>VLOOKUP($A43,'Additional Tables'!$A:$I,5,FALSE)</f>
        <v>1E-3</v>
      </c>
      <c r="L43" s="522">
        <f>VLOOKUP($A43,'Additional Tables'!$A:$I,6,FALSE)</f>
        <v>1.1999999999999999E-3</v>
      </c>
      <c r="M43" s="520">
        <f>VLOOKUP($A43,'Additional Tables'!$A:$I,7,FALSE)</f>
        <v>0</v>
      </c>
      <c r="N43" s="521">
        <f>VLOOKUP($A43,'Additional Tables'!$A:$I,8,FALSE)</f>
        <v>7.0378290763373286E-3</v>
      </c>
      <c r="O43" s="522">
        <f>VLOOKUP($A43,'Additional Tables'!$A:$I,9,FALSE)</f>
        <v>5.5096031027057442E-3</v>
      </c>
      <c r="P43" s="523">
        <v>5.5979299856661627E-7</v>
      </c>
      <c r="Q43" s="520">
        <v>0</v>
      </c>
      <c r="R43" s="524">
        <v>4.4617969372386121E-7</v>
      </c>
      <c r="S43" s="525">
        <v>4.6713805398627935E-5</v>
      </c>
      <c r="T43" s="524">
        <v>3.1909988467566142E-5</v>
      </c>
      <c r="U43" s="525">
        <v>0</v>
      </c>
      <c r="V43" s="524">
        <v>1.0895369221981537E-3</v>
      </c>
      <c r="W43" s="525">
        <v>0</v>
      </c>
      <c r="X43" s="524">
        <v>3.3879325919507012E-5</v>
      </c>
      <c r="Y43" s="525">
        <v>0</v>
      </c>
      <c r="Z43" s="524">
        <v>1.9656010757284125E-5</v>
      </c>
      <c r="AA43" s="525">
        <v>4.5244565472050367E-6</v>
      </c>
      <c r="AB43" s="520">
        <v>5.7215313768130211E-7</v>
      </c>
      <c r="AC43" s="526">
        <v>0</v>
      </c>
    </row>
    <row r="44" spans="1:29" s="527" customFormat="1" x14ac:dyDescent="0.25">
      <c r="A44" s="515" t="s">
        <v>87</v>
      </c>
      <c r="B44" s="516" t="s">
        <v>36</v>
      </c>
      <c r="C44" s="516" t="s">
        <v>178</v>
      </c>
      <c r="D44" s="658" t="s">
        <v>127</v>
      </c>
      <c r="E44" s="517">
        <v>1</v>
      </c>
      <c r="F44" s="518">
        <f>VLOOKUP($A44,'Total Areas'!A:D,4,FALSE)</f>
        <v>10.955490769705944</v>
      </c>
      <c r="G44" s="519" t="s">
        <v>65</v>
      </c>
      <c r="H44" s="519" t="s">
        <v>138</v>
      </c>
      <c r="I44" s="520">
        <f>VLOOKUP($A44,'Additional Tables'!$A:$I,3,FALSE)</f>
        <v>1.790107590632594E-2</v>
      </c>
      <c r="J44" s="521">
        <f>VLOOKUP($A44,'Additional Tables'!$A:$I,4,FALSE)</f>
        <v>3.0566865639211171E-3</v>
      </c>
      <c r="K44" s="521">
        <f>VLOOKUP($A44,'Additional Tables'!$A:$I,5,FALSE)</f>
        <v>5.0000000000000001E-4</v>
      </c>
      <c r="L44" s="522">
        <f>VLOOKUP($A44,'Additional Tables'!$A:$I,6,FALSE)</f>
        <v>8.0000000000000004E-4</v>
      </c>
      <c r="M44" s="520">
        <f>VLOOKUP($A44,'Additional Tables'!$A:$I,7,FALSE)</f>
        <v>7.7625383575201545E-2</v>
      </c>
      <c r="N44" s="521">
        <f>VLOOKUP($A44,'Additional Tables'!$A:$I,8,FALSE)</f>
        <v>3.1198568318818645E-3</v>
      </c>
      <c r="O44" s="522">
        <f>VLOOKUP($A44,'Additional Tables'!$A:$I,9,FALSE)</f>
        <v>2.159889493265608E-3</v>
      </c>
      <c r="P44" s="523">
        <v>1.8487999222885877E-7</v>
      </c>
      <c r="Q44" s="520">
        <v>0</v>
      </c>
      <c r="R44" s="524">
        <v>1.6870742079365538E-7</v>
      </c>
      <c r="S44" s="525">
        <v>3.5654224910055025E-5</v>
      </c>
      <c r="T44" s="524">
        <v>1.7469789130747369E-5</v>
      </c>
      <c r="U44" s="525">
        <v>8.2702146939506622E-6</v>
      </c>
      <c r="V44" s="524">
        <v>4.8474732723400297E-4</v>
      </c>
      <c r="W44" s="525">
        <v>8.3167286823959439E-5</v>
      </c>
      <c r="X44" s="524">
        <v>1.3341853808987373E-5</v>
      </c>
      <c r="Y44" s="525">
        <v>0</v>
      </c>
      <c r="Z44" s="524">
        <v>9.3045953463722791E-6</v>
      </c>
      <c r="AA44" s="525">
        <v>4.7442546399185863E-5</v>
      </c>
      <c r="AB44" s="520">
        <v>1.0754293773155371E-7</v>
      </c>
      <c r="AC44" s="526">
        <v>0</v>
      </c>
    </row>
    <row r="45" spans="1:29" s="527" customFormat="1" x14ac:dyDescent="0.25">
      <c r="A45" s="515" t="s">
        <v>58</v>
      </c>
      <c r="B45" s="516" t="s">
        <v>36</v>
      </c>
      <c r="C45" s="516" t="s">
        <v>178</v>
      </c>
      <c r="D45" s="658"/>
      <c r="E45" s="517">
        <v>1</v>
      </c>
      <c r="F45" s="518">
        <f>VLOOKUP($A45,'Total Areas'!A:D,4,FALSE)</f>
        <v>32.083536191323411</v>
      </c>
      <c r="G45" s="519" t="s">
        <v>65</v>
      </c>
      <c r="H45" s="519" t="s">
        <v>138</v>
      </c>
      <c r="I45" s="520">
        <f>VLOOKUP($A45,'Additional Tables'!$A:$I,3,FALSE)</f>
        <v>1.9182468888244507E-2</v>
      </c>
      <c r="J45" s="521">
        <f>VLOOKUP($A45,'Additional Tables'!$A:$I,4,FALSE)</f>
        <v>6.5851433844833504E-3</v>
      </c>
      <c r="K45" s="521">
        <f>VLOOKUP($A45,'Additional Tables'!$A:$I,5,FALSE)</f>
        <v>1.5E-3</v>
      </c>
      <c r="L45" s="522">
        <f>VLOOKUP($A45,'Additional Tables'!$A:$I,6,FALSE)</f>
        <v>4.4999999999999997E-3</v>
      </c>
      <c r="M45" s="520">
        <f>VLOOKUP($A45,'Additional Tables'!$A:$I,7,FALSE)</f>
        <v>9.1729866012096192E-2</v>
      </c>
      <c r="N45" s="521">
        <f>VLOOKUP($A45,'Additional Tables'!$A:$I,8,FALSE)</f>
        <v>6.1568585278571827E-3</v>
      </c>
      <c r="O45" s="522">
        <f>VLOOKUP($A45,'Additional Tables'!$A:$I,9,FALSE)</f>
        <v>1.0458699993903453E-2</v>
      </c>
      <c r="P45" s="523">
        <v>7.9450256701903631E-4</v>
      </c>
      <c r="Q45" s="520">
        <v>0</v>
      </c>
      <c r="R45" s="524">
        <v>9.3103700762460159E-4</v>
      </c>
      <c r="S45" s="525">
        <v>0</v>
      </c>
      <c r="T45" s="524">
        <v>4.7230828212106729E-4</v>
      </c>
      <c r="U45" s="525">
        <v>0</v>
      </c>
      <c r="V45" s="524">
        <v>7.3732352747529328E-4</v>
      </c>
      <c r="W45" s="525">
        <v>0</v>
      </c>
      <c r="X45" s="524">
        <v>5.2428676533091388E-4</v>
      </c>
      <c r="Y45" s="525">
        <v>0</v>
      </c>
      <c r="Z45" s="524">
        <v>1.1669075079947466E-4</v>
      </c>
      <c r="AA45" s="525">
        <v>0</v>
      </c>
      <c r="AB45" s="520">
        <v>8.6869411000702396E-5</v>
      </c>
      <c r="AC45" s="526">
        <v>0</v>
      </c>
    </row>
    <row r="46" spans="1:29" s="527" customFormat="1" ht="15.75" thickBot="1" x14ac:dyDescent="0.3">
      <c r="A46" s="560" t="s">
        <v>59</v>
      </c>
      <c r="B46" s="561" t="s">
        <v>36</v>
      </c>
      <c r="C46" s="561" t="s">
        <v>178</v>
      </c>
      <c r="D46" s="659"/>
      <c r="E46" s="529">
        <v>0</v>
      </c>
      <c r="F46" s="562">
        <f>VLOOKUP($A46,'Total Areas'!A:D,4,FALSE)</f>
        <v>13.762464268752073</v>
      </c>
      <c r="G46" s="563" t="s">
        <v>65</v>
      </c>
      <c r="H46" s="563" t="s">
        <v>138</v>
      </c>
      <c r="I46" s="564">
        <f>VLOOKUP($A46,'Additional Tables'!$A:$I,3,FALSE)</f>
        <v>8.7131625781790342E-3</v>
      </c>
      <c r="J46" s="565">
        <f>VLOOKUP($A46,'Additional Tables'!$A:$I,4,FALSE)</f>
        <v>2.0693833240171839E-3</v>
      </c>
      <c r="K46" s="565">
        <f>VLOOKUP($A46,'Additional Tables'!$A:$I,5,FALSE)</f>
        <v>6.9999999999999999E-4</v>
      </c>
      <c r="L46" s="566">
        <f>VLOOKUP($A46,'Additional Tables'!$A:$I,6,FALSE)</f>
        <v>5.0000000000000001E-4</v>
      </c>
      <c r="M46" s="564">
        <f>VLOOKUP($A46,'Additional Tables'!$A:$I,7,FALSE)</f>
        <v>1.0370963400303463E-2</v>
      </c>
      <c r="N46" s="565">
        <f>VLOOKUP($A46,'Additional Tables'!$A:$I,8,FALSE)</f>
        <v>1.8217472153483441E-3</v>
      </c>
      <c r="O46" s="566">
        <f>VLOOKUP($A46,'Additional Tables'!$A:$I,9,FALSE)</f>
        <v>2.0272969472756369E-3</v>
      </c>
      <c r="P46" s="567">
        <v>1.5966129668985374E-4</v>
      </c>
      <c r="Q46" s="564">
        <v>0</v>
      </c>
      <c r="R46" s="568">
        <v>1.5196343789863889E-4</v>
      </c>
      <c r="S46" s="569">
        <v>0</v>
      </c>
      <c r="T46" s="568">
        <v>6.3502696389910841E-5</v>
      </c>
      <c r="U46" s="569">
        <v>0</v>
      </c>
      <c r="V46" s="568">
        <v>9.6016932309259226E-4</v>
      </c>
      <c r="W46" s="569">
        <v>0</v>
      </c>
      <c r="X46" s="568">
        <v>1.0501975800528849E-4</v>
      </c>
      <c r="Y46" s="569">
        <v>0</v>
      </c>
      <c r="Z46" s="568">
        <v>4.5187919731586429E-5</v>
      </c>
      <c r="AA46" s="569">
        <v>0</v>
      </c>
      <c r="AB46" s="564">
        <v>2.343162152470564E-5</v>
      </c>
      <c r="AC46" s="570">
        <v>0</v>
      </c>
    </row>
    <row r="47" spans="1:29" s="527" customFormat="1" ht="15.75" thickBot="1" x14ac:dyDescent="0.3">
      <c r="A47" s="571"/>
      <c r="B47" s="572"/>
      <c r="C47" s="572"/>
      <c r="D47" s="572">
        <v>7</v>
      </c>
      <c r="E47" s="573">
        <v>7</v>
      </c>
      <c r="F47" s="574">
        <v>902.80436944981079</v>
      </c>
      <c r="G47" s="573"/>
      <c r="H47" s="573"/>
      <c r="I47" s="575">
        <v>0.13034952098347277</v>
      </c>
      <c r="J47" s="576">
        <v>0.12302708924437052</v>
      </c>
      <c r="K47" s="576">
        <v>1.64544015E-2</v>
      </c>
      <c r="L47" s="577">
        <v>3.8153620999999999E-2</v>
      </c>
      <c r="M47" s="575">
        <v>0.31102936931971259</v>
      </c>
      <c r="N47" s="576">
        <v>0.12463525798809566</v>
      </c>
      <c r="O47" s="577">
        <v>8.2446399423316663E-2</v>
      </c>
      <c r="P47" s="578">
        <v>3.010350259015348E-3</v>
      </c>
      <c r="Q47" s="575">
        <v>0</v>
      </c>
      <c r="R47" s="579">
        <v>3.6672237324106341E-3</v>
      </c>
      <c r="S47" s="580">
        <v>8.1454998194459391E-4</v>
      </c>
      <c r="T47" s="579">
        <v>1.7975629616727314E-3</v>
      </c>
      <c r="U47" s="580">
        <v>1.8488278936906928E-4</v>
      </c>
      <c r="V47" s="579">
        <v>3.522603756971649E-3</v>
      </c>
      <c r="W47" s="580">
        <v>2.3325150647897463E-3</v>
      </c>
      <c r="X47" s="579">
        <v>1.9395644301598773E-3</v>
      </c>
      <c r="Y47" s="580">
        <v>0</v>
      </c>
      <c r="Z47" s="579">
        <v>4.7036415232795247E-4</v>
      </c>
      <c r="AA47" s="580">
        <v>7.8347091954967477E-4</v>
      </c>
      <c r="AB47" s="575">
        <v>3.0499169158190639E-4</v>
      </c>
      <c r="AC47" s="581">
        <v>4.1392705506087618E-5</v>
      </c>
    </row>
    <row r="48" spans="1:29" s="527" customFormat="1" ht="15.75" thickBot="1" x14ac:dyDescent="0.3">
      <c r="A48" s="515"/>
      <c r="B48" s="516"/>
      <c r="C48" s="516"/>
      <c r="D48" s="516"/>
      <c r="E48" s="541"/>
      <c r="F48" s="518"/>
      <c r="G48" s="519"/>
      <c r="H48" s="519"/>
      <c r="I48" s="520"/>
      <c r="J48" s="521"/>
      <c r="K48" s="521"/>
      <c r="L48" s="522"/>
      <c r="M48" s="520"/>
      <c r="N48" s="521"/>
      <c r="O48" s="522"/>
      <c r="P48" s="523"/>
      <c r="Q48" s="520"/>
      <c r="R48" s="524"/>
      <c r="S48" s="525"/>
      <c r="T48" s="524"/>
      <c r="U48" s="525"/>
      <c r="V48" s="524"/>
      <c r="W48" s="525"/>
      <c r="X48" s="524"/>
      <c r="Y48" s="525"/>
      <c r="Z48" s="524"/>
      <c r="AA48" s="525"/>
      <c r="AB48" s="520"/>
      <c r="AC48" s="526"/>
    </row>
    <row r="49" spans="1:29" s="527" customFormat="1" ht="15.75" thickBot="1" x14ac:dyDescent="0.3">
      <c r="A49" s="542" t="s">
        <v>71</v>
      </c>
      <c r="B49" s="543"/>
      <c r="C49" s="543"/>
      <c r="D49" s="544" t="s">
        <v>202</v>
      </c>
      <c r="E49" s="509" t="s">
        <v>89</v>
      </c>
      <c r="F49" s="545"/>
      <c r="G49" s="546"/>
      <c r="H49" s="546"/>
      <c r="I49" s="543"/>
      <c r="J49" s="545"/>
      <c r="K49" s="545"/>
      <c r="L49" s="547"/>
      <c r="M49" s="543"/>
      <c r="N49" s="545"/>
      <c r="O49" s="547"/>
      <c r="P49" s="542"/>
      <c r="Q49" s="543"/>
      <c r="R49" s="548"/>
      <c r="S49" s="549"/>
      <c r="T49" s="548"/>
      <c r="U49" s="549"/>
      <c r="V49" s="548"/>
      <c r="W49" s="549"/>
      <c r="X49" s="548"/>
      <c r="Y49" s="549"/>
      <c r="Z49" s="548"/>
      <c r="AA49" s="549"/>
      <c r="AB49" s="543"/>
      <c r="AC49" s="546"/>
    </row>
    <row r="50" spans="1:29" s="527" customFormat="1" ht="15.75" thickBot="1" x14ac:dyDescent="0.3">
      <c r="A50" s="595" t="s">
        <v>34</v>
      </c>
      <c r="B50" s="596" t="s">
        <v>24</v>
      </c>
      <c r="C50" s="596" t="s">
        <v>24</v>
      </c>
      <c r="D50" s="713" t="s">
        <v>127</v>
      </c>
      <c r="E50" s="597">
        <v>1</v>
      </c>
      <c r="F50" s="598">
        <f>VLOOKUP($A50,'Total Areas'!A:D,4,FALSE)</f>
        <v>246.71029765399999</v>
      </c>
      <c r="G50" s="599" t="s">
        <v>67</v>
      </c>
      <c r="H50" s="599" t="s">
        <v>139</v>
      </c>
      <c r="I50" s="600"/>
      <c r="J50" s="601"/>
      <c r="K50" s="601"/>
      <c r="L50" s="602"/>
      <c r="M50" s="600"/>
      <c r="N50" s="601"/>
      <c r="O50" s="602"/>
      <c r="P50" s="603"/>
      <c r="Q50" s="600"/>
      <c r="R50" s="604"/>
      <c r="S50" s="605"/>
      <c r="T50" s="604"/>
      <c r="U50" s="605"/>
      <c r="V50" s="604"/>
      <c r="W50" s="605"/>
      <c r="X50" s="604"/>
      <c r="Y50" s="605"/>
      <c r="Z50" s="604"/>
      <c r="AA50" s="605"/>
      <c r="AB50" s="600"/>
      <c r="AC50" s="606"/>
    </row>
    <row r="51" spans="1:29" s="527" customFormat="1" ht="30" x14ac:dyDescent="0.25">
      <c r="A51" s="515" t="s">
        <v>52</v>
      </c>
      <c r="B51" s="516" t="s">
        <v>36</v>
      </c>
      <c r="C51" s="516" t="s">
        <v>178</v>
      </c>
      <c r="D51" s="658"/>
      <c r="E51" s="517">
        <v>1</v>
      </c>
      <c r="F51" s="518">
        <f>VLOOKUP($A51,'Total Areas'!A:D,4,FALSE)</f>
        <v>3.5411670821825543</v>
      </c>
      <c r="G51" s="519" t="s">
        <v>67</v>
      </c>
      <c r="H51" s="519" t="s">
        <v>138</v>
      </c>
      <c r="I51" s="520">
        <f>VLOOKUP($A51,'Additional Tables'!$A:$I,3,FALSE)</f>
        <v>0</v>
      </c>
      <c r="J51" s="521">
        <f>VLOOKUP($A51,'Additional Tables'!$A:$I,4,FALSE)</f>
        <v>0</v>
      </c>
      <c r="K51" s="521">
        <f>VLOOKUP($A51,'Additional Tables'!$A:$I,5,FALSE)</f>
        <v>0</v>
      </c>
      <c r="L51" s="522">
        <f>VLOOKUP($A51,'Additional Tables'!$A:$I,6,FALSE)</f>
        <v>0</v>
      </c>
      <c r="M51" s="520">
        <f>VLOOKUP($A51,'Additional Tables'!$A:$I,7,FALSE)</f>
        <v>5.4301818557552879E-3</v>
      </c>
      <c r="N51" s="521">
        <f>VLOOKUP($A51,'Additional Tables'!$A:$I,8,FALSE)</f>
        <v>5.7526496444790175E-5</v>
      </c>
      <c r="O51" s="522" t="str">
        <f>VLOOKUP($A51,'Additional Tables'!$A:$I,9,FALSE)</f>
        <v>Not eval.</v>
      </c>
      <c r="P51" s="523">
        <v>3.4495884532313292E-8</v>
      </c>
      <c r="Q51" s="520">
        <v>0</v>
      </c>
      <c r="R51" s="524">
        <v>3.706444674252506E-8</v>
      </c>
      <c r="S51" s="525">
        <v>1.3310567449033118E-5</v>
      </c>
      <c r="T51" s="524">
        <v>0</v>
      </c>
      <c r="U51" s="525">
        <v>0</v>
      </c>
      <c r="V51" s="524">
        <v>1.5913324069575471E-5</v>
      </c>
      <c r="W51" s="525">
        <v>0</v>
      </c>
      <c r="X51" s="524">
        <v>1.1695916138751027E-6</v>
      </c>
      <c r="Y51" s="525">
        <v>0</v>
      </c>
      <c r="Z51" s="524">
        <v>3.2938496506504361E-8</v>
      </c>
      <c r="AA51" s="525">
        <v>6.9557295956318502E-6</v>
      </c>
      <c r="AB51" s="520">
        <v>0</v>
      </c>
      <c r="AC51" s="526">
        <v>0</v>
      </c>
    </row>
    <row r="52" spans="1:29" s="527" customFormat="1" ht="30" x14ac:dyDescent="0.25">
      <c r="A52" s="515" t="s">
        <v>57</v>
      </c>
      <c r="B52" s="516" t="s">
        <v>36</v>
      </c>
      <c r="C52" s="516" t="s">
        <v>178</v>
      </c>
      <c r="D52" s="658"/>
      <c r="E52" s="517">
        <v>1</v>
      </c>
      <c r="F52" s="518">
        <f>VLOOKUP($A52,'Total Areas'!A:D,4,FALSE)</f>
        <v>9.417736679411064</v>
      </c>
      <c r="G52" s="519" t="s">
        <v>67</v>
      </c>
      <c r="H52" s="519" t="s">
        <v>138</v>
      </c>
      <c r="I52" s="520">
        <f>VLOOKUP($A52,'Additional Tables'!$A:$I,3,FALSE)</f>
        <v>0</v>
      </c>
      <c r="J52" s="521">
        <f>VLOOKUP($A52,'Additional Tables'!$A:$I,4,FALSE)</f>
        <v>2.7398028980772744E-3</v>
      </c>
      <c r="K52" s="521">
        <f>VLOOKUP($A52,'Additional Tables'!$A:$I,5,FALSE)</f>
        <v>1E-4</v>
      </c>
      <c r="L52" s="522">
        <f>VLOOKUP($A52,'Additional Tables'!$A:$I,6,FALSE)</f>
        <v>1E-4</v>
      </c>
      <c r="M52" s="520">
        <f>VLOOKUP($A52,'Additional Tables'!$A:$I,7,FALSE)</f>
        <v>3.6110073163838956E-2</v>
      </c>
      <c r="N52" s="521">
        <f>VLOOKUP($A52,'Additional Tables'!$A:$I,8,FALSE)</f>
        <v>3.031077875465448E-3</v>
      </c>
      <c r="O52" s="522" t="str">
        <f>VLOOKUP($A52,'Additional Tables'!$A:$I,9,FALSE)</f>
        <v>Not eval.</v>
      </c>
      <c r="P52" s="523">
        <v>3.2394998057067057E-8</v>
      </c>
      <c r="Q52" s="520">
        <v>0</v>
      </c>
      <c r="R52" s="524">
        <v>1.60795369688128E-6</v>
      </c>
      <c r="S52" s="525">
        <v>0</v>
      </c>
      <c r="T52" s="524">
        <v>0</v>
      </c>
      <c r="U52" s="525">
        <v>0</v>
      </c>
      <c r="V52" s="524">
        <v>1.9505534222340942E-5</v>
      </c>
      <c r="W52" s="525">
        <v>0</v>
      </c>
      <c r="X52" s="524">
        <v>3.0682568954833973E-7</v>
      </c>
      <c r="Y52" s="525">
        <v>0</v>
      </c>
      <c r="Z52" s="524">
        <v>5.608167190109097E-8</v>
      </c>
      <c r="AA52" s="525">
        <v>0</v>
      </c>
      <c r="AB52" s="520">
        <v>0</v>
      </c>
      <c r="AC52" s="526">
        <v>0</v>
      </c>
    </row>
    <row r="53" spans="1:29" s="527" customFormat="1" ht="30" x14ac:dyDescent="0.25">
      <c r="A53" s="556" t="s">
        <v>33</v>
      </c>
      <c r="B53" s="551" t="s">
        <v>24</v>
      </c>
      <c r="C53" s="551" t="s">
        <v>24</v>
      </c>
      <c r="D53" s="660" t="s">
        <v>127</v>
      </c>
      <c r="E53" s="517">
        <v>1</v>
      </c>
      <c r="F53" s="518">
        <f>VLOOKUP($A53,'Total Areas'!A:D,4,FALSE)</f>
        <v>9.4229995417572265</v>
      </c>
      <c r="G53" s="519" t="s">
        <v>67</v>
      </c>
      <c r="H53" s="519" t="s">
        <v>138</v>
      </c>
      <c r="I53" s="553">
        <f>VLOOKUP($A53,'Additional Tables'!$A:$I,3,FALSE)</f>
        <v>0</v>
      </c>
      <c r="J53" s="554">
        <f>VLOOKUP($A53,'Additional Tables'!$A:$I,4,FALSE)</f>
        <v>1.9027105896028676E-3</v>
      </c>
      <c r="K53" s="554">
        <f>VLOOKUP($A53,'Additional Tables'!$A:$I,5,FALSE)</f>
        <v>1E-4</v>
      </c>
      <c r="L53" s="555">
        <f>VLOOKUP($A53,'Additional Tables'!$A:$I,6,FALSE)</f>
        <v>4.0000000000000002E-4</v>
      </c>
      <c r="M53" s="553">
        <f>VLOOKUP($A53,'Additional Tables'!$A:$I,7,FALSE)</f>
        <v>1.00827184017428E-2</v>
      </c>
      <c r="N53" s="554">
        <f>VLOOKUP($A53,'Additional Tables'!$A:$I,8,FALSE)</f>
        <v>2.0488472345375798E-3</v>
      </c>
      <c r="O53" s="555" t="str">
        <f>VLOOKUP($A53,'Additional Tables'!$A:$I,9,FALSE)</f>
        <v>Not eval.</v>
      </c>
      <c r="P53" s="556" t="s">
        <v>26</v>
      </c>
      <c r="Q53" s="551" t="s">
        <v>26</v>
      </c>
      <c r="R53" s="557" t="s">
        <v>26</v>
      </c>
      <c r="S53" s="558" t="s">
        <v>26</v>
      </c>
      <c r="T53" s="557" t="s">
        <v>26</v>
      </c>
      <c r="U53" s="558" t="s">
        <v>26</v>
      </c>
      <c r="V53" s="557" t="s">
        <v>26</v>
      </c>
      <c r="W53" s="558" t="s">
        <v>26</v>
      </c>
      <c r="X53" s="557" t="s">
        <v>26</v>
      </c>
      <c r="Y53" s="558" t="s">
        <v>26</v>
      </c>
      <c r="Z53" s="557" t="s">
        <v>26</v>
      </c>
      <c r="AA53" s="558" t="s">
        <v>26</v>
      </c>
      <c r="AB53" s="551" t="s">
        <v>26</v>
      </c>
      <c r="AC53" s="528" t="s">
        <v>26</v>
      </c>
    </row>
    <row r="54" spans="1:29" s="527" customFormat="1" ht="30.75" thickBot="1" x14ac:dyDescent="0.3">
      <c r="A54" s="515" t="s">
        <v>62</v>
      </c>
      <c r="B54" s="516" t="s">
        <v>36</v>
      </c>
      <c r="C54" s="516" t="s">
        <v>178</v>
      </c>
      <c r="D54" s="659" t="s">
        <v>127</v>
      </c>
      <c r="E54" s="529">
        <v>1</v>
      </c>
      <c r="F54" s="518">
        <f>VLOOKUP($A54,'Total Areas'!A:D,4,FALSE)</f>
        <v>2.4098405480566361</v>
      </c>
      <c r="G54" s="519" t="s">
        <v>67</v>
      </c>
      <c r="H54" s="519" t="s">
        <v>139</v>
      </c>
      <c r="I54" s="520">
        <f>VLOOKUP($A54,'Additional Tables'!$A:$I,3,FALSE)</f>
        <v>0</v>
      </c>
      <c r="J54" s="521">
        <f>VLOOKUP($A54,'Additional Tables'!$A:$I,4,FALSE)</f>
        <v>0</v>
      </c>
      <c r="K54" s="521">
        <f>VLOOKUP($A54,'Additional Tables'!$A:$I,5,FALSE)</f>
        <v>0</v>
      </c>
      <c r="L54" s="522">
        <f>VLOOKUP($A54,'Additional Tables'!$A:$I,6,FALSE)</f>
        <v>0</v>
      </c>
      <c r="M54" s="520">
        <f>VLOOKUP($A54,'Additional Tables'!$A:$I,7,FALSE)</f>
        <v>3.0822778918631347E-2</v>
      </c>
      <c r="N54" s="521">
        <f>VLOOKUP($A54,'Additional Tables'!$A:$I,8,FALSE)</f>
        <v>3.2653169433025819E-4</v>
      </c>
      <c r="O54" s="522" t="str">
        <f>VLOOKUP($A54,'Additional Tables'!$A:$I,9,FALSE)</f>
        <v>Not eval.</v>
      </c>
      <c r="P54" s="523">
        <v>0</v>
      </c>
      <c r="Q54" s="520">
        <v>0</v>
      </c>
      <c r="R54" s="524">
        <v>9.2213403270302123E-8</v>
      </c>
      <c r="S54" s="525">
        <v>0</v>
      </c>
      <c r="T54" s="524">
        <v>4.9686875520921599E-7</v>
      </c>
      <c r="U54" s="525">
        <v>0</v>
      </c>
      <c r="V54" s="524">
        <v>6.1005634289325682E-7</v>
      </c>
      <c r="W54" s="525">
        <v>0</v>
      </c>
      <c r="X54" s="524">
        <v>0</v>
      </c>
      <c r="Y54" s="525">
        <v>0</v>
      </c>
      <c r="Z54" s="524">
        <v>0</v>
      </c>
      <c r="AA54" s="525">
        <v>0</v>
      </c>
      <c r="AB54" s="520">
        <v>0</v>
      </c>
      <c r="AC54" s="526">
        <v>0</v>
      </c>
    </row>
    <row r="55" spans="1:29" s="527" customFormat="1" ht="15.75" thickBot="1" x14ac:dyDescent="0.3">
      <c r="A55" s="571"/>
      <c r="B55" s="572"/>
      <c r="C55" s="572"/>
      <c r="D55" s="572">
        <f>COUNTIF(D50:D54,"=X")</f>
        <v>3</v>
      </c>
      <c r="E55" s="573">
        <f>COUNTIF(E50:E54,"&gt;0")</f>
        <v>5</v>
      </c>
      <c r="F55" s="574">
        <f>SUMIF(E50:E54,"&gt;=1",F50:F54)</f>
        <v>271.50204150540753</v>
      </c>
      <c r="G55" s="573"/>
      <c r="H55" s="573"/>
      <c r="I55" s="575">
        <f t="shared" ref="I55:AC55" si="3">SUMIF($E$51:$E$54,"&gt;=1",I51:I54)</f>
        <v>0</v>
      </c>
      <c r="J55" s="576">
        <f t="shared" si="3"/>
        <v>4.642513487680142E-3</v>
      </c>
      <c r="K55" s="576">
        <f t="shared" si="3"/>
        <v>2.0000000000000001E-4</v>
      </c>
      <c r="L55" s="577">
        <f t="shared" si="3"/>
        <v>5.0000000000000001E-4</v>
      </c>
      <c r="M55" s="575">
        <f t="shared" si="3"/>
        <v>8.2445752339968384E-2</v>
      </c>
      <c r="N55" s="576">
        <f t="shared" si="3"/>
        <v>5.4639833007780764E-3</v>
      </c>
      <c r="O55" s="577">
        <f t="shared" si="3"/>
        <v>0</v>
      </c>
      <c r="P55" s="578">
        <f t="shared" si="3"/>
        <v>6.6890882589380356E-8</v>
      </c>
      <c r="Q55" s="575">
        <f t="shared" si="3"/>
        <v>0</v>
      </c>
      <c r="R55" s="579">
        <f t="shared" si="3"/>
        <v>1.7372315468941072E-6</v>
      </c>
      <c r="S55" s="580">
        <f t="shared" si="3"/>
        <v>1.3310567449033118E-5</v>
      </c>
      <c r="T55" s="579">
        <f t="shared" si="3"/>
        <v>4.9686875520921599E-7</v>
      </c>
      <c r="U55" s="580">
        <f t="shared" si="3"/>
        <v>0</v>
      </c>
      <c r="V55" s="579">
        <f t="shared" si="3"/>
        <v>3.6028914634809671E-5</v>
      </c>
      <c r="W55" s="580">
        <f t="shared" si="3"/>
        <v>0</v>
      </c>
      <c r="X55" s="579">
        <f t="shared" si="3"/>
        <v>1.4764173034234425E-6</v>
      </c>
      <c r="Y55" s="580">
        <f t="shared" si="3"/>
        <v>0</v>
      </c>
      <c r="Z55" s="579">
        <f t="shared" si="3"/>
        <v>8.9020168407595338E-8</v>
      </c>
      <c r="AA55" s="580">
        <f t="shared" si="3"/>
        <v>6.9557295956318502E-6</v>
      </c>
      <c r="AB55" s="575">
        <f t="shared" si="3"/>
        <v>0</v>
      </c>
      <c r="AC55" s="581">
        <f t="shared" si="3"/>
        <v>0</v>
      </c>
    </row>
    <row r="56" spans="1:29" x14ac:dyDescent="0.25">
      <c r="A56" s="607" t="s">
        <v>166</v>
      </c>
    </row>
    <row r="57" spans="1:29" x14ac:dyDescent="0.25">
      <c r="A57" s="630" t="s">
        <v>330</v>
      </c>
    </row>
    <row r="59" spans="1:29" ht="15.75" thickBot="1" x14ac:dyDescent="0.3"/>
    <row r="60" spans="1:29" ht="15.75" thickBot="1" x14ac:dyDescent="0.3">
      <c r="A60" s="610" t="s">
        <v>231</v>
      </c>
      <c r="B60" s="611"/>
      <c r="C60" s="611"/>
      <c r="D60" s="611"/>
      <c r="E60" s="611"/>
      <c r="F60" s="611"/>
      <c r="G60" s="611"/>
      <c r="H60" s="611"/>
      <c r="I60" s="611"/>
      <c r="J60" s="611"/>
      <c r="K60" s="611"/>
      <c r="L60" s="611"/>
      <c r="M60" s="611"/>
      <c r="N60" s="611"/>
      <c r="O60" s="611"/>
      <c r="P60" s="611"/>
      <c r="Q60" s="611"/>
      <c r="R60" s="611"/>
      <c r="S60" s="611"/>
      <c r="T60" s="611"/>
      <c r="U60" s="611"/>
      <c r="V60" s="611"/>
      <c r="W60" s="611"/>
      <c r="X60" s="612"/>
    </row>
    <row r="61" spans="1:29" ht="15" customHeight="1" x14ac:dyDescent="0.25">
      <c r="A61" s="613"/>
      <c r="B61" s="759"/>
      <c r="C61" s="764" t="s">
        <v>77</v>
      </c>
      <c r="D61" s="759"/>
      <c r="E61" s="759"/>
      <c r="F61" s="765"/>
      <c r="G61" s="764" t="s">
        <v>78</v>
      </c>
      <c r="H61" s="768"/>
      <c r="I61" s="769"/>
      <c r="J61" s="773" t="s">
        <v>2</v>
      </c>
      <c r="K61" s="774"/>
      <c r="L61" s="774"/>
      <c r="M61" s="774"/>
      <c r="N61" s="774"/>
      <c r="O61" s="774"/>
      <c r="P61" s="774"/>
      <c r="Q61" s="774"/>
      <c r="R61" s="774"/>
      <c r="S61" s="774"/>
      <c r="T61" s="774"/>
      <c r="U61" s="774"/>
      <c r="V61" s="774"/>
      <c r="W61" s="494"/>
      <c r="X61" s="777" t="s">
        <v>97</v>
      </c>
      <c r="AC61" s="608"/>
    </row>
    <row r="62" spans="1:29" ht="21" customHeight="1" x14ac:dyDescent="0.25">
      <c r="A62" s="614"/>
      <c r="B62" s="760"/>
      <c r="C62" s="766"/>
      <c r="D62" s="760"/>
      <c r="E62" s="760"/>
      <c r="F62" s="767"/>
      <c r="G62" s="770"/>
      <c r="H62" s="792"/>
      <c r="I62" s="772"/>
      <c r="J62" s="776" t="s">
        <v>5</v>
      </c>
      <c r="K62" s="758"/>
      <c r="L62" s="757" t="s">
        <v>6</v>
      </c>
      <c r="M62" s="758"/>
      <c r="N62" s="757" t="s">
        <v>7</v>
      </c>
      <c r="O62" s="758"/>
      <c r="P62" s="757" t="s">
        <v>8</v>
      </c>
      <c r="Q62" s="758"/>
      <c r="R62" s="757" t="s">
        <v>9</v>
      </c>
      <c r="S62" s="758"/>
      <c r="T62" s="757" t="s">
        <v>10</v>
      </c>
      <c r="U62" s="758"/>
      <c r="V62" s="757" t="s">
        <v>11</v>
      </c>
      <c r="W62" s="775"/>
      <c r="X62" s="778"/>
      <c r="AC62" s="608"/>
    </row>
    <row r="63" spans="1:29" ht="23.25" thickBot="1" x14ac:dyDescent="0.3">
      <c r="A63" s="614"/>
      <c r="B63" s="615" t="s">
        <v>63</v>
      </c>
      <c r="C63" s="497" t="s">
        <v>18</v>
      </c>
      <c r="D63" s="499" t="s">
        <v>19</v>
      </c>
      <c r="E63" s="616" t="s">
        <v>187</v>
      </c>
      <c r="F63" s="617" t="s">
        <v>188</v>
      </c>
      <c r="G63" s="618" t="s">
        <v>18</v>
      </c>
      <c r="H63" s="615" t="s">
        <v>19</v>
      </c>
      <c r="I63" s="619" t="s">
        <v>189</v>
      </c>
      <c r="J63" s="614" t="s">
        <v>21</v>
      </c>
      <c r="K63" s="618" t="s">
        <v>22</v>
      </c>
      <c r="L63" s="620" t="s">
        <v>21</v>
      </c>
      <c r="M63" s="621" t="s">
        <v>22</v>
      </c>
      <c r="N63" s="620" t="s">
        <v>21</v>
      </c>
      <c r="O63" s="621" t="s">
        <v>22</v>
      </c>
      <c r="P63" s="620" t="s">
        <v>21</v>
      </c>
      <c r="Q63" s="621" t="s">
        <v>22</v>
      </c>
      <c r="R63" s="620" t="s">
        <v>21</v>
      </c>
      <c r="S63" s="621" t="s">
        <v>22</v>
      </c>
      <c r="T63" s="620" t="s">
        <v>21</v>
      </c>
      <c r="U63" s="621" t="s">
        <v>22</v>
      </c>
      <c r="V63" s="618" t="s">
        <v>21</v>
      </c>
      <c r="W63" s="618" t="s">
        <v>22</v>
      </c>
      <c r="X63" s="779"/>
      <c r="AC63" s="608"/>
    </row>
    <row r="64" spans="1:29" ht="15.75" thickBot="1" x14ac:dyDescent="0.3">
      <c r="A64" s="622" t="s">
        <v>95</v>
      </c>
      <c r="B64" s="623">
        <f>SUMIF($B$5:$B$13,"=Existing",F5:F13)+SUMIF($B$17:$B$26,"=Existing",F17:F26)+SUMIF($B$30:$B$35,"=Existing",F30:F35)+SUMIF($B$39:$B$46,"=Existing",F$39:F$46)+SUMIF($B$50:$B$54,"=Existing",F50:F54)</f>
        <v>1271.675987051013</v>
      </c>
      <c r="C64" s="624">
        <f t="shared" ref="C64:W64" si="4">SUMIF($B$5:$B$13,"=Existing",I5:I13)+SUMIF($B$17:$B$26,"=Existing",I17:I26)+SUMIF($B$30:$B$35,"=Existing",I30:I35)+SUMIF($B$39:$B$46,"=Existing",I$39:I$46)+SUMIF($B$50:$B$54,"=Existing",I50:I54)</f>
        <v>0.19666620724357389</v>
      </c>
      <c r="D64" s="625">
        <f t="shared" si="4"/>
        <v>0.11711551978987883</v>
      </c>
      <c r="E64" s="625">
        <f t="shared" si="4"/>
        <v>3.3254401500000003E-2</v>
      </c>
      <c r="F64" s="626">
        <f t="shared" si="4"/>
        <v>7.5753620999999993E-2</v>
      </c>
      <c r="G64" s="624">
        <f t="shared" si="4"/>
        <v>0.11914044181970132</v>
      </c>
      <c r="H64" s="625">
        <f t="shared" si="4"/>
        <v>0.11566940420094583</v>
      </c>
      <c r="I64" s="626">
        <f t="shared" si="4"/>
        <v>5.495446703401452E-2</v>
      </c>
      <c r="J64" s="624">
        <f t="shared" si="4"/>
        <v>0</v>
      </c>
      <c r="K64" s="625">
        <f t="shared" si="4"/>
        <v>0</v>
      </c>
      <c r="L64" s="627">
        <f t="shared" si="4"/>
        <v>0</v>
      </c>
      <c r="M64" s="625">
        <f t="shared" si="4"/>
        <v>0</v>
      </c>
      <c r="N64" s="627">
        <f t="shared" si="4"/>
        <v>0</v>
      </c>
      <c r="O64" s="625">
        <f t="shared" si="4"/>
        <v>0</v>
      </c>
      <c r="P64" s="627">
        <f t="shared" si="4"/>
        <v>0</v>
      </c>
      <c r="Q64" s="625">
        <f t="shared" si="4"/>
        <v>0</v>
      </c>
      <c r="R64" s="627">
        <f t="shared" si="4"/>
        <v>0</v>
      </c>
      <c r="S64" s="625">
        <f t="shared" si="4"/>
        <v>0</v>
      </c>
      <c r="T64" s="627">
        <f t="shared" si="4"/>
        <v>0</v>
      </c>
      <c r="U64" s="625">
        <f t="shared" si="4"/>
        <v>0</v>
      </c>
      <c r="V64" s="627">
        <f t="shared" si="4"/>
        <v>0</v>
      </c>
      <c r="W64" s="626">
        <f t="shared" si="4"/>
        <v>0</v>
      </c>
      <c r="X64" s="599">
        <f>COUNTIF(B5:B54,"=Existing")</f>
        <v>9</v>
      </c>
      <c r="AC64" s="608"/>
    </row>
    <row r="65" spans="1:29" ht="30.75" thickBot="1" x14ac:dyDescent="0.3">
      <c r="A65" s="628" t="s">
        <v>216</v>
      </c>
      <c r="B65" s="623">
        <f>SUMIF($D$5:$D$13,"=X",F5:F13)+SUMIF($D$17:$D$26,"=X",F17:F26)+SUMIF($D$30:$D$35,"=X",F30:F35)+SUMIF($D$39:$D$46,"=X",F$39:F$46)+SUMIF($D$50:$D$54,"=X",F50:F54)</f>
        <v>1411.2838142300093</v>
      </c>
      <c r="C65" s="624">
        <f t="shared" ref="C65:W65" si="5">SUMIF($D$5:$D$13,"=X",I5:I13)+SUMIF($D$17:$D$26,"=X",I17:I26)+SUMIF($D$30:$D$35,"=X",I30:I35)+SUMIF($D$39:$D$46,"=X",I$39:I$46)+SUMIF($D$50:$D$54,"=X",I50:I54)</f>
        <v>0.43718579054130724</v>
      </c>
      <c r="D65" s="625">
        <f t="shared" si="5"/>
        <v>0.1583270205247457</v>
      </c>
      <c r="E65" s="625">
        <f t="shared" si="5"/>
        <v>5.1354401500000008E-2</v>
      </c>
      <c r="F65" s="626">
        <f t="shared" si="5"/>
        <v>0.113153621</v>
      </c>
      <c r="G65" s="624">
        <f t="shared" si="5"/>
        <v>0.25721266642651197</v>
      </c>
      <c r="H65" s="625">
        <f t="shared" si="5"/>
        <v>0.15238896672888455</v>
      </c>
      <c r="I65" s="626">
        <f t="shared" si="5"/>
        <v>7.2658389808005278E-2</v>
      </c>
      <c r="J65" s="624">
        <f t="shared" si="5"/>
        <v>1.3027653950625355E-2</v>
      </c>
      <c r="K65" s="625">
        <f t="shared" si="5"/>
        <v>7.8331398923266495E-3</v>
      </c>
      <c r="L65" s="627">
        <f t="shared" si="5"/>
        <v>1.2454354569522631E-2</v>
      </c>
      <c r="M65" s="625">
        <f t="shared" si="5"/>
        <v>4.7050158512624389E-3</v>
      </c>
      <c r="N65" s="627">
        <f t="shared" si="5"/>
        <v>2.0331476010188046E-2</v>
      </c>
      <c r="O65" s="625">
        <f t="shared" si="5"/>
        <v>3.297123701750846E-2</v>
      </c>
      <c r="P65" s="627">
        <f t="shared" si="5"/>
        <v>7.8478683862875289E-3</v>
      </c>
      <c r="Q65" s="625">
        <f t="shared" si="5"/>
        <v>6.039553294270303E-3</v>
      </c>
      <c r="R65" s="627">
        <f t="shared" si="5"/>
        <v>5.4562743449279019E-3</v>
      </c>
      <c r="S65" s="625">
        <f t="shared" si="5"/>
        <v>0</v>
      </c>
      <c r="T65" s="627">
        <f t="shared" si="5"/>
        <v>7.2068119549110691E-3</v>
      </c>
      <c r="U65" s="625">
        <f t="shared" si="5"/>
        <v>1.0221566731359211E-2</v>
      </c>
      <c r="V65" s="627">
        <f t="shared" si="5"/>
        <v>6.7909664172680533E-3</v>
      </c>
      <c r="W65" s="626">
        <f t="shared" si="5"/>
        <v>1.1114564487614438E-3</v>
      </c>
      <c r="X65" s="599">
        <f>COUNTIF(D5:D54,"=X")</f>
        <v>14</v>
      </c>
      <c r="AC65" s="608"/>
    </row>
    <row r="66" spans="1:29" ht="33.75" customHeight="1" thickBot="1" x14ac:dyDescent="0.3">
      <c r="A66" s="629" t="s">
        <v>98</v>
      </c>
      <c r="B66" s="623">
        <f>SUM(F14,F27,F36,F47,F55)</f>
        <v>1864.6201039316622</v>
      </c>
      <c r="C66" s="624">
        <f t="shared" ref="C66:W66" si="6">SUM(I14,I27,I36,I47,I55)</f>
        <v>0.55567490551599641</v>
      </c>
      <c r="D66" s="625">
        <f t="shared" si="6"/>
        <v>0.27068141854233085</v>
      </c>
      <c r="E66" s="625">
        <f t="shared" si="6"/>
        <v>0.1134544015</v>
      </c>
      <c r="F66" s="626">
        <f t="shared" si="6"/>
        <v>0.22705362100000001</v>
      </c>
      <c r="G66" s="624">
        <f t="shared" si="6"/>
        <v>0.61374352529413612</v>
      </c>
      <c r="H66" s="625">
        <f t="shared" si="6"/>
        <v>0.2645406729347084</v>
      </c>
      <c r="I66" s="626">
        <f t="shared" si="6"/>
        <v>0.16186537353340813</v>
      </c>
      <c r="J66" s="624">
        <f t="shared" si="6"/>
        <v>2.9191728430865628E-2</v>
      </c>
      <c r="K66" s="625">
        <f t="shared" si="6"/>
        <v>1.1921502418614399E-2</v>
      </c>
      <c r="L66" s="627">
        <f t="shared" si="6"/>
        <v>3.0690868775091917E-2</v>
      </c>
      <c r="M66" s="625">
        <f t="shared" si="6"/>
        <v>8.3952626609249126E-3</v>
      </c>
      <c r="N66" s="627">
        <f t="shared" si="6"/>
        <v>3.9193425344488983E-2</v>
      </c>
      <c r="O66" s="625">
        <f t="shared" si="6"/>
        <v>1.8610626310195687E-2</v>
      </c>
      <c r="P66" s="627">
        <f t="shared" si="6"/>
        <v>1.3225475788929873E-2</v>
      </c>
      <c r="Q66" s="625">
        <f t="shared" si="6"/>
        <v>7.7703154579811529E-3</v>
      </c>
      <c r="R66" s="627">
        <f t="shared" si="6"/>
        <v>1.0902624545937262E-2</v>
      </c>
      <c r="S66" s="625">
        <f t="shared" si="6"/>
        <v>0</v>
      </c>
      <c r="T66" s="627">
        <f t="shared" si="6"/>
        <v>1.4546537187511463E-2</v>
      </c>
      <c r="U66" s="625">
        <f t="shared" si="6"/>
        <v>9.6495116750102954E-3</v>
      </c>
      <c r="V66" s="627">
        <f t="shared" si="6"/>
        <v>2.4733734138325247E-2</v>
      </c>
      <c r="W66" s="626">
        <f t="shared" si="6"/>
        <v>7.5648757362203785E-3</v>
      </c>
      <c r="X66" s="599">
        <f>X65</f>
        <v>14</v>
      </c>
      <c r="AA66" s="609"/>
      <c r="AC66" s="608"/>
    </row>
    <row r="67" spans="1:29" ht="15.75" thickBot="1" x14ac:dyDescent="0.3">
      <c r="A67" s="630" t="s">
        <v>167</v>
      </c>
      <c r="I67" s="608" t="s">
        <v>190</v>
      </c>
      <c r="AA67" s="609"/>
      <c r="AC67" s="608"/>
    </row>
    <row r="68" spans="1:29" ht="15.75" thickBot="1" x14ac:dyDescent="0.3">
      <c r="A68" s="631" t="s">
        <v>99</v>
      </c>
      <c r="B68" s="714">
        <v>0.5</v>
      </c>
      <c r="C68" s="608" t="s">
        <v>100</v>
      </c>
      <c r="AA68" s="609"/>
      <c r="AC68" s="608"/>
    </row>
    <row r="69" spans="1:29" x14ac:dyDescent="0.25">
      <c r="C69" s="608" t="s">
        <v>168</v>
      </c>
      <c r="AA69" s="609"/>
      <c r="AC69" s="608"/>
    </row>
    <row r="70" spans="1:29" ht="15.75" thickBot="1" x14ac:dyDescent="0.3">
      <c r="AA70" s="609"/>
      <c r="AC70" s="608"/>
    </row>
    <row r="71" spans="1:29" ht="17.25" x14ac:dyDescent="0.25">
      <c r="A71" s="789" t="s">
        <v>218</v>
      </c>
      <c r="B71" s="632">
        <f>B64-F41</f>
        <v>768.69647464717673</v>
      </c>
      <c r="C71" s="633" t="s">
        <v>172</v>
      </c>
      <c r="D71" s="634"/>
      <c r="E71" s="634"/>
      <c r="F71" s="634"/>
      <c r="G71" s="634"/>
      <c r="H71" s="635"/>
      <c r="AA71" s="609"/>
      <c r="AC71" s="608"/>
    </row>
    <row r="72" spans="1:29" ht="17.25" x14ac:dyDescent="0.25">
      <c r="A72" s="790"/>
      <c r="B72" s="636">
        <f>B66-IF(E41=1,F41,0)</f>
        <v>1361.640591527826</v>
      </c>
      <c r="C72" s="637" t="s">
        <v>173</v>
      </c>
      <c r="D72" s="638"/>
      <c r="E72" s="638"/>
      <c r="F72" s="638"/>
      <c r="G72" s="638"/>
      <c r="H72" s="639"/>
      <c r="AA72" s="609"/>
      <c r="AC72" s="608"/>
    </row>
    <row r="73" spans="1:29" ht="17.25" x14ac:dyDescent="0.25">
      <c r="A73" s="790"/>
      <c r="B73" s="636">
        <f>B72-B71</f>
        <v>592.94411688064929</v>
      </c>
      <c r="C73" s="637" t="s">
        <v>174</v>
      </c>
      <c r="D73" s="638"/>
      <c r="E73" s="638"/>
      <c r="F73" s="638"/>
      <c r="G73" s="638"/>
      <c r="H73" s="639"/>
      <c r="AA73" s="609"/>
      <c r="AC73" s="608"/>
    </row>
    <row r="74" spans="1:29" x14ac:dyDescent="0.25">
      <c r="A74" s="790"/>
      <c r="B74" s="640">
        <f>E66/E64</f>
        <v>3.4117108227011688</v>
      </c>
      <c r="C74" s="637" t="s">
        <v>169</v>
      </c>
      <c r="D74" s="638"/>
      <c r="E74" s="638"/>
      <c r="F74" s="638"/>
      <c r="G74" s="638"/>
      <c r="H74" s="639"/>
      <c r="AA74" s="609"/>
      <c r="AC74" s="608"/>
    </row>
    <row r="75" spans="1:29" x14ac:dyDescent="0.25">
      <c r="A75" s="790"/>
      <c r="B75" s="640">
        <f>I66/I64</f>
        <v>2.9454452434816667</v>
      </c>
      <c r="C75" s="637" t="s">
        <v>170</v>
      </c>
      <c r="D75" s="638"/>
      <c r="E75" s="638"/>
      <c r="F75" s="638"/>
      <c r="G75" s="638"/>
      <c r="H75" s="639"/>
      <c r="AA75" s="609"/>
      <c r="AC75" s="608"/>
    </row>
    <row r="76" spans="1:29" ht="15.75" thickBot="1" x14ac:dyDescent="0.3">
      <c r="A76" s="791"/>
      <c r="B76" s="641">
        <f>B72/B71</f>
        <v>1.7713631276282413</v>
      </c>
      <c r="C76" s="642" t="s">
        <v>171</v>
      </c>
      <c r="D76" s="643"/>
      <c r="E76" s="643"/>
      <c r="F76" s="643"/>
      <c r="G76" s="643"/>
      <c r="H76" s="644"/>
      <c r="AA76" s="609"/>
      <c r="AC76" s="608"/>
    </row>
    <row r="77" spans="1:29" ht="15.75" thickBot="1" x14ac:dyDescent="0.3"/>
    <row r="78" spans="1:29" ht="17.25" x14ac:dyDescent="0.25">
      <c r="A78" s="780" t="s">
        <v>219</v>
      </c>
      <c r="B78" s="645">
        <f>B64-F41</f>
        <v>768.69647464717673</v>
      </c>
      <c r="C78" s="646" t="s">
        <v>172</v>
      </c>
      <c r="D78" s="647"/>
      <c r="E78" s="647"/>
      <c r="F78" s="647"/>
      <c r="G78" s="647"/>
      <c r="H78" s="648"/>
    </row>
    <row r="79" spans="1:29" ht="17.25" x14ac:dyDescent="0.25">
      <c r="A79" s="781"/>
      <c r="B79" s="649">
        <f>B65-IF(D41="X",F41,0)</f>
        <v>908.30430182617306</v>
      </c>
      <c r="C79" s="650" t="s">
        <v>173</v>
      </c>
      <c r="D79" s="651"/>
      <c r="E79" s="651"/>
      <c r="F79" s="651"/>
      <c r="G79" s="651"/>
      <c r="H79" s="652"/>
    </row>
    <row r="80" spans="1:29" ht="17.25" x14ac:dyDescent="0.25">
      <c r="A80" s="781"/>
      <c r="B80" s="649">
        <f>B79-B78</f>
        <v>139.60782717899633</v>
      </c>
      <c r="C80" s="650" t="s">
        <v>174</v>
      </c>
      <c r="D80" s="651"/>
      <c r="E80" s="651"/>
      <c r="F80" s="651"/>
      <c r="G80" s="651"/>
      <c r="H80" s="652"/>
    </row>
    <row r="81" spans="1:8" x14ac:dyDescent="0.25">
      <c r="A81" s="781"/>
      <c r="B81" s="653">
        <f>E65/E64</f>
        <v>1.5442888515073712</v>
      </c>
      <c r="C81" s="650" t="s">
        <v>169</v>
      </c>
      <c r="D81" s="651"/>
      <c r="E81" s="651"/>
      <c r="F81" s="651"/>
      <c r="G81" s="651"/>
      <c r="H81" s="652"/>
    </row>
    <row r="82" spans="1:8" x14ac:dyDescent="0.25">
      <c r="A82" s="781"/>
      <c r="B82" s="653">
        <f>I65/I64</f>
        <v>1.3221562091218675</v>
      </c>
      <c r="C82" s="650" t="s">
        <v>170</v>
      </c>
      <c r="D82" s="651"/>
      <c r="E82" s="651"/>
      <c r="F82" s="651"/>
      <c r="G82" s="651"/>
      <c r="H82" s="652"/>
    </row>
    <row r="83" spans="1:8" ht="15.75" thickBot="1" x14ac:dyDescent="0.3">
      <c r="A83" s="782"/>
      <c r="B83" s="654">
        <f>B79/B78</f>
        <v>1.1816163229356227</v>
      </c>
      <c r="C83" s="655" t="s">
        <v>171</v>
      </c>
      <c r="D83" s="656"/>
      <c r="E83" s="656"/>
      <c r="F83" s="656"/>
      <c r="G83" s="656"/>
      <c r="H83" s="657"/>
    </row>
  </sheetData>
  <sheetProtection password="EE40" sheet="1" objects="1" scenarios="1"/>
  <mergeCells count="30">
    <mergeCell ref="A78:A83"/>
    <mergeCell ref="E1:E3"/>
    <mergeCell ref="I12:O12"/>
    <mergeCell ref="R62:S62"/>
    <mergeCell ref="T62:U62"/>
    <mergeCell ref="D1:D3"/>
    <mergeCell ref="A71:A76"/>
    <mergeCell ref="B61:B62"/>
    <mergeCell ref="C61:F62"/>
    <mergeCell ref="G61:I62"/>
    <mergeCell ref="A1:C2"/>
    <mergeCell ref="X61:X63"/>
    <mergeCell ref="J62:K62"/>
    <mergeCell ref="L62:M62"/>
    <mergeCell ref="N62:O62"/>
    <mergeCell ref="P62:Q62"/>
    <mergeCell ref="V62:W62"/>
    <mergeCell ref="J61:V61"/>
    <mergeCell ref="X2:Y2"/>
    <mergeCell ref="Z2:AA2"/>
    <mergeCell ref="F1:F2"/>
    <mergeCell ref="H1:H3"/>
    <mergeCell ref="I1:L2"/>
    <mergeCell ref="M1:O2"/>
    <mergeCell ref="P1:AB1"/>
    <mergeCell ref="AB2:AC2"/>
    <mergeCell ref="P2:Q2"/>
    <mergeCell ref="R2:S2"/>
    <mergeCell ref="T2:U2"/>
    <mergeCell ref="V2:W2"/>
  </mergeCells>
  <conditionalFormatting sqref="I51:I54 I17:I26 I28 I37 I30:I35 I5:I11 I13">
    <cfRule type="colorScale" priority="44">
      <colorScale>
        <cfvo type="min"/>
        <cfvo type="max"/>
        <color rgb="FFFFEF9C"/>
        <color rgb="FFFF7128"/>
      </colorScale>
    </cfRule>
  </conditionalFormatting>
  <conditionalFormatting sqref="J51:K54 J17:K26 J28:K28 J37:K37 J30:K35 J5:K11 J13:K13">
    <cfRule type="colorScale" priority="45">
      <colorScale>
        <cfvo type="min"/>
        <cfvo type="max"/>
        <color rgb="FFFFEF9C"/>
        <color rgb="FFFF7128"/>
      </colorScale>
    </cfRule>
  </conditionalFormatting>
  <conditionalFormatting sqref="L51:L54 L17:L26 L28 L37 L30:L35 L5:L11 L13">
    <cfRule type="colorScale" priority="46">
      <colorScale>
        <cfvo type="min"/>
        <cfvo type="max"/>
        <color rgb="FFFFEF9C"/>
        <color rgb="FFFF7128"/>
      </colorScale>
    </cfRule>
  </conditionalFormatting>
  <conditionalFormatting sqref="M51:M54 M17:M26 M28 M37 M30:M35 M5:M11 M13">
    <cfRule type="colorScale" priority="47">
      <colorScale>
        <cfvo type="min"/>
        <cfvo type="max"/>
        <color rgb="FFFFEF9C"/>
        <color rgb="FFFF7128"/>
      </colorScale>
    </cfRule>
  </conditionalFormatting>
  <conditionalFormatting sqref="N51:N54 N17:N26 N28 N37 N30:N35 N5:N11 N13">
    <cfRule type="colorScale" priority="48">
      <colorScale>
        <cfvo type="min"/>
        <cfvo type="max"/>
        <color rgb="FFFFEF9C"/>
        <color rgb="FFFF7128"/>
      </colorScale>
    </cfRule>
  </conditionalFormatting>
  <conditionalFormatting sqref="O51:O54 O17:O26 O28 O37 O30:O35 O5:O11 O13">
    <cfRule type="colorScale" priority="49">
      <colorScale>
        <cfvo type="min"/>
        <cfvo type="max"/>
        <color rgb="FFFFEF9C"/>
        <color rgb="FFFF7128"/>
      </colorScale>
    </cfRule>
  </conditionalFormatting>
  <conditionalFormatting sqref="P17:P26 P48 P28 P39:P46 P51:P54 P37 P30:P35 P5:P13">
    <cfRule type="colorScale" priority="50">
      <colorScale>
        <cfvo type="min"/>
        <cfvo type="max"/>
        <color rgb="FFFFEF9C"/>
        <color rgb="FFFF7128"/>
      </colorScale>
    </cfRule>
  </conditionalFormatting>
  <conditionalFormatting sqref="Q17:Q26 Q48 Q28 Q39:Q46 Q51:Q54 Q37 Q30:Q35 Q5:Q13">
    <cfRule type="colorScale" priority="51">
      <colorScale>
        <cfvo type="min"/>
        <cfvo type="max"/>
        <color rgb="FFFFEF9C"/>
        <color rgb="FFFF7128"/>
      </colorScale>
    </cfRule>
  </conditionalFormatting>
  <conditionalFormatting sqref="R17:R26 R48 R28 R39:R46 R51:R54 R37 R30:R35 R5:R13">
    <cfRule type="colorScale" priority="52">
      <colorScale>
        <cfvo type="min"/>
        <cfvo type="max"/>
        <color rgb="FFFFEF9C"/>
        <color rgb="FFFF7128"/>
      </colorScale>
    </cfRule>
  </conditionalFormatting>
  <conditionalFormatting sqref="S17:S26 S48 S28 S39:S46 S51:S54 S37 S30:S35 S5:S13">
    <cfRule type="colorScale" priority="53">
      <colorScale>
        <cfvo type="min"/>
        <cfvo type="max"/>
        <color rgb="FFFFEF9C"/>
        <color rgb="FFFF7128"/>
      </colorScale>
    </cfRule>
  </conditionalFormatting>
  <conditionalFormatting sqref="T17:T26 T48 T28 T39:T46 T51:T54 T37 T30:T35 T5:T13">
    <cfRule type="colorScale" priority="54">
      <colorScale>
        <cfvo type="min"/>
        <cfvo type="max"/>
        <color rgb="FFFFEF9C"/>
        <color rgb="FFFF7128"/>
      </colorScale>
    </cfRule>
  </conditionalFormatting>
  <conditionalFormatting sqref="U17:U26 U48 U28 U39:U46 U51:U54 U37 U30:U35 U5:U13">
    <cfRule type="colorScale" priority="55">
      <colorScale>
        <cfvo type="min"/>
        <cfvo type="max"/>
        <color rgb="FFFFEF9C"/>
        <color rgb="FFFF7128"/>
      </colorScale>
    </cfRule>
  </conditionalFormatting>
  <conditionalFormatting sqref="V17:V26 V48 V28 V39:V46 V51:V54 V37 V30:V35 V5:V13">
    <cfRule type="colorScale" priority="56">
      <colorScale>
        <cfvo type="min"/>
        <cfvo type="max"/>
        <color rgb="FFFFEF9C"/>
        <color rgb="FFFF7128"/>
      </colorScale>
    </cfRule>
  </conditionalFormatting>
  <conditionalFormatting sqref="W17:W26 W48 W28 W39:W46 W51:W54 W37 W30:W35 W5:W13">
    <cfRule type="colorScale" priority="57">
      <colorScale>
        <cfvo type="min"/>
        <cfvo type="max"/>
        <color rgb="FFFFEF9C"/>
        <color rgb="FFFF7128"/>
      </colorScale>
    </cfRule>
  </conditionalFormatting>
  <conditionalFormatting sqref="X17:X26 X48 X28 X39:X46 X51:X54 X37 X30:X35 X5:X13">
    <cfRule type="colorScale" priority="58">
      <colorScale>
        <cfvo type="min"/>
        <cfvo type="max"/>
        <color rgb="FFFFEF9C"/>
        <color rgb="FFFF7128"/>
      </colorScale>
    </cfRule>
  </conditionalFormatting>
  <conditionalFormatting sqref="Y17:Y26 Y48 Y28 Y39:Y46 Y51:Y54 Y37 Y30:Y35 Y5:Y13">
    <cfRule type="colorScale" priority="59">
      <colorScale>
        <cfvo type="min"/>
        <cfvo type="max"/>
        <color rgb="FFFFEF9C"/>
        <color rgb="FFFF7128"/>
      </colorScale>
    </cfRule>
  </conditionalFormatting>
  <conditionalFormatting sqref="Z17:Z26 Z48 Z28 Z39:Z46 Z51:Z54 Z37 Z30:Z35 Z5:Z13">
    <cfRule type="colorScale" priority="60">
      <colorScale>
        <cfvo type="min"/>
        <cfvo type="max"/>
        <color rgb="FFFFEF9C"/>
        <color rgb="FFFF7128"/>
      </colorScale>
    </cfRule>
  </conditionalFormatting>
  <conditionalFormatting sqref="AA17:AA26 AA48 AA28 AA39:AA46 AA51:AA54 AA37 AA30:AA35 AA5:AA13">
    <cfRule type="colorScale" priority="61">
      <colorScale>
        <cfvo type="min"/>
        <cfvo type="max"/>
        <color rgb="FFFFEF9C"/>
        <color rgb="FFFF7128"/>
      </colorScale>
    </cfRule>
  </conditionalFormatting>
  <conditionalFormatting sqref="AB17:AB26 AB48 AB28 AB39:AB46 AB51:AB54 AB37 AB30:AB35 AB5:AB13">
    <cfRule type="colorScale" priority="62">
      <colorScale>
        <cfvo type="min"/>
        <cfvo type="max"/>
        <color rgb="FFFFEF9C"/>
        <color rgb="FFFF7128"/>
      </colorScale>
    </cfRule>
  </conditionalFormatting>
  <conditionalFormatting sqref="AC17:AC26 AC48 AC28 AC39:AC46 AC51:AC54 AC37 AC30:AC35 AC5:AC13">
    <cfRule type="colorScale" priority="63">
      <colorScale>
        <cfvo type="min"/>
        <cfvo type="max"/>
        <color rgb="FFFFEF9C"/>
        <color rgb="FFFF7128"/>
      </colorScale>
    </cfRule>
  </conditionalFormatting>
  <conditionalFormatting sqref="I39:I46 I48">
    <cfRule type="colorScale" priority="64">
      <colorScale>
        <cfvo type="min"/>
        <cfvo type="max"/>
        <color rgb="FFFFEF9C"/>
        <color rgb="FFFF7128"/>
      </colorScale>
    </cfRule>
  </conditionalFormatting>
  <conditionalFormatting sqref="J48:K48 J39:K46">
    <cfRule type="colorScale" priority="65">
      <colorScale>
        <cfvo type="min"/>
        <cfvo type="max"/>
        <color rgb="FFFFEF9C"/>
        <color rgb="FFFF7128"/>
      </colorScale>
    </cfRule>
  </conditionalFormatting>
  <conditionalFormatting sqref="L39:L46 L48">
    <cfRule type="colorScale" priority="66">
      <colorScale>
        <cfvo type="min"/>
        <cfvo type="max"/>
        <color rgb="FFFFEF9C"/>
        <color rgb="FFFF7128"/>
      </colorScale>
    </cfRule>
  </conditionalFormatting>
  <conditionalFormatting sqref="M39:M46 M48">
    <cfRule type="colorScale" priority="67">
      <colorScale>
        <cfvo type="min"/>
        <cfvo type="max"/>
        <color rgb="FFFFEF9C"/>
        <color rgb="FFFF7128"/>
      </colorScale>
    </cfRule>
  </conditionalFormatting>
  <conditionalFormatting sqref="N39:N46 N48">
    <cfRule type="colorScale" priority="68">
      <colorScale>
        <cfvo type="min"/>
        <cfvo type="max"/>
        <color rgb="FFFFEF9C"/>
        <color rgb="FFFF7128"/>
      </colorScale>
    </cfRule>
  </conditionalFormatting>
  <conditionalFormatting sqref="O39:O46 O48">
    <cfRule type="colorScale" priority="69">
      <colorScale>
        <cfvo type="min"/>
        <cfvo type="max"/>
        <color rgb="FFFFEF9C"/>
        <color rgb="FFFF7128"/>
      </colorScale>
    </cfRule>
  </conditionalFormatting>
  <conditionalFormatting sqref="I15">
    <cfRule type="colorScale" priority="43">
      <colorScale>
        <cfvo type="min"/>
        <cfvo type="max"/>
        <color rgb="FFFFEF9C"/>
        <color rgb="FFFF7128"/>
      </colorScale>
    </cfRule>
  </conditionalFormatting>
  <conditionalFormatting sqref="J15:K15">
    <cfRule type="colorScale" priority="42">
      <colorScale>
        <cfvo type="min"/>
        <cfvo type="max"/>
        <color rgb="FFFFEF9C"/>
        <color rgb="FFFF7128"/>
      </colorScale>
    </cfRule>
  </conditionalFormatting>
  <conditionalFormatting sqref="L15">
    <cfRule type="colorScale" priority="41">
      <colorScale>
        <cfvo type="min"/>
        <cfvo type="max"/>
        <color rgb="FFFFEF9C"/>
        <color rgb="FFFF7128"/>
      </colorScale>
    </cfRule>
  </conditionalFormatting>
  <conditionalFormatting sqref="M15">
    <cfRule type="colorScale" priority="40">
      <colorScale>
        <cfvo type="min"/>
        <cfvo type="max"/>
        <color rgb="FFFFEF9C"/>
        <color rgb="FFFF7128"/>
      </colorScale>
    </cfRule>
  </conditionalFormatting>
  <conditionalFormatting sqref="N15">
    <cfRule type="colorScale" priority="39">
      <colorScale>
        <cfvo type="min"/>
        <cfvo type="max"/>
        <color rgb="FFFFEF9C"/>
        <color rgb="FFFF7128"/>
      </colorScale>
    </cfRule>
  </conditionalFormatting>
  <conditionalFormatting sqref="O15">
    <cfRule type="colorScale" priority="38">
      <colorScale>
        <cfvo type="min"/>
        <cfvo type="max"/>
        <color rgb="FFFFEF9C"/>
        <color rgb="FFFF7128"/>
      </colorScale>
    </cfRule>
  </conditionalFormatting>
  <conditionalFormatting sqref="P15">
    <cfRule type="colorScale" priority="37">
      <colorScale>
        <cfvo type="min"/>
        <cfvo type="max"/>
        <color rgb="FFFFEF9C"/>
        <color rgb="FFFF7128"/>
      </colorScale>
    </cfRule>
  </conditionalFormatting>
  <conditionalFormatting sqref="Q15">
    <cfRule type="colorScale" priority="36">
      <colorScale>
        <cfvo type="min"/>
        <cfvo type="max"/>
        <color rgb="FFFFEF9C"/>
        <color rgb="FFFF7128"/>
      </colorScale>
    </cfRule>
  </conditionalFormatting>
  <conditionalFormatting sqref="R15">
    <cfRule type="colorScale" priority="35">
      <colorScale>
        <cfvo type="min"/>
        <cfvo type="max"/>
        <color rgb="FFFFEF9C"/>
        <color rgb="FFFF7128"/>
      </colorScale>
    </cfRule>
  </conditionalFormatting>
  <conditionalFormatting sqref="S15">
    <cfRule type="colorScale" priority="34">
      <colorScale>
        <cfvo type="min"/>
        <cfvo type="max"/>
        <color rgb="FFFFEF9C"/>
        <color rgb="FFFF7128"/>
      </colorScale>
    </cfRule>
  </conditionalFormatting>
  <conditionalFormatting sqref="T15">
    <cfRule type="colorScale" priority="33">
      <colorScale>
        <cfvo type="min"/>
        <cfvo type="max"/>
        <color rgb="FFFFEF9C"/>
        <color rgb="FFFF7128"/>
      </colorScale>
    </cfRule>
  </conditionalFormatting>
  <conditionalFormatting sqref="U15">
    <cfRule type="colorScale" priority="32">
      <colorScale>
        <cfvo type="min"/>
        <cfvo type="max"/>
        <color rgb="FFFFEF9C"/>
        <color rgb="FFFF7128"/>
      </colorScale>
    </cfRule>
  </conditionalFormatting>
  <conditionalFormatting sqref="V15">
    <cfRule type="colorScale" priority="31">
      <colorScale>
        <cfvo type="min"/>
        <cfvo type="max"/>
        <color rgb="FFFFEF9C"/>
        <color rgb="FFFF7128"/>
      </colorScale>
    </cfRule>
  </conditionalFormatting>
  <conditionalFormatting sqref="W15">
    <cfRule type="colorScale" priority="30">
      <colorScale>
        <cfvo type="min"/>
        <cfvo type="max"/>
        <color rgb="FFFFEF9C"/>
        <color rgb="FFFF7128"/>
      </colorScale>
    </cfRule>
  </conditionalFormatting>
  <conditionalFormatting sqref="X15">
    <cfRule type="colorScale" priority="29">
      <colorScale>
        <cfvo type="min"/>
        <cfvo type="max"/>
        <color rgb="FFFFEF9C"/>
        <color rgb="FFFF7128"/>
      </colorScale>
    </cfRule>
  </conditionalFormatting>
  <conditionalFormatting sqref="Y15">
    <cfRule type="colorScale" priority="28">
      <colorScale>
        <cfvo type="min"/>
        <cfvo type="max"/>
        <color rgb="FFFFEF9C"/>
        <color rgb="FFFF7128"/>
      </colorScale>
    </cfRule>
  </conditionalFormatting>
  <conditionalFormatting sqref="Z15">
    <cfRule type="colorScale" priority="27">
      <colorScale>
        <cfvo type="min"/>
        <cfvo type="max"/>
        <color rgb="FFFFEF9C"/>
        <color rgb="FFFF7128"/>
      </colorScale>
    </cfRule>
  </conditionalFormatting>
  <conditionalFormatting sqref="AA15">
    <cfRule type="colorScale" priority="26">
      <colorScale>
        <cfvo type="min"/>
        <cfvo type="max"/>
        <color rgb="FFFFEF9C"/>
        <color rgb="FFFF7128"/>
      </colorScale>
    </cfRule>
  </conditionalFormatting>
  <conditionalFormatting sqref="AB15">
    <cfRule type="colorScale" priority="25">
      <colorScale>
        <cfvo type="min"/>
        <cfvo type="max"/>
        <color rgb="FFFFEF9C"/>
        <color rgb="FFFF7128"/>
      </colorScale>
    </cfRule>
  </conditionalFormatting>
  <conditionalFormatting sqref="AC15">
    <cfRule type="colorScale" priority="24">
      <colorScale>
        <cfvo type="min"/>
        <cfvo type="max"/>
        <color rgb="FFFFEF9C"/>
        <color rgb="FFFF7128"/>
      </colorScale>
    </cfRule>
  </conditionalFormatting>
  <conditionalFormatting sqref="F17:F26 F48 F28 F39:F46 F51:F54 F37 F30:F35 F5:F13">
    <cfRule type="colorScale" priority="23">
      <colorScale>
        <cfvo type="min"/>
        <cfvo type="max"/>
        <color rgb="FFFFEF9C"/>
        <color rgb="FFFF7128"/>
      </colorScale>
    </cfRule>
  </conditionalFormatting>
  <conditionalFormatting sqref="F15">
    <cfRule type="colorScale" priority="22">
      <colorScale>
        <cfvo type="min"/>
        <cfvo type="max"/>
        <color rgb="FFFFEF9C"/>
        <color rgb="FFFF7128"/>
      </colorScale>
    </cfRule>
  </conditionalFormatting>
  <conditionalFormatting sqref="I50">
    <cfRule type="colorScale" priority="21">
      <colorScale>
        <cfvo type="min"/>
        <cfvo type="max"/>
        <color rgb="FFFFEF9C"/>
        <color rgb="FFFF7128"/>
      </colorScale>
    </cfRule>
  </conditionalFormatting>
  <conditionalFormatting sqref="J50:K50">
    <cfRule type="colorScale" priority="20">
      <colorScale>
        <cfvo type="min"/>
        <cfvo type="max"/>
        <color rgb="FFFFEF9C"/>
        <color rgb="FFFF7128"/>
      </colorScale>
    </cfRule>
  </conditionalFormatting>
  <conditionalFormatting sqref="L50">
    <cfRule type="colorScale" priority="19">
      <colorScale>
        <cfvo type="min"/>
        <cfvo type="max"/>
        <color rgb="FFFFEF9C"/>
        <color rgb="FFFF7128"/>
      </colorScale>
    </cfRule>
  </conditionalFormatting>
  <conditionalFormatting sqref="M50">
    <cfRule type="colorScale" priority="18">
      <colorScale>
        <cfvo type="min"/>
        <cfvo type="max"/>
        <color rgb="FFFFEF9C"/>
        <color rgb="FFFF7128"/>
      </colorScale>
    </cfRule>
  </conditionalFormatting>
  <conditionalFormatting sqref="N50">
    <cfRule type="colorScale" priority="17">
      <colorScale>
        <cfvo type="min"/>
        <cfvo type="max"/>
        <color rgb="FFFFEF9C"/>
        <color rgb="FFFF7128"/>
      </colorScale>
    </cfRule>
  </conditionalFormatting>
  <conditionalFormatting sqref="O50">
    <cfRule type="colorScale" priority="16">
      <colorScale>
        <cfvo type="min"/>
        <cfvo type="max"/>
        <color rgb="FFFFEF9C"/>
        <color rgb="FFFF7128"/>
      </colorScale>
    </cfRule>
  </conditionalFormatting>
  <conditionalFormatting sqref="P50">
    <cfRule type="colorScale" priority="15">
      <colorScale>
        <cfvo type="min"/>
        <cfvo type="max"/>
        <color rgb="FFFFEF9C"/>
        <color rgb="FFFF7128"/>
      </colorScale>
    </cfRule>
  </conditionalFormatting>
  <conditionalFormatting sqref="Q50">
    <cfRule type="colorScale" priority="14">
      <colorScale>
        <cfvo type="min"/>
        <cfvo type="max"/>
        <color rgb="FFFFEF9C"/>
        <color rgb="FFFF7128"/>
      </colorScale>
    </cfRule>
  </conditionalFormatting>
  <conditionalFormatting sqref="R50">
    <cfRule type="colorScale" priority="13">
      <colorScale>
        <cfvo type="min"/>
        <cfvo type="max"/>
        <color rgb="FFFFEF9C"/>
        <color rgb="FFFF7128"/>
      </colorScale>
    </cfRule>
  </conditionalFormatting>
  <conditionalFormatting sqref="S50">
    <cfRule type="colorScale" priority="12">
      <colorScale>
        <cfvo type="min"/>
        <cfvo type="max"/>
        <color rgb="FFFFEF9C"/>
        <color rgb="FFFF7128"/>
      </colorScale>
    </cfRule>
  </conditionalFormatting>
  <conditionalFormatting sqref="T50">
    <cfRule type="colorScale" priority="11">
      <colorScale>
        <cfvo type="min"/>
        <cfvo type="max"/>
        <color rgb="FFFFEF9C"/>
        <color rgb="FFFF7128"/>
      </colorScale>
    </cfRule>
  </conditionalFormatting>
  <conditionalFormatting sqref="U50">
    <cfRule type="colorScale" priority="10">
      <colorScale>
        <cfvo type="min"/>
        <cfvo type="max"/>
        <color rgb="FFFFEF9C"/>
        <color rgb="FFFF7128"/>
      </colorScale>
    </cfRule>
  </conditionalFormatting>
  <conditionalFormatting sqref="V50">
    <cfRule type="colorScale" priority="9">
      <colorScale>
        <cfvo type="min"/>
        <cfvo type="max"/>
        <color rgb="FFFFEF9C"/>
        <color rgb="FFFF7128"/>
      </colorScale>
    </cfRule>
  </conditionalFormatting>
  <conditionalFormatting sqref="W50">
    <cfRule type="colorScale" priority="8">
      <colorScale>
        <cfvo type="min"/>
        <cfvo type="max"/>
        <color rgb="FFFFEF9C"/>
        <color rgb="FFFF7128"/>
      </colorScale>
    </cfRule>
  </conditionalFormatting>
  <conditionalFormatting sqref="X50">
    <cfRule type="colorScale" priority="7">
      <colorScale>
        <cfvo type="min"/>
        <cfvo type="max"/>
        <color rgb="FFFFEF9C"/>
        <color rgb="FFFF7128"/>
      </colorScale>
    </cfRule>
  </conditionalFormatting>
  <conditionalFormatting sqref="Y50">
    <cfRule type="colorScale" priority="6">
      <colorScale>
        <cfvo type="min"/>
        <cfvo type="max"/>
        <color rgb="FFFFEF9C"/>
        <color rgb="FFFF7128"/>
      </colorScale>
    </cfRule>
  </conditionalFormatting>
  <conditionalFormatting sqref="Z50">
    <cfRule type="colorScale" priority="5">
      <colorScale>
        <cfvo type="min"/>
        <cfvo type="max"/>
        <color rgb="FFFFEF9C"/>
        <color rgb="FFFF7128"/>
      </colorScale>
    </cfRule>
  </conditionalFormatting>
  <conditionalFormatting sqref="AA50">
    <cfRule type="colorScale" priority="4">
      <colorScale>
        <cfvo type="min"/>
        <cfvo type="max"/>
        <color rgb="FFFFEF9C"/>
        <color rgb="FFFF7128"/>
      </colorScale>
    </cfRule>
  </conditionalFormatting>
  <conditionalFormatting sqref="AB50">
    <cfRule type="colorScale" priority="3">
      <colorScale>
        <cfvo type="min"/>
        <cfvo type="max"/>
        <color rgb="FFFFEF9C"/>
        <color rgb="FFFF7128"/>
      </colorScale>
    </cfRule>
  </conditionalFormatting>
  <conditionalFormatting sqref="AC50">
    <cfRule type="colorScale" priority="2">
      <colorScale>
        <cfvo type="min"/>
        <cfvo type="max"/>
        <color rgb="FFFFEF9C"/>
        <color rgb="FFFF7128"/>
      </colorScale>
    </cfRule>
  </conditionalFormatting>
  <conditionalFormatting sqref="F50">
    <cfRule type="colorScale" priority="1">
      <colorScale>
        <cfvo type="min"/>
        <cfvo type="max"/>
        <color rgb="FFFFEF9C"/>
        <color rgb="FFFF7128"/>
      </colorScale>
    </cfRule>
  </conditionalFormatting>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
  <sheetViews>
    <sheetView topLeftCell="A7" workbookViewId="0">
      <selection activeCell="G34" sqref="G34"/>
    </sheetView>
  </sheetViews>
  <sheetFormatPr defaultColWidth="29.42578125" defaultRowHeight="15" x14ac:dyDescent="0.25"/>
  <cols>
    <col min="1" max="1" width="26" style="192" bestFit="1" customWidth="1"/>
    <col min="2" max="2" width="9.42578125" style="192" bestFit="1" customWidth="1"/>
    <col min="3" max="4" width="12" style="192" bestFit="1" customWidth="1"/>
    <col min="5" max="5" width="6.28515625" style="192" bestFit="1" customWidth="1"/>
    <col min="6" max="6" width="11.28515625" style="192" bestFit="1" customWidth="1"/>
    <col min="7" max="7" width="9" style="192" bestFit="1" customWidth="1"/>
    <col min="8" max="8" width="9.140625" style="192" bestFit="1" customWidth="1"/>
    <col min="9" max="11" width="9" style="192" bestFit="1" customWidth="1"/>
    <col min="12" max="12" width="9.140625" style="192" bestFit="1" customWidth="1"/>
    <col min="13" max="15" width="10" style="192" bestFit="1" customWidth="1"/>
    <col min="16" max="16" width="6.85546875" style="192" bestFit="1" customWidth="1"/>
    <col min="17" max="17" width="10.5703125" style="192" bestFit="1" customWidth="1"/>
    <col min="18" max="18" width="8.5703125" style="192" bestFit="1" customWidth="1"/>
    <col min="19" max="19" width="5.140625" style="192" bestFit="1" customWidth="1"/>
    <col min="20" max="20" width="8.28515625" style="192" bestFit="1" customWidth="1"/>
    <col min="21" max="22" width="10" style="192" bestFit="1" customWidth="1"/>
    <col min="23" max="23" width="6.85546875" style="192" bestFit="1" customWidth="1"/>
    <col min="24" max="24" width="10.5703125" style="192" bestFit="1" customWidth="1"/>
    <col min="25" max="25" width="8.5703125" style="192" bestFit="1" customWidth="1"/>
    <col min="26" max="26" width="5.140625" style="192" bestFit="1" customWidth="1"/>
    <col min="27" max="27" width="8.28515625" style="192" bestFit="1" customWidth="1"/>
    <col min="28" max="29" width="19.28515625" style="192" bestFit="1" customWidth="1"/>
    <col min="30" max="16384" width="29.42578125" style="192"/>
  </cols>
  <sheetData>
    <row r="1" spans="1:31" ht="22.5" x14ac:dyDescent="0.25">
      <c r="A1" s="189"/>
      <c r="B1" s="190"/>
      <c r="C1" s="191" t="s">
        <v>83</v>
      </c>
      <c r="D1" s="195" t="s">
        <v>163</v>
      </c>
      <c r="E1" s="190"/>
      <c r="F1" s="752" t="s">
        <v>149</v>
      </c>
      <c r="G1" s="799" t="s">
        <v>77</v>
      </c>
      <c r="H1" s="754"/>
      <c r="I1" s="754"/>
      <c r="J1" s="751"/>
      <c r="K1" s="800" t="s">
        <v>78</v>
      </c>
      <c r="L1" s="754"/>
      <c r="M1" s="751"/>
      <c r="N1" s="719" t="s">
        <v>153</v>
      </c>
      <c r="O1" s="754"/>
      <c r="P1" s="754"/>
      <c r="Q1" s="754"/>
      <c r="R1" s="754"/>
      <c r="S1" s="754"/>
      <c r="T1" s="751"/>
      <c r="U1" s="719" t="s">
        <v>154</v>
      </c>
      <c r="V1" s="754"/>
      <c r="W1" s="754"/>
      <c r="X1" s="754"/>
      <c r="Y1" s="754"/>
      <c r="Z1" s="754"/>
      <c r="AA1" s="751"/>
      <c r="AB1" s="719" t="s">
        <v>145</v>
      </c>
      <c r="AC1" s="751"/>
      <c r="AD1" s="719" t="s">
        <v>162</v>
      </c>
      <c r="AE1" s="751"/>
    </row>
    <row r="2" spans="1:31" ht="30.75" thickBot="1" x14ac:dyDescent="0.3">
      <c r="A2" s="12" t="s">
        <v>12</v>
      </c>
      <c r="B2" s="13" t="s">
        <v>13</v>
      </c>
      <c r="C2" s="196" t="s">
        <v>63</v>
      </c>
      <c r="D2" s="19" t="s">
        <v>63</v>
      </c>
      <c r="E2" s="13" t="s">
        <v>14</v>
      </c>
      <c r="F2" s="753"/>
      <c r="G2" s="12" t="s">
        <v>150</v>
      </c>
      <c r="H2" s="14" t="s">
        <v>151</v>
      </c>
      <c r="I2" s="14" t="s">
        <v>182</v>
      </c>
      <c r="J2" s="19" t="s">
        <v>183</v>
      </c>
      <c r="K2" s="12" t="s">
        <v>150</v>
      </c>
      <c r="L2" s="14" t="s">
        <v>151</v>
      </c>
      <c r="M2" s="19" t="s">
        <v>186</v>
      </c>
      <c r="N2" s="12" t="s">
        <v>5</v>
      </c>
      <c r="O2" s="17" t="s">
        <v>6</v>
      </c>
      <c r="P2" s="17" t="s">
        <v>7</v>
      </c>
      <c r="Q2" s="17" t="s">
        <v>8</v>
      </c>
      <c r="R2" s="17" t="s">
        <v>9</v>
      </c>
      <c r="S2" s="17" t="s">
        <v>10</v>
      </c>
      <c r="T2" s="213" t="s">
        <v>11</v>
      </c>
      <c r="U2" s="12" t="s">
        <v>5</v>
      </c>
      <c r="V2" s="17" t="s">
        <v>6</v>
      </c>
      <c r="W2" s="17" t="s">
        <v>7</v>
      </c>
      <c r="X2" s="17" t="s">
        <v>8</v>
      </c>
      <c r="Y2" s="17" t="s">
        <v>9</v>
      </c>
      <c r="Z2" s="17" t="s">
        <v>10</v>
      </c>
      <c r="AA2" s="213" t="s">
        <v>11</v>
      </c>
      <c r="AB2" s="17" t="s">
        <v>146</v>
      </c>
      <c r="AC2" s="213" t="s">
        <v>147</v>
      </c>
      <c r="AD2" s="17" t="s">
        <v>146</v>
      </c>
      <c r="AE2" s="213" t="s">
        <v>147</v>
      </c>
    </row>
    <row r="3" spans="1:31" x14ac:dyDescent="0.25">
      <c r="A3" s="193" t="s">
        <v>50</v>
      </c>
      <c r="B3" s="43" t="s">
        <v>36</v>
      </c>
      <c r="C3" s="197">
        <v>21.967395184679404</v>
      </c>
      <c r="D3" s="198">
        <v>21.967395184696191</v>
      </c>
      <c r="E3" s="43" t="s">
        <v>49</v>
      </c>
      <c r="F3" s="124" t="s">
        <v>135</v>
      </c>
      <c r="G3" s="207">
        <f>VLOOKUP($A3,'Additional Tables'!$A:$I,3,FALSE)</f>
        <v>0</v>
      </c>
      <c r="H3" s="208">
        <f>VLOOKUP($A3,'Additional Tables'!$A:$I,4,FALSE)</f>
        <v>7.375244404305926E-3</v>
      </c>
      <c r="I3" s="208">
        <f>VLOOKUP($A3,'Additional Tables'!$A:$I,5,FALSE)</f>
        <v>9.9000000000000008E-3</v>
      </c>
      <c r="J3" s="209">
        <f>VLOOKUP($A3,'Additional Tables'!$A:$I,6,FALSE)</f>
        <v>3.5999999999999999E-3</v>
      </c>
      <c r="K3" s="208">
        <f>VLOOKUP($A3,'Additional Tables'!$A:$I,7,FALSE)</f>
        <v>0</v>
      </c>
      <c r="L3" s="208">
        <f>VLOOKUP($A3,'Additional Tables'!$A:$I,8,FALSE)</f>
        <v>7.5276630954452467E-3</v>
      </c>
      <c r="M3" s="209">
        <f>VLOOKUP($A3,'Additional Tables'!$A:$I,9,FALSE)</f>
        <v>4.6279841458284864E-3</v>
      </c>
      <c r="N3" s="207">
        <v>0</v>
      </c>
      <c r="O3" s="208">
        <v>0</v>
      </c>
      <c r="P3" s="208">
        <v>0</v>
      </c>
      <c r="Q3" s="208">
        <v>0</v>
      </c>
      <c r="R3" s="208">
        <v>0</v>
      </c>
      <c r="S3" s="208">
        <v>0</v>
      </c>
      <c r="T3" s="209">
        <v>0</v>
      </c>
      <c r="U3" s="207">
        <v>8.3141979940185715E-5</v>
      </c>
      <c r="V3" s="208">
        <v>9.8586787394160718E-5</v>
      </c>
      <c r="W3" s="208">
        <v>1.7576162805018794E-5</v>
      </c>
      <c r="X3" s="208">
        <v>9.4127446857543429E-6</v>
      </c>
      <c r="Y3" s="208">
        <v>6.0624276822017621E-5</v>
      </c>
      <c r="Z3" s="208">
        <v>1.0126726696731411E-5</v>
      </c>
      <c r="AA3" s="209">
        <v>6.0936189030176299E-5</v>
      </c>
      <c r="AB3" s="199">
        <f>J3/C3</f>
        <v>1.6387923874154763E-4</v>
      </c>
      <c r="AC3" s="200">
        <f>M3/C3</f>
        <v>2.1067514409064554E-4</v>
      </c>
      <c r="AD3" s="199">
        <f>H3/C3</f>
        <v>3.3573595514180949E-4</v>
      </c>
      <c r="AE3" s="200">
        <f>L3/C3</f>
        <v>3.4267436044011363E-4</v>
      </c>
    </row>
    <row r="4" spans="1:31" x14ac:dyDescent="0.25">
      <c r="A4" s="193" t="s">
        <v>91</v>
      </c>
      <c r="B4" s="43" t="s">
        <v>36</v>
      </c>
      <c r="C4" s="197">
        <v>2.4673660862597364</v>
      </c>
      <c r="D4" s="198">
        <v>2.4673660862597364</v>
      </c>
      <c r="E4" s="43" t="s">
        <v>49</v>
      </c>
      <c r="F4" s="124" t="s">
        <v>137</v>
      </c>
      <c r="G4" s="207">
        <f>VLOOKUP($A4,'Additional Tables'!$A:$I,3,FALSE)</f>
        <v>0</v>
      </c>
      <c r="H4" s="208">
        <f>VLOOKUP($A4,'Additional Tables'!$A:$I,4,FALSE)</f>
        <v>1.3833083750653401E-3</v>
      </c>
      <c r="I4" s="208">
        <f>VLOOKUP($A4,'Additional Tables'!$A:$I,5,FALSE)</f>
        <v>1.4E-3</v>
      </c>
      <c r="J4" s="209">
        <f>VLOOKUP($A4,'Additional Tables'!$A:$I,6,FALSE)</f>
        <v>5.0000000000000001E-4</v>
      </c>
      <c r="K4" s="208">
        <f>VLOOKUP($A4,'Additional Tables'!$A:$I,7,FALSE)</f>
        <v>0</v>
      </c>
      <c r="L4" s="208">
        <f>VLOOKUP($A4,'Additional Tables'!$A:$I,8,FALSE)</f>
        <v>1.4118961804872761E-3</v>
      </c>
      <c r="M4" s="209">
        <f>VLOOKUP($A4,'Additional Tables'!$A:$I,9,FALSE)</f>
        <v>5.3328961042034887E-4</v>
      </c>
      <c r="N4" s="207">
        <v>0</v>
      </c>
      <c r="O4" s="208">
        <v>6.1899999999999987E-4</v>
      </c>
      <c r="P4" s="208">
        <v>1.12E-4</v>
      </c>
      <c r="Q4" s="208">
        <v>0</v>
      </c>
      <c r="R4" s="208">
        <v>0</v>
      </c>
      <c r="S4" s="208">
        <v>4.3100000000000001E-4</v>
      </c>
      <c r="T4" s="209">
        <v>0</v>
      </c>
      <c r="U4" s="207">
        <v>2.1799478263706472E-4</v>
      </c>
      <c r="V4" s="208">
        <v>2.1680439160428979E-4</v>
      </c>
      <c r="W4" s="208">
        <v>3.0785593420321824E-5</v>
      </c>
      <c r="X4" s="208">
        <v>8.2085645010181582E-6</v>
      </c>
      <c r="Y4" s="208">
        <v>1.0149573959700067E-5</v>
      </c>
      <c r="Z4" s="208">
        <v>4.7318182848889008E-5</v>
      </c>
      <c r="AA4" s="209">
        <v>1.3560765332511695E-4</v>
      </c>
      <c r="AB4" s="199">
        <f t="shared" ref="AB4:AB27" si="0">J4/C4</f>
        <v>2.0264524295133952E-4</v>
      </c>
      <c r="AC4" s="200">
        <f t="shared" ref="AC4:AC23" si="1">M4/C4</f>
        <v>2.161372053341136E-4</v>
      </c>
      <c r="AD4" s="199">
        <f t="shared" ref="AD4:AD27" si="2">H4/C4</f>
        <v>5.6064172348347708E-4</v>
      </c>
      <c r="AE4" s="200">
        <f t="shared" ref="AE4:AE27" si="3">L4/C4</f>
        <v>5.7222808903382473E-4</v>
      </c>
    </row>
    <row r="5" spans="1:31" x14ac:dyDescent="0.25">
      <c r="A5" s="193" t="s">
        <v>47</v>
      </c>
      <c r="B5" s="43" t="s">
        <v>36</v>
      </c>
      <c r="C5" s="197">
        <v>72.39463672800774</v>
      </c>
      <c r="D5" s="198">
        <v>58.93795133533429</v>
      </c>
      <c r="E5" s="43" t="s">
        <v>49</v>
      </c>
      <c r="F5" s="124" t="s">
        <v>138</v>
      </c>
      <c r="G5" s="207">
        <f>VLOOKUP($A5,'Additional Tables'!$A:$I,3,FALSE)</f>
        <v>1.8000161867181334E-2</v>
      </c>
      <c r="H5" s="208">
        <f>VLOOKUP($A5,'Additional Tables'!$A:$I,4,FALSE)</f>
        <v>1.0713643031712045E-2</v>
      </c>
      <c r="I5" s="208">
        <f>VLOOKUP($A5,'Additional Tables'!$A:$I,5,FALSE)</f>
        <v>1.4E-2</v>
      </c>
      <c r="J5" s="209">
        <f>VLOOKUP($A5,'Additional Tables'!$A:$I,6,FALSE)</f>
        <v>1.4E-2</v>
      </c>
      <c r="K5" s="208">
        <f>VLOOKUP($A5,'Additional Tables'!$A:$I,7,FALSE)</f>
        <v>0</v>
      </c>
      <c r="L5" s="208">
        <f>VLOOKUP($A5,'Additional Tables'!$A:$I,8,FALSE)</f>
        <v>1.0246417234873509E-2</v>
      </c>
      <c r="M5" s="209">
        <f>VLOOKUP($A5,'Additional Tables'!$A:$I,9,FALSE)</f>
        <v>2.6180577762546335E-3</v>
      </c>
      <c r="N5" s="207">
        <v>6.0003428461820572E-3</v>
      </c>
      <c r="O5" s="208">
        <v>4.2114933726788897E-3</v>
      </c>
      <c r="P5" s="208">
        <v>1.9834449888090897E-3</v>
      </c>
      <c r="Q5" s="208">
        <v>1.1947108725105986E-3</v>
      </c>
      <c r="R5" s="208">
        <v>0</v>
      </c>
      <c r="S5" s="208">
        <v>2.7847245607540319E-3</v>
      </c>
      <c r="T5" s="209">
        <v>7.0500029372698178E-3</v>
      </c>
      <c r="U5" s="207">
        <v>3.5323352944959343E-4</v>
      </c>
      <c r="V5" s="208">
        <v>8.9638076359388496E-5</v>
      </c>
      <c r="W5" s="208">
        <v>1.1141242827834658E-4</v>
      </c>
      <c r="X5" s="208">
        <v>3.4766004441866389E-5</v>
      </c>
      <c r="Y5" s="208">
        <v>9.2332711798483771E-5</v>
      </c>
      <c r="Z5" s="208">
        <v>5.7822425569002594E-5</v>
      </c>
      <c r="AA5" s="209">
        <v>4.945383972110492E-4</v>
      </c>
      <c r="AB5" s="199">
        <f t="shared" si="0"/>
        <v>1.9338449134842799E-4</v>
      </c>
      <c r="AC5" s="200">
        <f t="shared" si="1"/>
        <v>3.6163697955842772E-5</v>
      </c>
      <c r="AD5" s="199">
        <f t="shared" si="2"/>
        <v>1.4798945772687597E-4</v>
      </c>
      <c r="AE5" s="200">
        <f t="shared" si="3"/>
        <v>1.4153558465069852E-4</v>
      </c>
    </row>
    <row r="6" spans="1:31" x14ac:dyDescent="0.25">
      <c r="A6" s="193" t="s">
        <v>82</v>
      </c>
      <c r="B6" s="43" t="s">
        <v>36</v>
      </c>
      <c r="C6" s="197">
        <f>'Total Areas'!D30</f>
        <v>17.751540612442341</v>
      </c>
      <c r="D6" s="198">
        <f>C6</f>
        <v>17.751540612442341</v>
      </c>
      <c r="E6" s="43" t="s">
        <v>49</v>
      </c>
      <c r="F6" s="124" t="s">
        <v>164</v>
      </c>
      <c r="G6" s="207" t="s">
        <v>185</v>
      </c>
      <c r="H6" s="208" t="s">
        <v>185</v>
      </c>
      <c r="I6" s="208" t="s">
        <v>185</v>
      </c>
      <c r="J6" s="209" t="s">
        <v>185</v>
      </c>
      <c r="K6" s="208" t="s">
        <v>185</v>
      </c>
      <c r="L6" s="208" t="s">
        <v>185</v>
      </c>
      <c r="M6" s="209" t="s">
        <v>185</v>
      </c>
      <c r="N6" s="207" t="s">
        <v>26</v>
      </c>
      <c r="O6" s="208" t="s">
        <v>26</v>
      </c>
      <c r="P6" s="208" t="s">
        <v>26</v>
      </c>
      <c r="Q6" s="208" t="s">
        <v>26</v>
      </c>
      <c r="R6" s="208" t="s">
        <v>26</v>
      </c>
      <c r="S6" s="208" t="s">
        <v>26</v>
      </c>
      <c r="T6" s="209" t="s">
        <v>26</v>
      </c>
      <c r="U6" s="207" t="s">
        <v>26</v>
      </c>
      <c r="V6" s="208" t="s">
        <v>26</v>
      </c>
      <c r="W6" s="208" t="s">
        <v>26</v>
      </c>
      <c r="X6" s="208" t="s">
        <v>26</v>
      </c>
      <c r="Y6" s="208" t="s">
        <v>26</v>
      </c>
      <c r="Z6" s="208" t="s">
        <v>26</v>
      </c>
      <c r="AA6" s="209" t="s">
        <v>26</v>
      </c>
      <c r="AB6" s="199" t="s">
        <v>26</v>
      </c>
      <c r="AC6" s="200" t="s">
        <v>26</v>
      </c>
      <c r="AD6" s="199" t="s">
        <v>26</v>
      </c>
      <c r="AE6" s="200" t="s">
        <v>26</v>
      </c>
    </row>
    <row r="7" spans="1:31" ht="15.75" thickBot="1" x14ac:dyDescent="0.3">
      <c r="A7" s="193" t="s">
        <v>48</v>
      </c>
      <c r="B7" s="43" t="s">
        <v>36</v>
      </c>
      <c r="C7" s="197">
        <v>88.747147779287715</v>
      </c>
      <c r="D7" s="198">
        <v>75.131834618208075</v>
      </c>
      <c r="E7" s="43" t="s">
        <v>49</v>
      </c>
      <c r="F7" s="124" t="s">
        <v>138</v>
      </c>
      <c r="G7" s="207">
        <f>VLOOKUP($A7,'Additional Tables'!$A:$I,3,FALSE)</f>
        <v>7.4216109788590098E-3</v>
      </c>
      <c r="H7" s="208">
        <f>VLOOKUP($A7,'Additional Tables'!$A:$I,4,FALSE)</f>
        <v>1.6917032615144462E-2</v>
      </c>
      <c r="I7" s="208">
        <f>VLOOKUP($A7,'Additional Tables'!$A:$I,5,FALSE)</f>
        <v>1.5299999999999999E-2</v>
      </c>
      <c r="J7" s="209">
        <f>VLOOKUP($A7,'Additional Tables'!$A:$I,6,FALSE)</f>
        <v>1.6799999999999999E-2</v>
      </c>
      <c r="K7" s="208">
        <f>VLOOKUP($A7,'Additional Tables'!$A:$I,7,FALSE)</f>
        <v>0</v>
      </c>
      <c r="L7" s="208">
        <f>VLOOKUP($A7,'Additional Tables'!$A:$I,8,FALSE)</f>
        <v>1.726664434701549E-2</v>
      </c>
      <c r="M7" s="209">
        <f>VLOOKUP($A7,'Additional Tables'!$A:$I,9,FALSE)</f>
        <v>3.4189332957627098E-3</v>
      </c>
      <c r="N7" s="207">
        <v>2.8782714398642841E-4</v>
      </c>
      <c r="O7" s="208">
        <v>2.8118281770888345E-4</v>
      </c>
      <c r="P7" s="208">
        <v>1.8269016771778801E-4</v>
      </c>
      <c r="Q7" s="208">
        <v>2.2082022068914268E-4</v>
      </c>
      <c r="R7" s="208">
        <v>0</v>
      </c>
      <c r="S7" s="208">
        <v>0</v>
      </c>
      <c r="T7" s="209">
        <v>0</v>
      </c>
      <c r="U7" s="207">
        <v>4.4279639579741245E-3</v>
      </c>
      <c r="V7" s="208">
        <v>2.7954784980329175E-3</v>
      </c>
      <c r="W7" s="208">
        <v>7.0271363160634972E-3</v>
      </c>
      <c r="X7" s="208">
        <v>8.713238226915243E-4</v>
      </c>
      <c r="Y7" s="208">
        <v>2.2847939643964072E-3</v>
      </c>
      <c r="Z7" s="208">
        <v>1.9327011404680536E-3</v>
      </c>
      <c r="AA7" s="209">
        <v>1.1628937240355375E-2</v>
      </c>
      <c r="AB7" s="199">
        <f t="shared" si="0"/>
        <v>1.893018583738741E-4</v>
      </c>
      <c r="AC7" s="200">
        <f t="shared" si="1"/>
        <v>3.8524430151440189E-5</v>
      </c>
      <c r="AD7" s="199">
        <f t="shared" si="2"/>
        <v>1.9062057810823133E-4</v>
      </c>
      <c r="AE7" s="200">
        <f t="shared" si="3"/>
        <v>1.9455999183159409E-4</v>
      </c>
    </row>
    <row r="8" spans="1:31" x14ac:dyDescent="0.25">
      <c r="A8" s="215" t="s">
        <v>38</v>
      </c>
      <c r="B8" s="216" t="s">
        <v>36</v>
      </c>
      <c r="C8" s="217">
        <v>80.586734010599585</v>
      </c>
      <c r="D8" s="218">
        <v>80.360892720620811</v>
      </c>
      <c r="E8" s="216" t="s">
        <v>46</v>
      </c>
      <c r="F8" s="123" t="s">
        <v>140</v>
      </c>
      <c r="G8" s="219">
        <f>VLOOKUP($A8,'Additional Tables'!$A:$I,3,FALSE)</f>
        <v>0.20093369732318772</v>
      </c>
      <c r="H8" s="220">
        <f>VLOOKUP($A8,'Additional Tables'!$A:$I,4,FALSE)</f>
        <v>2.964646822264598E-2</v>
      </c>
      <c r="I8" s="220">
        <f>VLOOKUP($A8,'Additional Tables'!$A:$I,5,FALSE)</f>
        <v>1.52E-2</v>
      </c>
      <c r="J8" s="221">
        <f>VLOOKUP($A8,'Additional Tables'!$A:$I,6,FALSE)</f>
        <v>4.0300000000000002E-2</v>
      </c>
      <c r="K8" s="220">
        <f>VLOOKUP($A8,'Additional Tables'!$A:$I,7,FALSE)</f>
        <v>2.388484828528439E-2</v>
      </c>
      <c r="L8" s="220">
        <f>VLOOKUP($A8,'Additional Tables'!$A:$I,8,FALSE)</f>
        <v>2.4488808689957196E-2</v>
      </c>
      <c r="M8" s="221">
        <f>VLOOKUP($A8,'Additional Tables'!$A:$I,9,FALSE)</f>
        <v>9.3388820765534942E-3</v>
      </c>
      <c r="N8" s="219">
        <v>3.912479555523804E-3</v>
      </c>
      <c r="O8" s="220">
        <v>6.9218917184550263E-4</v>
      </c>
      <c r="P8" s="220">
        <v>4.9385844238086733E-3</v>
      </c>
      <c r="Q8" s="220">
        <v>2.1954833266963946E-3</v>
      </c>
      <c r="R8" s="220">
        <v>0</v>
      </c>
      <c r="S8" s="220">
        <v>2.5178191523184189E-3</v>
      </c>
      <c r="T8" s="221">
        <v>1.1611798991394051E-4</v>
      </c>
      <c r="U8" s="219">
        <v>5.362074199240785E-3</v>
      </c>
      <c r="V8" s="220">
        <v>5.8044364608171731E-3</v>
      </c>
      <c r="W8" s="220">
        <v>8.899946817006418E-3</v>
      </c>
      <c r="X8" s="220">
        <v>3.3374701773531473E-3</v>
      </c>
      <c r="Y8" s="220">
        <v>2.2775250370560404E-3</v>
      </c>
      <c r="Z8" s="220">
        <v>3.1764124371436086E-3</v>
      </c>
      <c r="AA8" s="221">
        <v>2.1270125862505643E-3</v>
      </c>
      <c r="AB8" s="222">
        <f t="shared" si="0"/>
        <v>5.0008230876684163E-4</v>
      </c>
      <c r="AC8" s="223">
        <f t="shared" si="1"/>
        <v>1.1588609702590937E-4</v>
      </c>
      <c r="AD8" s="222">
        <f t="shared" si="2"/>
        <v>3.6788273636634256E-4</v>
      </c>
      <c r="AE8" s="223">
        <f t="shared" si="3"/>
        <v>3.0388138929586327E-4</v>
      </c>
    </row>
    <row r="9" spans="1:31" x14ac:dyDescent="0.25">
      <c r="A9" s="193" t="s">
        <v>79</v>
      </c>
      <c r="B9" s="43" t="s">
        <v>36</v>
      </c>
      <c r="C9" s="197">
        <v>26.813464936262818</v>
      </c>
      <c r="D9" s="198">
        <v>22.881499993147937</v>
      </c>
      <c r="E9" s="43" t="s">
        <v>46</v>
      </c>
      <c r="F9" s="124" t="s">
        <v>139</v>
      </c>
      <c r="G9" s="207">
        <f>VLOOKUP($A9,'Additional Tables'!$A:$I,3,FALSE)</f>
        <v>2.6010354621621021E-2</v>
      </c>
      <c r="H9" s="208">
        <f>VLOOKUP($A9,'Additional Tables'!$A:$I,4,FALSE)</f>
        <v>9.8511084128178709E-3</v>
      </c>
      <c r="I9" s="208">
        <f>VLOOKUP($A9,'Additional Tables'!$A:$I,5,FALSE)</f>
        <v>4.1000000000000003E-3</v>
      </c>
      <c r="J9" s="209">
        <f>VLOOKUP($A9,'Additional Tables'!$A:$I,6,FALSE)</f>
        <v>8.8000000000000005E-3</v>
      </c>
      <c r="K9" s="208">
        <f>VLOOKUP($A9,'Additional Tables'!$A:$I,7,FALSE)</f>
        <v>7.0108250208441598E-3</v>
      </c>
      <c r="L9" s="208">
        <f>VLOOKUP($A9,'Additional Tables'!$A:$I,8,FALSE)</f>
        <v>9.9407085792971878E-3</v>
      </c>
      <c r="M9" s="209">
        <f>VLOOKUP($A9,'Additional Tables'!$A:$I,9,FALSE)</f>
        <v>2.595398859148387E-3</v>
      </c>
      <c r="N9" s="207">
        <v>1.4460085115993659E-3</v>
      </c>
      <c r="O9" s="208">
        <v>1.3891281767862457E-3</v>
      </c>
      <c r="P9" s="208">
        <v>1.0767903382807826E-2</v>
      </c>
      <c r="Q9" s="208">
        <v>1.1676068728516044E-3</v>
      </c>
      <c r="R9" s="208">
        <v>0</v>
      </c>
      <c r="S9" s="208">
        <v>3.048497944287991E-3</v>
      </c>
      <c r="T9" s="209">
        <v>3.5736210353053209E-4</v>
      </c>
      <c r="U9" s="207">
        <v>6.8593347283572E-3</v>
      </c>
      <c r="V9" s="208">
        <v>7.7636209168669163E-3</v>
      </c>
      <c r="W9" s="208">
        <v>8.3508727014654435E-3</v>
      </c>
      <c r="X9" s="208">
        <v>1.5914410300340389E-3</v>
      </c>
      <c r="Y9" s="208">
        <v>3.983515909391969E-4</v>
      </c>
      <c r="Z9" s="208">
        <v>4.5938180960971246E-3</v>
      </c>
      <c r="AA9" s="209">
        <v>4.60156093361526E-3</v>
      </c>
      <c r="AB9" s="199">
        <f t="shared" si="0"/>
        <v>3.2819331708595353E-4</v>
      </c>
      <c r="AC9" s="200">
        <f t="shared" si="1"/>
        <v>9.6794609175569169E-5</v>
      </c>
      <c r="AD9" s="199">
        <f t="shared" si="2"/>
        <v>3.6739408488364091E-4</v>
      </c>
      <c r="AE9" s="200">
        <f t="shared" si="3"/>
        <v>3.7073569577549323E-4</v>
      </c>
    </row>
    <row r="10" spans="1:31" x14ac:dyDescent="0.25">
      <c r="A10" s="193" t="s">
        <v>30</v>
      </c>
      <c r="B10" s="43" t="s">
        <v>24</v>
      </c>
      <c r="C10" s="197">
        <v>66.869240575577706</v>
      </c>
      <c r="D10" s="198">
        <v>66.297102983431373</v>
      </c>
      <c r="E10" s="43" t="s">
        <v>46</v>
      </c>
      <c r="F10" s="124" t="s">
        <v>140</v>
      </c>
      <c r="G10" s="207">
        <f>VLOOKUP($A10,'Additional Tables'!$A:$I,3,FALSE)</f>
        <v>3.8074652678411244E-2</v>
      </c>
      <c r="H10" s="208">
        <f>VLOOKUP($A10,'Additional Tables'!$A:$I,4,FALSE)</f>
        <v>1.4632249990999728E-2</v>
      </c>
      <c r="I10" s="208">
        <f>VLOOKUP($A10,'Additional Tables'!$A:$I,5,FALSE)</f>
        <v>1.0200000000000001E-2</v>
      </c>
      <c r="J10" s="209">
        <f>VLOOKUP($A10,'Additional Tables'!$A:$I,6,FALSE)</f>
        <v>1.9900000000000001E-2</v>
      </c>
      <c r="K10" s="208">
        <f>VLOOKUP($A10,'Additional Tables'!$A:$I,7,FALSE)</f>
        <v>2.5240586206381015E-2</v>
      </c>
      <c r="L10" s="208">
        <f>VLOOKUP($A10,'Additional Tables'!$A:$I,8,FALSE)</f>
        <v>1.3562029794945335E-2</v>
      </c>
      <c r="M10" s="209">
        <f>VLOOKUP($A10,'Additional Tables'!$A:$I,9,FALSE)</f>
        <v>7.6183292914212292E-3</v>
      </c>
      <c r="N10" s="207" t="s">
        <v>26</v>
      </c>
      <c r="O10" s="208" t="s">
        <v>26</v>
      </c>
      <c r="P10" s="208" t="s">
        <v>26</v>
      </c>
      <c r="Q10" s="208" t="s">
        <v>26</v>
      </c>
      <c r="R10" s="208" t="s">
        <v>26</v>
      </c>
      <c r="S10" s="208" t="s">
        <v>26</v>
      </c>
      <c r="T10" s="209" t="s">
        <v>26</v>
      </c>
      <c r="U10" s="207" t="s">
        <v>26</v>
      </c>
      <c r="V10" s="208" t="s">
        <v>26</v>
      </c>
      <c r="W10" s="208" t="s">
        <v>26</v>
      </c>
      <c r="X10" s="208" t="s">
        <v>26</v>
      </c>
      <c r="Y10" s="208" t="s">
        <v>26</v>
      </c>
      <c r="Z10" s="208" t="s">
        <v>26</v>
      </c>
      <c r="AA10" s="209" t="s">
        <v>26</v>
      </c>
      <c r="AB10" s="199">
        <f t="shared" si="0"/>
        <v>2.9759572306654804E-4</v>
      </c>
      <c r="AC10" s="200">
        <f t="shared" si="1"/>
        <v>1.1392875447434991E-4</v>
      </c>
      <c r="AD10" s="199">
        <f t="shared" si="2"/>
        <v>2.188188450332691E-4</v>
      </c>
      <c r="AE10" s="200">
        <f t="shared" si="3"/>
        <v>2.0281417402396107E-4</v>
      </c>
    </row>
    <row r="11" spans="1:31" ht="15.75" thickBot="1" x14ac:dyDescent="0.3">
      <c r="A11" s="194" t="s">
        <v>45</v>
      </c>
      <c r="B11" s="201" t="s">
        <v>36</v>
      </c>
      <c r="C11" s="202">
        <v>12.536395410948526</v>
      </c>
      <c r="D11" s="203">
        <v>4.7717198204562372</v>
      </c>
      <c r="E11" s="201" t="s">
        <v>46</v>
      </c>
      <c r="F11" s="125" t="s">
        <v>140</v>
      </c>
      <c r="G11" s="210">
        <f>VLOOKUP($A11,'Additional Tables'!$A:$I,3,FALSE)</f>
        <v>3.3457829426416827E-2</v>
      </c>
      <c r="H11" s="211">
        <f>VLOOKUP($A11,'Additional Tables'!$A:$I,4,FALSE)</f>
        <v>2.1711207803920183E-3</v>
      </c>
      <c r="I11" s="211">
        <f>VLOOKUP($A11,'Additional Tables'!$A:$I,5,FALSE)</f>
        <v>1.6999999999999999E-3</v>
      </c>
      <c r="J11" s="212">
        <f>VLOOKUP($A11,'Additional Tables'!$A:$I,6,FALSE)</f>
        <v>2.8E-3</v>
      </c>
      <c r="K11" s="211">
        <f>VLOOKUP($A11,'Additional Tables'!$A:$I,7,FALSE)</f>
        <v>0</v>
      </c>
      <c r="L11" s="211">
        <f>VLOOKUP($A11,'Additional Tables'!$A:$I,8,FALSE)</f>
        <v>1.0345890642951376E-3</v>
      </c>
      <c r="M11" s="212">
        <f>VLOOKUP($A11,'Additional Tables'!$A:$I,9,FALSE)</f>
        <v>7.8199009565607593E-4</v>
      </c>
      <c r="N11" s="210">
        <v>2.3280976243524306E-4</v>
      </c>
      <c r="O11" s="211">
        <v>3.0283332655701951E-4</v>
      </c>
      <c r="P11" s="211">
        <v>3.1112647531112895E-4</v>
      </c>
      <c r="Q11" s="211">
        <v>5.9995142615029587E-4</v>
      </c>
      <c r="R11" s="211">
        <v>0</v>
      </c>
      <c r="S11" s="211">
        <v>4.5758383208903531E-5</v>
      </c>
      <c r="T11" s="212">
        <v>0</v>
      </c>
      <c r="U11" s="210">
        <v>1.901653238681729E-3</v>
      </c>
      <c r="V11" s="211">
        <v>1.3401738322140712E-3</v>
      </c>
      <c r="W11" s="211">
        <v>2.8277906005956923E-3</v>
      </c>
      <c r="X11" s="211">
        <v>6.4902106030272392E-4</v>
      </c>
      <c r="Y11" s="211">
        <v>5.3846459872641372E-4</v>
      </c>
      <c r="Z11" s="211">
        <v>9.9256555171485712E-4</v>
      </c>
      <c r="AA11" s="212">
        <v>9.3133348079817732E-4</v>
      </c>
      <c r="AB11" s="224">
        <f t="shared" si="0"/>
        <v>2.233496877064559E-4</v>
      </c>
      <c r="AC11" s="225">
        <f t="shared" si="1"/>
        <v>6.2377587019402193E-5</v>
      </c>
      <c r="AD11" s="224">
        <f t="shared" si="2"/>
        <v>1.731854100976979E-4</v>
      </c>
      <c r="AE11" s="225">
        <f t="shared" si="3"/>
        <v>8.252683729101193E-5</v>
      </c>
    </row>
    <row r="12" spans="1:31" x14ac:dyDescent="0.25">
      <c r="A12" s="215" t="s">
        <v>28</v>
      </c>
      <c r="B12" s="216" t="s">
        <v>24</v>
      </c>
      <c r="C12" s="217">
        <v>101.49553996155278</v>
      </c>
      <c r="D12" s="218">
        <v>59.77284444653246</v>
      </c>
      <c r="E12" s="216" t="s">
        <v>64</v>
      </c>
      <c r="F12" s="123" t="s">
        <v>141</v>
      </c>
      <c r="G12" s="219">
        <f>VLOOKUP($A12,'Additional Tables'!$A:$I,3,FALSE)</f>
        <v>0</v>
      </c>
      <c r="H12" s="220">
        <f>VLOOKUP($A12,'Additional Tables'!$A:$I,4,FALSE)</f>
        <v>0</v>
      </c>
      <c r="I12" s="220">
        <f>VLOOKUP($A12,'Additional Tables'!$A:$I,5,FALSE)</f>
        <v>0</v>
      </c>
      <c r="J12" s="221">
        <f>VLOOKUP($A12,'Additional Tables'!$A:$I,6,FALSE)</f>
        <v>0</v>
      </c>
      <c r="K12" s="220">
        <f>VLOOKUP($A12,'Additional Tables'!$A:$I,7,FALSE)</f>
        <v>0</v>
      </c>
      <c r="L12" s="220">
        <f>VLOOKUP($A12,'Additional Tables'!$A:$I,8,FALSE)</f>
        <v>0</v>
      </c>
      <c r="M12" s="221">
        <f>VLOOKUP($A12,'Additional Tables'!$A:$I,9,FALSE)</f>
        <v>0</v>
      </c>
      <c r="N12" s="219" t="s">
        <v>26</v>
      </c>
      <c r="O12" s="220" t="s">
        <v>26</v>
      </c>
      <c r="P12" s="220" t="s">
        <v>26</v>
      </c>
      <c r="Q12" s="220" t="s">
        <v>26</v>
      </c>
      <c r="R12" s="220" t="s">
        <v>26</v>
      </c>
      <c r="S12" s="220" t="s">
        <v>26</v>
      </c>
      <c r="T12" s="221" t="s">
        <v>26</v>
      </c>
      <c r="U12" s="219" t="s">
        <v>26</v>
      </c>
      <c r="V12" s="220" t="s">
        <v>26</v>
      </c>
      <c r="W12" s="220" t="s">
        <v>26</v>
      </c>
      <c r="X12" s="220" t="s">
        <v>26</v>
      </c>
      <c r="Y12" s="220" t="s">
        <v>26</v>
      </c>
      <c r="Z12" s="220" t="s">
        <v>26</v>
      </c>
      <c r="AA12" s="221" t="s">
        <v>26</v>
      </c>
      <c r="AB12" s="222">
        <f t="shared" si="0"/>
        <v>0</v>
      </c>
      <c r="AC12" s="223">
        <f t="shared" si="1"/>
        <v>0</v>
      </c>
      <c r="AD12" s="222">
        <f t="shared" si="2"/>
        <v>0</v>
      </c>
      <c r="AE12" s="223">
        <f t="shared" si="3"/>
        <v>0</v>
      </c>
    </row>
    <row r="13" spans="1:31" x14ac:dyDescent="0.25">
      <c r="A13" s="193" t="s">
        <v>41</v>
      </c>
      <c r="B13" s="43" t="s">
        <v>36</v>
      </c>
      <c r="C13" s="197">
        <v>79.018206200126698</v>
      </c>
      <c r="D13" s="198">
        <v>79.018206200620199</v>
      </c>
      <c r="E13" s="43" t="s">
        <v>64</v>
      </c>
      <c r="F13" s="124" t="s">
        <v>138</v>
      </c>
      <c r="G13" s="207">
        <f>VLOOKUP($A13,'Additional Tables'!$A:$I,3,FALSE)</f>
        <v>4.88606353534521E-2</v>
      </c>
      <c r="H13" s="208">
        <f>VLOOKUP($A13,'Additional Tables'!$A:$I,4,FALSE)</f>
        <v>2.3778391701593557E-2</v>
      </c>
      <c r="I13" s="208">
        <f>VLOOKUP($A13,'Additional Tables'!$A:$I,5,FALSE)</f>
        <v>9.7000000000000003E-3</v>
      </c>
      <c r="J13" s="209">
        <f>VLOOKUP($A13,'Additional Tables'!$A:$I,6,FALSE)</f>
        <v>3.4099999999999998E-2</v>
      </c>
      <c r="K13" s="208">
        <f>VLOOKUP($A13,'Additional Tables'!$A:$I,7,FALSE)</f>
        <v>0.11200260139503054</v>
      </c>
      <c r="L13" s="208">
        <f>VLOOKUP($A13,'Additional Tables'!$A:$I,8,FALSE)</f>
        <v>2.3210393296356588E-2</v>
      </c>
      <c r="M13" s="209">
        <f>VLOOKUP($A13,'Additional Tables'!$A:$I,9,FALSE)</f>
        <v>1.8741869765455901E-2</v>
      </c>
      <c r="N13" s="207">
        <v>4.2034387880113124E-5</v>
      </c>
      <c r="O13" s="208">
        <v>6.746093381150537E-5</v>
      </c>
      <c r="P13" s="208">
        <v>1.2206605967899155E-4</v>
      </c>
      <c r="Q13" s="208">
        <v>3.4312017831983346E-5</v>
      </c>
      <c r="R13" s="208">
        <v>0</v>
      </c>
      <c r="S13" s="208">
        <v>2.5299585746080823E-5</v>
      </c>
      <c r="T13" s="209">
        <v>0</v>
      </c>
      <c r="U13" s="207">
        <v>2.4889716890145529E-3</v>
      </c>
      <c r="V13" s="208">
        <v>2.8456527823219539E-3</v>
      </c>
      <c r="W13" s="208">
        <v>3.3611843934125579E-3</v>
      </c>
      <c r="X13" s="208">
        <v>1.0042906715771343E-3</v>
      </c>
      <c r="Y13" s="208">
        <v>9.7763465264833578E-4</v>
      </c>
      <c r="Z13" s="208">
        <v>1.0632181241194091E-3</v>
      </c>
      <c r="AA13" s="209">
        <v>1.9768506970231528E-3</v>
      </c>
      <c r="AB13" s="199">
        <f t="shared" si="0"/>
        <v>4.3154611626637158E-4</v>
      </c>
      <c r="AC13" s="200">
        <f t="shared" si="1"/>
        <v>2.3718419674054623E-4</v>
      </c>
      <c r="AD13" s="199">
        <f t="shared" si="2"/>
        <v>3.0092294984994774E-4</v>
      </c>
      <c r="AE13" s="200">
        <f t="shared" si="3"/>
        <v>2.9373475319817335E-4</v>
      </c>
    </row>
    <row r="14" spans="1:31" x14ac:dyDescent="0.25">
      <c r="A14" s="193" t="s">
        <v>51</v>
      </c>
      <c r="B14" s="43" t="s">
        <v>36</v>
      </c>
      <c r="C14" s="197">
        <v>74.335577372379845</v>
      </c>
      <c r="D14" s="198">
        <v>74.335577376111473</v>
      </c>
      <c r="E14" s="43" t="s">
        <v>64</v>
      </c>
      <c r="F14" s="124" t="s">
        <v>137</v>
      </c>
      <c r="G14" s="207">
        <f>VLOOKUP($A14,'Additional Tables'!$A:$I,3,FALSE)</f>
        <v>0</v>
      </c>
      <c r="H14" s="208">
        <f>VLOOKUP($A14,'Additional Tables'!$A:$I,4,FALSE)</f>
        <v>1.5658991777844546E-2</v>
      </c>
      <c r="I14" s="208">
        <f>VLOOKUP($A14,'Additional Tables'!$A:$I,5,FALSE)</f>
        <v>1.11E-2</v>
      </c>
      <c r="J14" s="209">
        <f>VLOOKUP($A14,'Additional Tables'!$A:$I,6,FALSE)</f>
        <v>3.3099999999999997E-2</v>
      </c>
      <c r="K14" s="208">
        <f>VLOOKUP($A14,'Additional Tables'!$A:$I,7,FALSE)</f>
        <v>0</v>
      </c>
      <c r="L14" s="208">
        <f>VLOOKUP($A14,'Additional Tables'!$A:$I,8,FALSE)</f>
        <v>1.5982604515335251E-2</v>
      </c>
      <c r="M14" s="209">
        <f>VLOOKUP($A14,'Additional Tables'!$A:$I,9,FALSE)</f>
        <v>1.9524154971885456E-2</v>
      </c>
      <c r="N14" s="207">
        <v>2.1100738662613698E-10</v>
      </c>
      <c r="O14" s="208">
        <v>4.1143121432379953E-6</v>
      </c>
      <c r="P14" s="208">
        <v>7.9280226931150239E-6</v>
      </c>
      <c r="Q14" s="208">
        <v>2.4915656461385876E-5</v>
      </c>
      <c r="R14" s="208">
        <v>0</v>
      </c>
      <c r="S14" s="208">
        <v>5.985399549562686E-6</v>
      </c>
      <c r="T14" s="209">
        <v>0</v>
      </c>
      <c r="U14" s="207">
        <v>1.3826704872066636E-3</v>
      </c>
      <c r="V14" s="208">
        <v>8.510061856489197E-4</v>
      </c>
      <c r="W14" s="208">
        <v>1.9024091333003331E-3</v>
      </c>
      <c r="X14" s="208">
        <v>2.2064170591540731E-4</v>
      </c>
      <c r="Y14" s="208">
        <v>1.9978784922113096E-4</v>
      </c>
      <c r="Z14" s="208">
        <v>3.835433115763895E-4</v>
      </c>
      <c r="AA14" s="209">
        <v>8.3416237911864018E-4</v>
      </c>
      <c r="AB14" s="199">
        <f t="shared" si="0"/>
        <v>4.4527803738158151E-4</v>
      </c>
      <c r="AC14" s="200">
        <f t="shared" si="1"/>
        <v>2.6264886427235657E-4</v>
      </c>
      <c r="AD14" s="199">
        <f t="shared" si="2"/>
        <v>2.1065272284631246E-4</v>
      </c>
      <c r="AE14" s="200">
        <f t="shared" si="3"/>
        <v>2.1500612600708412E-4</v>
      </c>
    </row>
    <row r="15" spans="1:31" ht="15.75" thickBot="1" x14ac:dyDescent="0.3">
      <c r="A15" s="194" t="s">
        <v>61</v>
      </c>
      <c r="B15" s="201" t="s">
        <v>36</v>
      </c>
      <c r="C15" s="202">
        <v>45.330448118318941</v>
      </c>
      <c r="D15" s="203">
        <v>45.330448118211358</v>
      </c>
      <c r="E15" s="201" t="s">
        <v>64</v>
      </c>
      <c r="F15" s="125" t="s">
        <v>138</v>
      </c>
      <c r="G15" s="210">
        <f>VLOOKUP($A15,'Additional Tables'!$A:$I,3,FALSE)</f>
        <v>5.2566442283394348E-2</v>
      </c>
      <c r="H15" s="211">
        <f>VLOOKUP($A15,'Additional Tables'!$A:$I,4,FALSE)</f>
        <v>1.0884256497758748E-2</v>
      </c>
      <c r="I15" s="211">
        <f>VLOOKUP($A15,'Additional Tables'!$A:$I,5,FALSE)</f>
        <v>4.1999999999999997E-3</v>
      </c>
      <c r="J15" s="212">
        <f>VLOOKUP($A15,'Additional Tables'!$A:$I,6,FALSE)</f>
        <v>1.4500000000000001E-2</v>
      </c>
      <c r="K15" s="211">
        <f>VLOOKUP($A15,'Additional Tables'!$A:$I,7,FALSE)</f>
        <v>5.2129542726914974E-2</v>
      </c>
      <c r="L15" s="211">
        <f>VLOOKUP($A15,'Additional Tables'!$A:$I,8,FALSE)</f>
        <v>9.7696768478264407E-3</v>
      </c>
      <c r="M15" s="212">
        <f>VLOOKUP($A15,'Additional Tables'!$A:$I,9,FALSE)</f>
        <v>9.6200842217047527E-3</v>
      </c>
      <c r="N15" s="210">
        <v>0</v>
      </c>
      <c r="O15" s="211">
        <v>0</v>
      </c>
      <c r="P15" s="211">
        <v>0</v>
      </c>
      <c r="Q15" s="211">
        <v>0</v>
      </c>
      <c r="R15" s="211">
        <v>0</v>
      </c>
      <c r="S15" s="211">
        <v>0</v>
      </c>
      <c r="T15" s="212">
        <v>0</v>
      </c>
      <c r="U15" s="210">
        <v>3.1042726884657904E-3</v>
      </c>
      <c r="V15" s="211">
        <v>5.216509879874597E-3</v>
      </c>
      <c r="W15" s="211">
        <v>4.8662513677134112E-3</v>
      </c>
      <c r="X15" s="211">
        <v>1.9402673358207983E-3</v>
      </c>
      <c r="Y15" s="211">
        <v>2.1219194429062363E-3</v>
      </c>
      <c r="Z15" s="211">
        <v>1.8185580187810365E-3</v>
      </c>
      <c r="AA15" s="212">
        <v>1.6378028900158263E-3</v>
      </c>
      <c r="AB15" s="224">
        <f t="shared" si="0"/>
        <v>3.1987329933630773E-4</v>
      </c>
      <c r="AC15" s="225">
        <f t="shared" si="1"/>
        <v>2.122212468889555E-4</v>
      </c>
      <c r="AD15" s="224">
        <f t="shared" si="2"/>
        <v>2.4010917494901625E-4</v>
      </c>
      <c r="AE15" s="225">
        <f t="shared" si="3"/>
        <v>2.1552129425957118E-4</v>
      </c>
    </row>
    <row r="16" spans="1:31" x14ac:dyDescent="0.25">
      <c r="A16" s="215" t="s">
        <v>40</v>
      </c>
      <c r="B16" s="216" t="s">
        <v>36</v>
      </c>
      <c r="C16" s="217">
        <v>85.373403217248836</v>
      </c>
      <c r="D16" s="218">
        <v>79.61749822035263</v>
      </c>
      <c r="E16" s="216" t="s">
        <v>65</v>
      </c>
      <c r="F16" s="123" t="s">
        <v>138</v>
      </c>
      <c r="G16" s="219">
        <f>VLOOKUP($A16,'Additional Tables'!$A:$I,3,FALSE)</f>
        <v>1.1134751223492093E-2</v>
      </c>
      <c r="H16" s="220">
        <f>VLOOKUP($A16,'Additional Tables'!$A:$I,4,FALSE)</f>
        <v>2.4623359797757861E-2</v>
      </c>
      <c r="I16" s="220">
        <f>VLOOKUP($A16,'Additional Tables'!$A:$I,5,FALSE)</f>
        <v>4.7999999999999996E-3</v>
      </c>
      <c r="J16" s="221">
        <f>VLOOKUP($A16,'Additional Tables'!$A:$I,6,FALSE)</f>
        <v>1.1299999999999999E-2</v>
      </c>
      <c r="K16" s="220">
        <f>VLOOKUP($A16,'Additional Tables'!$A:$I,7,FALSE)</f>
        <v>7.0241969829890186E-2</v>
      </c>
      <c r="L16" s="220">
        <f>VLOOKUP($A16,'Additional Tables'!$A:$I,8,FALSE)</f>
        <v>2.565485528054039E-2</v>
      </c>
      <c r="M16" s="221">
        <f>VLOOKUP($A16,'Additional Tables'!$A:$I,9,FALSE)</f>
        <v>2.7987620096284454E-2</v>
      </c>
      <c r="N16" s="219">
        <v>0</v>
      </c>
      <c r="O16" s="220">
        <v>7.3218195163591085E-4</v>
      </c>
      <c r="P16" s="220">
        <v>1.7661257467511862E-4</v>
      </c>
      <c r="Q16" s="220">
        <v>2.2493477779657869E-3</v>
      </c>
      <c r="R16" s="220">
        <v>0</v>
      </c>
      <c r="S16" s="220">
        <v>7.3150391660328393E-4</v>
      </c>
      <c r="T16" s="221">
        <v>4.1392705506087618E-5</v>
      </c>
      <c r="U16" s="219">
        <v>2.2151030190055163E-3</v>
      </c>
      <c r="V16" s="220">
        <v>2.7355718376715151E-3</v>
      </c>
      <c r="W16" s="220">
        <v>1.2758749019533507E-3</v>
      </c>
      <c r="X16" s="220">
        <v>1.2109959800641989E-3</v>
      </c>
      <c r="Y16" s="220">
        <v>1.368056485100469E-3</v>
      </c>
      <c r="Z16" s="220">
        <v>3.2471279542482145E-4</v>
      </c>
      <c r="AA16" s="221">
        <v>2.1744258450579114E-4</v>
      </c>
      <c r="AB16" s="222">
        <f t="shared" si="0"/>
        <v>1.3235972298357375E-4</v>
      </c>
      <c r="AC16" s="223">
        <f t="shared" si="1"/>
        <v>3.2782598609855862E-4</v>
      </c>
      <c r="AD16" s="222">
        <f t="shared" si="2"/>
        <v>2.8841956475717672E-4</v>
      </c>
      <c r="AE16" s="223">
        <f t="shared" si="3"/>
        <v>3.0050172903681421E-4</v>
      </c>
    </row>
    <row r="17" spans="1:31" x14ac:dyDescent="0.25">
      <c r="A17" s="193" t="s">
        <v>29</v>
      </c>
      <c r="B17" s="43" t="s">
        <v>24</v>
      </c>
      <c r="C17" s="197">
        <v>137.02318723869843</v>
      </c>
      <c r="D17" s="198">
        <v>58.790044997158539</v>
      </c>
      <c r="E17" s="43" t="s">
        <v>65</v>
      </c>
      <c r="F17" s="124" t="s">
        <v>138</v>
      </c>
      <c r="G17" s="207">
        <f>VLOOKUP($A17,'Additional Tables'!$A:$I,3,FALSE)</f>
        <v>2.4552878623141667E-2</v>
      </c>
      <c r="H17" s="208">
        <f>VLOOKUP($A17,'Additional Tables'!$A:$I,4,FALSE)</f>
        <v>1.857982415763211E-2</v>
      </c>
      <c r="I17" s="208">
        <f>VLOOKUP($A17,'Additional Tables'!$A:$I,5,FALSE)</f>
        <v>3.5999999999999999E-3</v>
      </c>
      <c r="J17" s="209">
        <f>VLOOKUP($A17,'Additional Tables'!$A:$I,6,FALSE)</f>
        <v>9.5999999999999992E-3</v>
      </c>
      <c r="K17" s="208">
        <f>VLOOKUP($A17,'Additional Tables'!$A:$I,7,FALSE)</f>
        <v>4.5306587346395227E-2</v>
      </c>
      <c r="L17" s="208">
        <f>VLOOKUP($A17,'Additional Tables'!$A:$I,8,FALSE)</f>
        <v>1.880574040099885E-2</v>
      </c>
      <c r="M17" s="209">
        <f>VLOOKUP($A17,'Additional Tables'!$A:$I,9,FALSE)</f>
        <v>2.5583333035143086E-2</v>
      </c>
      <c r="N17" s="207" t="s">
        <v>26</v>
      </c>
      <c r="O17" s="208" t="s">
        <v>26</v>
      </c>
      <c r="P17" s="208" t="s">
        <v>26</v>
      </c>
      <c r="Q17" s="208" t="s">
        <v>26</v>
      </c>
      <c r="R17" s="208" t="s">
        <v>26</v>
      </c>
      <c r="S17" s="208" t="s">
        <v>26</v>
      </c>
      <c r="T17" s="209" t="s">
        <v>26</v>
      </c>
      <c r="U17" s="207" t="s">
        <v>26</v>
      </c>
      <c r="V17" s="208" t="s">
        <v>26</v>
      </c>
      <c r="W17" s="208" t="s">
        <v>26</v>
      </c>
      <c r="X17" s="208" t="s">
        <v>26</v>
      </c>
      <c r="Y17" s="208" t="s">
        <v>26</v>
      </c>
      <c r="Z17" s="208" t="s">
        <v>26</v>
      </c>
      <c r="AA17" s="209" t="s">
        <v>26</v>
      </c>
      <c r="AB17" s="199">
        <f t="shared" si="0"/>
        <v>7.0061134859434525E-5</v>
      </c>
      <c r="AC17" s="200">
        <f t="shared" si="1"/>
        <v>1.8670805686760275E-4</v>
      </c>
      <c r="AD17" s="199">
        <f t="shared" si="2"/>
        <v>1.3559620478879614E-4</v>
      </c>
      <c r="AE17" s="200">
        <f t="shared" si="3"/>
        <v>1.3724494941311428E-4</v>
      </c>
    </row>
    <row r="18" spans="1:31" x14ac:dyDescent="0.25">
      <c r="A18" s="193" t="s">
        <v>144</v>
      </c>
      <c r="B18" s="43" t="s">
        <v>24</v>
      </c>
      <c r="C18" s="197">
        <v>925.07457039227711</v>
      </c>
      <c r="D18" s="198">
        <v>279.34276742995826</v>
      </c>
      <c r="E18" s="43" t="s">
        <v>65</v>
      </c>
      <c r="F18" s="124" t="s">
        <v>138</v>
      </c>
      <c r="G18" s="207">
        <f>VLOOKUP($A18,'Additional Tables'!$A:$I,3,FALSE)</f>
        <v>4.578649751405494E-3</v>
      </c>
      <c r="H18" s="208">
        <f>VLOOKUP($A18,'Additional Tables'!$A:$I,4,FALSE)</f>
        <v>3.0695862095502815E-2</v>
      </c>
      <c r="I18" s="208">
        <f>VLOOKUP($A18,'Additional Tables'!$A:$I,5,FALSE)</f>
        <v>3.9544014999999995E-3</v>
      </c>
      <c r="J18" s="209">
        <f>VLOOKUP($A18,'Additional Tables'!$A:$I,6,FALSE)</f>
        <v>7.953621000000001E-3</v>
      </c>
      <c r="K18" s="208">
        <f>VLOOKUP($A18,'Additional Tables'!$A:$I,7,FALSE)</f>
        <v>-1.3133098775153229E-10</v>
      </c>
      <c r="L18" s="208">
        <f>VLOOKUP($A18,'Additional Tables'!$A:$I,8,FALSE)</f>
        <v>3.1290196221300748E-2</v>
      </c>
      <c r="M18" s="209">
        <f>VLOOKUP($A18,'Additional Tables'!$A:$I,9,FALSE)</f>
        <v>1.0747253702014323E-2</v>
      </c>
      <c r="N18" s="207" t="s">
        <v>26</v>
      </c>
      <c r="O18" s="208" t="s">
        <v>26</v>
      </c>
      <c r="P18" s="208" t="s">
        <v>26</v>
      </c>
      <c r="Q18" s="208" t="s">
        <v>26</v>
      </c>
      <c r="R18" s="208" t="s">
        <v>26</v>
      </c>
      <c r="S18" s="208" t="s">
        <v>26</v>
      </c>
      <c r="T18" s="209" t="s">
        <v>26</v>
      </c>
      <c r="U18" s="207" t="s">
        <v>26</v>
      </c>
      <c r="V18" s="208" t="s">
        <v>26</v>
      </c>
      <c r="W18" s="208" t="s">
        <v>26</v>
      </c>
      <c r="X18" s="208" t="s">
        <v>26</v>
      </c>
      <c r="Y18" s="208" t="s">
        <v>26</v>
      </c>
      <c r="Z18" s="208" t="s">
        <v>26</v>
      </c>
      <c r="AA18" s="209" t="s">
        <v>26</v>
      </c>
      <c r="AB18" s="199">
        <f t="shared" si="0"/>
        <v>8.5978160621443472E-6</v>
      </c>
      <c r="AC18" s="200">
        <f t="shared" si="1"/>
        <v>1.1617716069588811E-5</v>
      </c>
      <c r="AD18" s="199">
        <f t="shared" si="2"/>
        <v>3.3182040754278067E-5</v>
      </c>
      <c r="AE18" s="200">
        <f t="shared" si="3"/>
        <v>3.3824512339618376E-5</v>
      </c>
    </row>
    <row r="19" spans="1:31" x14ac:dyDescent="0.25">
      <c r="A19" s="193" t="s">
        <v>143</v>
      </c>
      <c r="B19" s="43" t="s">
        <v>36</v>
      </c>
      <c r="C19" s="197">
        <v>687.43069920901894</v>
      </c>
      <c r="D19" s="198">
        <v>242.36854104409434</v>
      </c>
      <c r="E19" s="43" t="s">
        <v>65</v>
      </c>
      <c r="F19" s="124" t="s">
        <v>138</v>
      </c>
      <c r="G19" s="207" t="e">
        <f>VLOOKUP($A19,'Additional Tables'!$A:$I,3,FALSE)</f>
        <v>#N/A</v>
      </c>
      <c r="H19" s="208" t="e">
        <f>VLOOKUP($A19,'Additional Tables'!$A:$I,4,FALSE)</f>
        <v>#N/A</v>
      </c>
      <c r="I19" s="208" t="e">
        <f>VLOOKUP($A19,'Additional Tables'!$A:$I,5,FALSE)</f>
        <v>#N/A</v>
      </c>
      <c r="J19" s="209" t="e">
        <f>VLOOKUP($A19,'Additional Tables'!$A:$I,6,FALSE)</f>
        <v>#N/A</v>
      </c>
      <c r="K19" s="208" t="e">
        <f>VLOOKUP($A19,'Additional Tables'!$A:$I,7,FALSE)</f>
        <v>#N/A</v>
      </c>
      <c r="L19" s="208" t="e">
        <f>VLOOKUP($A19,'Additional Tables'!$A:$I,8,FALSE)</f>
        <v>#N/A</v>
      </c>
      <c r="M19" s="209" t="e">
        <f>VLOOKUP($A19,'Additional Tables'!$A:$I,9,FALSE)</f>
        <v>#N/A</v>
      </c>
      <c r="N19" s="207">
        <v>5.4769576844117457E-6</v>
      </c>
      <c r="O19" s="208">
        <v>2.6231064549352433E-4</v>
      </c>
      <c r="P19" s="208">
        <v>1.235380506894213E-4</v>
      </c>
      <c r="Q19" s="208">
        <v>4.0900834297394253E-4</v>
      </c>
      <c r="R19" s="208">
        <v>0</v>
      </c>
      <c r="S19" s="208">
        <v>3.0390734690183084E-4</v>
      </c>
      <c r="T19" s="209">
        <v>0</v>
      </c>
      <c r="U19" s="207">
        <v>3.8460945477362906E-5</v>
      </c>
      <c r="V19" s="208">
        <v>4.0209554403330042E-5</v>
      </c>
      <c r="W19" s="208">
        <v>1.4800453878964085E-3</v>
      </c>
      <c r="X19" s="208">
        <v>3.5627937339580543E-2</v>
      </c>
      <c r="Y19" s="208">
        <v>4.1379126153085216E-5</v>
      </c>
      <c r="Z19" s="208">
        <v>1.1200876221298956E-3</v>
      </c>
      <c r="AA19" s="209">
        <v>2.7246832801358893E-5</v>
      </c>
      <c r="AB19" s="199" t="e">
        <f t="shared" si="0"/>
        <v>#N/A</v>
      </c>
      <c r="AC19" s="200" t="e">
        <f t="shared" si="1"/>
        <v>#N/A</v>
      </c>
      <c r="AD19" s="199" t="e">
        <f t="shared" si="2"/>
        <v>#N/A</v>
      </c>
      <c r="AE19" s="200" t="e">
        <f t="shared" si="3"/>
        <v>#N/A</v>
      </c>
    </row>
    <row r="20" spans="1:31" x14ac:dyDescent="0.25">
      <c r="A20" s="193" t="s">
        <v>31</v>
      </c>
      <c r="B20" s="43" t="s">
        <v>24</v>
      </c>
      <c r="C20" s="197">
        <v>107.79542960772275</v>
      </c>
      <c r="D20" s="198">
        <v>107.79542960770151</v>
      </c>
      <c r="E20" s="43" t="s">
        <v>65</v>
      </c>
      <c r="F20" s="124" t="s">
        <v>138</v>
      </c>
      <c r="G20" s="207">
        <f>VLOOKUP($A20,'Additional Tables'!$A:$I,3,FALSE)</f>
        <v>3.7881820745522932E-2</v>
      </c>
      <c r="H20" s="208">
        <f>VLOOKUP($A20,'Additional Tables'!$A:$I,4,FALSE)</f>
        <v>3.1910452068070951E-2</v>
      </c>
      <c r="I20" s="208">
        <f>VLOOKUP($A20,'Additional Tables'!$A:$I,5,FALSE)</f>
        <v>1.1000000000000001E-3</v>
      </c>
      <c r="J20" s="209">
        <f>VLOOKUP($A20,'Additional Tables'!$A:$I,6,FALSE)</f>
        <v>2.8E-3</v>
      </c>
      <c r="K20" s="208">
        <f>VLOOKUP($A20,'Additional Tables'!$A:$I,7,FALSE)</f>
        <v>2.6125562687460434E-2</v>
      </c>
      <c r="L20" s="208">
        <f>VLOOKUP($A20,'Additional Tables'!$A:$I,8,FALSE)</f>
        <v>3.2569921649179302E-2</v>
      </c>
      <c r="M20" s="209" t="str">
        <f>VLOOKUP($A20,'Additional Tables'!$A:$I,9,FALSE)</f>
        <v>Not eval.</v>
      </c>
      <c r="N20" s="207" t="s">
        <v>26</v>
      </c>
      <c r="O20" s="208" t="s">
        <v>26</v>
      </c>
      <c r="P20" s="208" t="s">
        <v>26</v>
      </c>
      <c r="Q20" s="208" t="s">
        <v>26</v>
      </c>
      <c r="R20" s="208" t="s">
        <v>26</v>
      </c>
      <c r="S20" s="208" t="s">
        <v>26</v>
      </c>
      <c r="T20" s="209" t="s">
        <v>26</v>
      </c>
      <c r="U20" s="207" t="s">
        <v>26</v>
      </c>
      <c r="V20" s="208" t="s">
        <v>26</v>
      </c>
      <c r="W20" s="208" t="s">
        <v>26</v>
      </c>
      <c r="X20" s="208" t="s">
        <v>26</v>
      </c>
      <c r="Y20" s="208" t="s">
        <v>26</v>
      </c>
      <c r="Z20" s="208" t="s">
        <v>26</v>
      </c>
      <c r="AA20" s="209" t="s">
        <v>26</v>
      </c>
      <c r="AB20" s="199">
        <f t="shared" si="0"/>
        <v>2.597512724045399E-5</v>
      </c>
      <c r="AC20" s="200" t="s">
        <v>185</v>
      </c>
      <c r="AD20" s="199">
        <f t="shared" si="2"/>
        <v>2.9602787598876826E-4</v>
      </c>
      <c r="AE20" s="200">
        <f t="shared" si="3"/>
        <v>3.0214566394608911E-4</v>
      </c>
    </row>
    <row r="21" spans="1:31" x14ac:dyDescent="0.25">
      <c r="A21" s="193" t="s">
        <v>86</v>
      </c>
      <c r="B21" s="43" t="s">
        <v>36</v>
      </c>
      <c r="C21" s="197">
        <v>26.593810021275132</v>
      </c>
      <c r="D21" s="198">
        <v>26.593810021279019</v>
      </c>
      <c r="E21" s="43" t="s">
        <v>65</v>
      </c>
      <c r="F21" s="124" t="s">
        <v>138</v>
      </c>
      <c r="G21" s="207">
        <f>VLOOKUP($A21,'Additional Tables'!$A:$I,3,FALSE)</f>
        <v>1.5117875845340132E-2</v>
      </c>
      <c r="H21" s="208">
        <f>VLOOKUP($A21,'Additional Tables'!$A:$I,4,FALSE)</f>
        <v>7.5757611770023167E-3</v>
      </c>
      <c r="I21" s="208">
        <f>VLOOKUP($A21,'Additional Tables'!$A:$I,5,FALSE)</f>
        <v>1E-3</v>
      </c>
      <c r="J21" s="209">
        <f>VLOOKUP($A21,'Additional Tables'!$A:$I,6,FALSE)</f>
        <v>1.1999999999999999E-3</v>
      </c>
      <c r="K21" s="208">
        <f>VLOOKUP($A21,'Additional Tables'!$A:$I,7,FALSE)</f>
        <v>0</v>
      </c>
      <c r="L21" s="208">
        <f>VLOOKUP($A21,'Additional Tables'!$A:$I,8,FALSE)</f>
        <v>7.0378290763373286E-3</v>
      </c>
      <c r="M21" s="209">
        <f>VLOOKUP($A21,'Additional Tables'!$A:$I,9,FALSE)</f>
        <v>5.5096031027057442E-3</v>
      </c>
      <c r="N21" s="207">
        <v>0</v>
      </c>
      <c r="O21" s="208">
        <v>4.6713805398627935E-5</v>
      </c>
      <c r="P21" s="208">
        <v>0</v>
      </c>
      <c r="Q21" s="208">
        <v>0</v>
      </c>
      <c r="R21" s="208">
        <v>0</v>
      </c>
      <c r="S21" s="208">
        <v>4.5244565472050367E-6</v>
      </c>
      <c r="T21" s="209">
        <v>0</v>
      </c>
      <c r="U21" s="207">
        <v>5.5979299856661627E-7</v>
      </c>
      <c r="V21" s="208">
        <v>4.4617969372386121E-7</v>
      </c>
      <c r="W21" s="208">
        <v>3.1909988467566142E-5</v>
      </c>
      <c r="X21" s="208">
        <v>1.0895369221981537E-3</v>
      </c>
      <c r="Y21" s="208">
        <v>3.3879325919507012E-5</v>
      </c>
      <c r="Z21" s="208">
        <v>1.9656010757284125E-5</v>
      </c>
      <c r="AA21" s="209">
        <v>5.7215313768130211E-7</v>
      </c>
      <c r="AB21" s="199">
        <f t="shared" si="0"/>
        <v>4.512328241195963E-5</v>
      </c>
      <c r="AC21" s="200">
        <f t="shared" si="1"/>
        <v>2.0717614731766693E-4</v>
      </c>
      <c r="AD21" s="199">
        <f t="shared" si="2"/>
        <v>2.8486934256286272E-4</v>
      </c>
      <c r="AE21" s="200">
        <f t="shared" si="3"/>
        <v>2.6464162414889189E-4</v>
      </c>
    </row>
    <row r="22" spans="1:31" x14ac:dyDescent="0.25">
      <c r="A22" s="193" t="s">
        <v>87</v>
      </c>
      <c r="B22" s="43" t="s">
        <v>36</v>
      </c>
      <c r="C22" s="197">
        <v>10.955490769705944</v>
      </c>
      <c r="D22" s="198">
        <v>10.95549076971235</v>
      </c>
      <c r="E22" s="43" t="s">
        <v>65</v>
      </c>
      <c r="F22" s="124" t="s">
        <v>138</v>
      </c>
      <c r="G22" s="207">
        <f>VLOOKUP($A22,'Additional Tables'!$A:$I,3,FALSE)</f>
        <v>1.790107590632594E-2</v>
      </c>
      <c r="H22" s="208">
        <f>VLOOKUP($A22,'Additional Tables'!$A:$I,4,FALSE)</f>
        <v>3.0566865639211171E-3</v>
      </c>
      <c r="I22" s="208">
        <f>VLOOKUP($A22,'Additional Tables'!$A:$I,5,FALSE)</f>
        <v>5.0000000000000001E-4</v>
      </c>
      <c r="J22" s="209">
        <f>VLOOKUP($A22,'Additional Tables'!$A:$I,6,FALSE)</f>
        <v>8.0000000000000004E-4</v>
      </c>
      <c r="K22" s="208">
        <f>VLOOKUP($A22,'Additional Tables'!$A:$I,7,FALSE)</f>
        <v>7.7625383575201545E-2</v>
      </c>
      <c r="L22" s="208">
        <f>VLOOKUP($A22,'Additional Tables'!$A:$I,8,FALSE)</f>
        <v>3.1198568318818645E-3</v>
      </c>
      <c r="M22" s="209">
        <f>VLOOKUP($A22,'Additional Tables'!$A:$I,9,FALSE)</f>
        <v>2.159889493265608E-3</v>
      </c>
      <c r="N22" s="207">
        <v>0</v>
      </c>
      <c r="O22" s="208">
        <v>3.5654224910055025E-5</v>
      </c>
      <c r="P22" s="208">
        <v>8.2702146939506622E-6</v>
      </c>
      <c r="Q22" s="208">
        <v>8.3167286823959439E-5</v>
      </c>
      <c r="R22" s="208">
        <v>0</v>
      </c>
      <c r="S22" s="208">
        <v>4.7442546399185863E-5</v>
      </c>
      <c r="T22" s="209">
        <v>0</v>
      </c>
      <c r="U22" s="207">
        <v>1.8487999222885877E-7</v>
      </c>
      <c r="V22" s="208">
        <v>1.6870742079365538E-7</v>
      </c>
      <c r="W22" s="208">
        <v>1.7469789130747369E-5</v>
      </c>
      <c r="X22" s="208">
        <v>4.8474732723400297E-4</v>
      </c>
      <c r="Y22" s="208">
        <v>1.3341853808987373E-5</v>
      </c>
      <c r="Z22" s="208">
        <v>9.3045953463722791E-6</v>
      </c>
      <c r="AA22" s="209">
        <v>1.0754293773155371E-7</v>
      </c>
      <c r="AB22" s="199">
        <f t="shared" si="0"/>
        <v>7.3022744194368286E-5</v>
      </c>
      <c r="AC22" s="200">
        <f t="shared" si="1"/>
        <v>1.9715132244354776E-4</v>
      </c>
      <c r="AD22" s="199">
        <f t="shared" si="2"/>
        <v>2.7900955129946787E-4</v>
      </c>
      <c r="AE22" s="200">
        <f t="shared" si="3"/>
        <v>2.8477563419695203E-4</v>
      </c>
    </row>
    <row r="23" spans="1:31" ht="15.75" thickBot="1" x14ac:dyDescent="0.3">
      <c r="A23" s="194" t="s">
        <v>58</v>
      </c>
      <c r="B23" s="201" t="s">
        <v>36</v>
      </c>
      <c r="C23" s="202">
        <v>32.083536191323411</v>
      </c>
      <c r="D23" s="203">
        <v>32.083536191318913</v>
      </c>
      <c r="E23" s="201" t="s">
        <v>65</v>
      </c>
      <c r="F23" s="125" t="s">
        <v>138</v>
      </c>
      <c r="G23" s="210">
        <f>VLOOKUP($A23,'Additional Tables'!$A:$I,3,FALSE)</f>
        <v>1.9182468888244507E-2</v>
      </c>
      <c r="H23" s="211">
        <f>VLOOKUP($A23,'Additional Tables'!$A:$I,4,FALSE)</f>
        <v>6.5851433844833504E-3</v>
      </c>
      <c r="I23" s="211">
        <f>VLOOKUP($A23,'Additional Tables'!$A:$I,5,FALSE)</f>
        <v>1.5E-3</v>
      </c>
      <c r="J23" s="212">
        <f>VLOOKUP($A23,'Additional Tables'!$A:$I,6,FALSE)</f>
        <v>4.4999999999999997E-3</v>
      </c>
      <c r="K23" s="211">
        <f>VLOOKUP($A23,'Additional Tables'!$A:$I,7,FALSE)</f>
        <v>9.1729866012096192E-2</v>
      </c>
      <c r="L23" s="211">
        <f>VLOOKUP($A23,'Additional Tables'!$A:$I,8,FALSE)</f>
        <v>6.1568585278571827E-3</v>
      </c>
      <c r="M23" s="212">
        <f>VLOOKUP($A23,'Additional Tables'!$A:$I,9,FALSE)</f>
        <v>1.0458699993903453E-2</v>
      </c>
      <c r="N23" s="210">
        <v>0</v>
      </c>
      <c r="O23" s="211">
        <v>0</v>
      </c>
      <c r="P23" s="211">
        <v>0</v>
      </c>
      <c r="Q23" s="211">
        <v>0</v>
      </c>
      <c r="R23" s="211">
        <v>0</v>
      </c>
      <c r="S23" s="211">
        <v>0</v>
      </c>
      <c r="T23" s="212">
        <v>0</v>
      </c>
      <c r="U23" s="210">
        <v>7.9450256701903631E-4</v>
      </c>
      <c r="V23" s="211">
        <v>9.3103700762460159E-4</v>
      </c>
      <c r="W23" s="211">
        <v>4.7230828212106729E-4</v>
      </c>
      <c r="X23" s="211">
        <v>7.3732352747529328E-4</v>
      </c>
      <c r="Y23" s="211">
        <v>5.2428676533091388E-4</v>
      </c>
      <c r="Z23" s="211">
        <v>1.1669075079947466E-4</v>
      </c>
      <c r="AA23" s="212">
        <v>8.6869411000702396E-5</v>
      </c>
      <c r="AB23" s="224">
        <f t="shared" si="0"/>
        <v>1.4025885342454765E-4</v>
      </c>
      <c r="AC23" s="225">
        <f t="shared" si="1"/>
        <v>3.2598339321249372E-4</v>
      </c>
      <c r="AD23" s="224">
        <f t="shared" si="2"/>
        <v>2.0524992460975108E-4</v>
      </c>
      <c r="AE23" s="225">
        <f t="shared" si="3"/>
        <v>1.919008706254215E-4</v>
      </c>
    </row>
    <row r="24" spans="1:31" x14ac:dyDescent="0.25">
      <c r="A24" s="215" t="s">
        <v>52</v>
      </c>
      <c r="B24" s="216" t="s">
        <v>36</v>
      </c>
      <c r="C24" s="217">
        <v>3.5411670821825543</v>
      </c>
      <c r="D24" s="218">
        <v>3.5411670821864361</v>
      </c>
      <c r="E24" s="216" t="s">
        <v>67</v>
      </c>
      <c r="F24" s="123" t="s">
        <v>138</v>
      </c>
      <c r="G24" s="219">
        <f>VLOOKUP($A24,'Additional Tables'!$A:$I,3,FALSE)</f>
        <v>0</v>
      </c>
      <c r="H24" s="220">
        <f>VLOOKUP($A24,'Additional Tables'!$A:$I,4,FALSE)</f>
        <v>0</v>
      </c>
      <c r="I24" s="220">
        <f>VLOOKUP($A24,'Additional Tables'!$A:$I,5,FALSE)</f>
        <v>0</v>
      </c>
      <c r="J24" s="221">
        <f>VLOOKUP($A24,'Additional Tables'!$A:$I,6,FALSE)</f>
        <v>0</v>
      </c>
      <c r="K24" s="220">
        <f>VLOOKUP($A24,'Additional Tables'!$A:$I,7,FALSE)</f>
        <v>5.4301818557552879E-3</v>
      </c>
      <c r="L24" s="220">
        <f>VLOOKUP($A24,'Additional Tables'!$A:$I,8,FALSE)</f>
        <v>5.7526496444790175E-5</v>
      </c>
      <c r="M24" s="221" t="str">
        <f>VLOOKUP($A24,'Additional Tables'!$A:$I,9,FALSE)</f>
        <v>Not eval.</v>
      </c>
      <c r="N24" s="219">
        <v>0</v>
      </c>
      <c r="O24" s="220">
        <v>1.3310567449033118E-5</v>
      </c>
      <c r="P24" s="220">
        <v>0</v>
      </c>
      <c r="Q24" s="220">
        <v>0</v>
      </c>
      <c r="R24" s="220">
        <v>0</v>
      </c>
      <c r="S24" s="220">
        <v>6.9557295956318502E-6</v>
      </c>
      <c r="T24" s="221">
        <v>0</v>
      </c>
      <c r="U24" s="219">
        <v>3.4495884532313292E-8</v>
      </c>
      <c r="V24" s="220">
        <v>3.706444674252506E-8</v>
      </c>
      <c r="W24" s="220">
        <v>0</v>
      </c>
      <c r="X24" s="220">
        <v>1.5913324069575471E-5</v>
      </c>
      <c r="Y24" s="220">
        <v>1.1695916138751027E-6</v>
      </c>
      <c r="Z24" s="220">
        <v>3.2938496506504361E-8</v>
      </c>
      <c r="AA24" s="221">
        <v>0</v>
      </c>
      <c r="AB24" s="222">
        <f t="shared" si="0"/>
        <v>0</v>
      </c>
      <c r="AC24" s="223" t="s">
        <v>185</v>
      </c>
      <c r="AD24" s="222">
        <f t="shared" si="2"/>
        <v>0</v>
      </c>
      <c r="AE24" s="223">
        <f t="shared" si="3"/>
        <v>1.6245066982079376E-5</v>
      </c>
    </row>
    <row r="25" spans="1:31" x14ac:dyDescent="0.25">
      <c r="A25" s="193" t="s">
        <v>57</v>
      </c>
      <c r="B25" s="43" t="s">
        <v>36</v>
      </c>
      <c r="C25" s="197">
        <v>9.417736679411064</v>
      </c>
      <c r="D25" s="198">
        <v>9.417736679423669</v>
      </c>
      <c r="E25" s="43" t="s">
        <v>67</v>
      </c>
      <c r="F25" s="124" t="s">
        <v>138</v>
      </c>
      <c r="G25" s="207">
        <f>VLOOKUP($A25,'Additional Tables'!$A:$I,3,FALSE)</f>
        <v>0</v>
      </c>
      <c r="H25" s="208">
        <f>VLOOKUP($A25,'Additional Tables'!$A:$I,4,FALSE)</f>
        <v>2.7398028980772744E-3</v>
      </c>
      <c r="I25" s="208">
        <f>VLOOKUP($A25,'Additional Tables'!$A:$I,5,FALSE)</f>
        <v>1E-4</v>
      </c>
      <c r="J25" s="209">
        <f>VLOOKUP($A25,'Additional Tables'!$A:$I,6,FALSE)</f>
        <v>1E-4</v>
      </c>
      <c r="K25" s="208">
        <f>VLOOKUP($A25,'Additional Tables'!$A:$I,7,FALSE)</f>
        <v>3.6110073163838956E-2</v>
      </c>
      <c r="L25" s="208">
        <f>VLOOKUP($A25,'Additional Tables'!$A:$I,8,FALSE)</f>
        <v>3.031077875465448E-3</v>
      </c>
      <c r="M25" s="209" t="str">
        <f>VLOOKUP($A25,'Additional Tables'!$A:$I,9,FALSE)</f>
        <v>Not eval.</v>
      </c>
      <c r="N25" s="207">
        <v>0</v>
      </c>
      <c r="O25" s="208">
        <v>0</v>
      </c>
      <c r="P25" s="208">
        <v>0</v>
      </c>
      <c r="Q25" s="208">
        <v>0</v>
      </c>
      <c r="R25" s="208">
        <v>0</v>
      </c>
      <c r="S25" s="208">
        <v>0</v>
      </c>
      <c r="T25" s="209">
        <v>0</v>
      </c>
      <c r="U25" s="207">
        <v>3.2394998057067057E-8</v>
      </c>
      <c r="V25" s="208">
        <v>1.60795369688128E-6</v>
      </c>
      <c r="W25" s="208">
        <v>0</v>
      </c>
      <c r="X25" s="208">
        <v>1.9505534222340942E-5</v>
      </c>
      <c r="Y25" s="208">
        <v>3.0682568954833973E-7</v>
      </c>
      <c r="Z25" s="208">
        <v>5.608167190109097E-8</v>
      </c>
      <c r="AA25" s="209">
        <v>0</v>
      </c>
      <c r="AB25" s="199">
        <f t="shared" si="0"/>
        <v>1.0618262476866521E-5</v>
      </c>
      <c r="AC25" s="200" t="s">
        <v>185</v>
      </c>
      <c r="AD25" s="199">
        <f t="shared" si="2"/>
        <v>2.9091946306664069E-4</v>
      </c>
      <c r="AE25" s="200">
        <f t="shared" si="3"/>
        <v>3.2184780469515057E-4</v>
      </c>
    </row>
    <row r="26" spans="1:31" x14ac:dyDescent="0.25">
      <c r="A26" s="193" t="s">
        <v>33</v>
      </c>
      <c r="B26" s="43" t="s">
        <v>24</v>
      </c>
      <c r="C26" s="197">
        <v>9.4229995417572265</v>
      </c>
      <c r="D26" s="198">
        <v>9.4229995417693484</v>
      </c>
      <c r="E26" s="43" t="s">
        <v>67</v>
      </c>
      <c r="F26" s="124" t="s">
        <v>138</v>
      </c>
      <c r="G26" s="207">
        <f>VLOOKUP($A26,'Additional Tables'!$A:$I,3,FALSE)</f>
        <v>0</v>
      </c>
      <c r="H26" s="208">
        <f>VLOOKUP($A26,'Additional Tables'!$A:$I,4,FALSE)</f>
        <v>1.9027105896028676E-3</v>
      </c>
      <c r="I26" s="208">
        <f>VLOOKUP($A26,'Additional Tables'!$A:$I,5,FALSE)</f>
        <v>1E-4</v>
      </c>
      <c r="J26" s="209">
        <f>VLOOKUP($A26,'Additional Tables'!$A:$I,6,FALSE)</f>
        <v>4.0000000000000002E-4</v>
      </c>
      <c r="K26" s="208">
        <f>VLOOKUP($A26,'Additional Tables'!$A:$I,7,FALSE)</f>
        <v>1.00827184017428E-2</v>
      </c>
      <c r="L26" s="208">
        <f>VLOOKUP($A26,'Additional Tables'!$A:$I,8,FALSE)</f>
        <v>2.0488472345375798E-3</v>
      </c>
      <c r="M26" s="209" t="str">
        <f>VLOOKUP($A26,'Additional Tables'!$A:$I,9,FALSE)</f>
        <v>Not eval.</v>
      </c>
      <c r="N26" s="207" t="s">
        <v>26</v>
      </c>
      <c r="O26" s="208" t="s">
        <v>26</v>
      </c>
      <c r="P26" s="208" t="s">
        <v>26</v>
      </c>
      <c r="Q26" s="208" t="s">
        <v>26</v>
      </c>
      <c r="R26" s="208" t="s">
        <v>26</v>
      </c>
      <c r="S26" s="208" t="s">
        <v>26</v>
      </c>
      <c r="T26" s="209" t="s">
        <v>26</v>
      </c>
      <c r="U26" s="207" t="s">
        <v>26</v>
      </c>
      <c r="V26" s="208" t="s">
        <v>26</v>
      </c>
      <c r="W26" s="208" t="s">
        <v>26</v>
      </c>
      <c r="X26" s="208" t="s">
        <v>26</v>
      </c>
      <c r="Y26" s="208" t="s">
        <v>26</v>
      </c>
      <c r="Z26" s="208" t="s">
        <v>26</v>
      </c>
      <c r="AA26" s="209" t="s">
        <v>26</v>
      </c>
      <c r="AB26" s="199">
        <f t="shared" si="0"/>
        <v>4.2449328181269012E-5</v>
      </c>
      <c r="AC26" s="200" t="s">
        <v>185</v>
      </c>
      <c r="AD26" s="199">
        <f t="shared" si="2"/>
        <v>2.0192196563006994E-4</v>
      </c>
      <c r="AE26" s="200">
        <f t="shared" si="3"/>
        <v>2.1743047163042792E-4</v>
      </c>
    </row>
    <row r="27" spans="1:31" ht="15.75" thickBot="1" x14ac:dyDescent="0.3">
      <c r="A27" s="194" t="s">
        <v>62</v>
      </c>
      <c r="B27" s="201" t="s">
        <v>36</v>
      </c>
      <c r="C27" s="202">
        <v>2.4098405480566361</v>
      </c>
      <c r="D27" s="203">
        <v>2.4098405480564269</v>
      </c>
      <c r="E27" s="201" t="s">
        <v>67</v>
      </c>
      <c r="F27" s="125" t="s">
        <v>139</v>
      </c>
      <c r="G27" s="210">
        <f>VLOOKUP($A27,'Additional Tables'!$A:$I,3,FALSE)</f>
        <v>0</v>
      </c>
      <c r="H27" s="211">
        <f>VLOOKUP($A27,'Additional Tables'!$A:$I,4,FALSE)</f>
        <v>0</v>
      </c>
      <c r="I27" s="211">
        <f>VLOOKUP($A27,'Additional Tables'!$A:$I,5,FALSE)</f>
        <v>0</v>
      </c>
      <c r="J27" s="212">
        <f>VLOOKUP($A27,'Additional Tables'!$A:$I,6,FALSE)</f>
        <v>0</v>
      </c>
      <c r="K27" s="211">
        <f>VLOOKUP($A27,'Additional Tables'!$A:$I,7,FALSE)</f>
        <v>3.0822778918631347E-2</v>
      </c>
      <c r="L27" s="211">
        <f>VLOOKUP($A27,'Additional Tables'!$A:$I,8,FALSE)</f>
        <v>3.2653169433025819E-4</v>
      </c>
      <c r="M27" s="212" t="str">
        <f>VLOOKUP($A27,'Additional Tables'!$A:$I,9,FALSE)</f>
        <v>Not eval.</v>
      </c>
      <c r="N27" s="210">
        <v>0</v>
      </c>
      <c r="O27" s="211">
        <v>0</v>
      </c>
      <c r="P27" s="211">
        <v>0</v>
      </c>
      <c r="Q27" s="211">
        <v>0</v>
      </c>
      <c r="R27" s="211">
        <v>0</v>
      </c>
      <c r="S27" s="211">
        <v>0</v>
      </c>
      <c r="T27" s="212">
        <v>0</v>
      </c>
      <c r="U27" s="210">
        <v>0</v>
      </c>
      <c r="V27" s="211">
        <v>9.2213403270302123E-8</v>
      </c>
      <c r="W27" s="211">
        <v>4.9686875520921599E-7</v>
      </c>
      <c r="X27" s="211">
        <v>6.1005634289325682E-7</v>
      </c>
      <c r="Y27" s="211">
        <v>0</v>
      </c>
      <c r="Z27" s="211">
        <v>0</v>
      </c>
      <c r="AA27" s="212">
        <v>0</v>
      </c>
      <c r="AB27" s="199">
        <f t="shared" si="0"/>
        <v>0</v>
      </c>
      <c r="AC27" s="200" t="s">
        <v>185</v>
      </c>
      <c r="AD27" s="199">
        <f t="shared" si="2"/>
        <v>0</v>
      </c>
      <c r="AE27" s="200">
        <f t="shared" si="3"/>
        <v>1.3549929458759528E-4</v>
      </c>
    </row>
    <row r="28" spans="1:31" ht="15.75" thickBot="1" x14ac:dyDescent="0.3">
      <c r="A28" s="194" t="s">
        <v>34</v>
      </c>
      <c r="B28" s="201" t="s">
        <v>24</v>
      </c>
      <c r="C28" s="202">
        <v>246.719178</v>
      </c>
      <c r="D28" s="203">
        <v>246.719178</v>
      </c>
      <c r="E28" s="201" t="s">
        <v>67</v>
      </c>
      <c r="F28" s="125" t="s">
        <v>139</v>
      </c>
      <c r="G28" s="204"/>
      <c r="H28" s="205"/>
      <c r="I28" s="205"/>
      <c r="J28" s="206"/>
      <c r="K28" s="205"/>
      <c r="L28" s="205"/>
      <c r="M28" s="206"/>
      <c r="N28" s="204"/>
      <c r="O28" s="205"/>
      <c r="P28" s="205"/>
      <c r="Q28" s="205"/>
      <c r="R28" s="205"/>
      <c r="S28" s="205"/>
      <c r="T28" s="206"/>
      <c r="U28" s="204"/>
      <c r="V28" s="205"/>
      <c r="W28" s="205"/>
      <c r="X28" s="205"/>
      <c r="Y28" s="205"/>
      <c r="Z28" s="205"/>
      <c r="AA28" s="206"/>
      <c r="AB28" s="214"/>
      <c r="AC28" s="133"/>
      <c r="AD28" s="214"/>
      <c r="AE28" s="133"/>
    </row>
    <row r="29" spans="1:31" x14ac:dyDescent="0.25">
      <c r="A29" s="415" t="s">
        <v>192</v>
      </c>
    </row>
  </sheetData>
  <mergeCells count="7">
    <mergeCell ref="AD1:AE1"/>
    <mergeCell ref="F1:F2"/>
    <mergeCell ref="AB1:AC1"/>
    <mergeCell ref="N1:T1"/>
    <mergeCell ref="U1:AA1"/>
    <mergeCell ref="G1:J1"/>
    <mergeCell ref="K1:M1"/>
  </mergeCells>
  <conditionalFormatting sqref="C3:C28">
    <cfRule type="colorScale" priority="29">
      <colorScale>
        <cfvo type="min"/>
        <cfvo type="max"/>
        <color rgb="FFFFEF9C"/>
        <color rgb="FFFF7128"/>
      </colorScale>
    </cfRule>
  </conditionalFormatting>
  <conditionalFormatting sqref="D3:D28">
    <cfRule type="colorScale" priority="28">
      <colorScale>
        <cfvo type="min"/>
        <cfvo type="max"/>
        <color rgb="FFFFEF9C"/>
        <color rgb="FFFF7128"/>
      </colorScale>
    </cfRule>
  </conditionalFormatting>
  <conditionalFormatting sqref="G3:G28">
    <cfRule type="colorScale" priority="27">
      <colorScale>
        <cfvo type="min"/>
        <cfvo type="max"/>
        <color rgb="FFFFEF9C"/>
        <color rgb="FFFF7128"/>
      </colorScale>
    </cfRule>
  </conditionalFormatting>
  <conditionalFormatting sqref="H28:I28 H3:H27">
    <cfRule type="colorScale" priority="26">
      <colorScale>
        <cfvo type="min"/>
        <cfvo type="max"/>
        <color rgb="FFFFEF9C"/>
        <color rgb="FFFF7128"/>
      </colorScale>
    </cfRule>
  </conditionalFormatting>
  <conditionalFormatting sqref="J3:J28">
    <cfRule type="colorScale" priority="25">
      <colorScale>
        <cfvo type="min"/>
        <cfvo type="max"/>
        <color rgb="FFFFEF9C"/>
        <color rgb="FFFF7128"/>
      </colorScale>
    </cfRule>
  </conditionalFormatting>
  <conditionalFormatting sqref="K3:K28">
    <cfRule type="colorScale" priority="24">
      <colorScale>
        <cfvo type="min"/>
        <cfvo type="max"/>
        <color rgb="FFFFEF9C"/>
        <color rgb="FF63BE7B"/>
      </colorScale>
    </cfRule>
  </conditionalFormatting>
  <conditionalFormatting sqref="L3:L28">
    <cfRule type="colorScale" priority="23">
      <colorScale>
        <cfvo type="min"/>
        <cfvo type="max"/>
        <color rgb="FFFFEF9C"/>
        <color rgb="FF63BE7B"/>
      </colorScale>
    </cfRule>
  </conditionalFormatting>
  <conditionalFormatting sqref="M3:M28">
    <cfRule type="colorScale" priority="22">
      <colorScale>
        <cfvo type="min"/>
        <cfvo type="max"/>
        <color rgb="FFFFEF9C"/>
        <color rgb="FF63BE7B"/>
      </colorScale>
    </cfRule>
  </conditionalFormatting>
  <conditionalFormatting sqref="N3:N28">
    <cfRule type="colorScale" priority="21">
      <colorScale>
        <cfvo type="min"/>
        <cfvo type="max"/>
        <color rgb="FFFFEF9C"/>
        <color rgb="FFFF7128"/>
      </colorScale>
    </cfRule>
  </conditionalFormatting>
  <conditionalFormatting sqref="O3:O28">
    <cfRule type="colorScale" priority="20">
      <colorScale>
        <cfvo type="min"/>
        <cfvo type="max"/>
        <color rgb="FFFFEF9C"/>
        <color rgb="FFFF7128"/>
      </colorScale>
    </cfRule>
  </conditionalFormatting>
  <conditionalFormatting sqref="P3:P28">
    <cfRule type="colorScale" priority="19">
      <colorScale>
        <cfvo type="min"/>
        <cfvo type="max"/>
        <color rgb="FFFFEF9C"/>
        <color rgb="FFFF7128"/>
      </colorScale>
    </cfRule>
  </conditionalFormatting>
  <conditionalFormatting sqref="Q3:Q28">
    <cfRule type="colorScale" priority="18">
      <colorScale>
        <cfvo type="min"/>
        <cfvo type="max"/>
        <color rgb="FFFFEF9C"/>
        <color rgb="FFFF7128"/>
      </colorScale>
    </cfRule>
  </conditionalFormatting>
  <conditionalFormatting sqref="S3:S28">
    <cfRule type="colorScale" priority="15">
      <colorScale>
        <cfvo type="min"/>
        <cfvo type="max"/>
        <color rgb="FFFFEF9C"/>
        <color rgb="FFFF7128"/>
      </colorScale>
    </cfRule>
  </conditionalFormatting>
  <conditionalFormatting sqref="T3:T28">
    <cfRule type="colorScale" priority="14">
      <colorScale>
        <cfvo type="min"/>
        <cfvo type="max"/>
        <color rgb="FFFFEF9C"/>
        <color rgb="FFFF7128"/>
      </colorScale>
    </cfRule>
  </conditionalFormatting>
  <conditionalFormatting sqref="U3:U28">
    <cfRule type="colorScale" priority="13">
      <colorScale>
        <cfvo type="min"/>
        <cfvo type="max"/>
        <color rgb="FFFFEF9C"/>
        <color rgb="FF63BE7B"/>
      </colorScale>
    </cfRule>
  </conditionalFormatting>
  <conditionalFormatting sqref="V3:V28">
    <cfRule type="colorScale" priority="12">
      <colorScale>
        <cfvo type="min"/>
        <cfvo type="max"/>
        <color rgb="FFFFEF9C"/>
        <color rgb="FF63BE7B"/>
      </colorScale>
    </cfRule>
  </conditionalFormatting>
  <conditionalFormatting sqref="W3:W28">
    <cfRule type="colorScale" priority="11">
      <colorScale>
        <cfvo type="min"/>
        <cfvo type="max"/>
        <color rgb="FFFFEF9C"/>
        <color rgb="FF63BE7B"/>
      </colorScale>
    </cfRule>
  </conditionalFormatting>
  <conditionalFormatting sqref="X3:X28">
    <cfRule type="colorScale" priority="10">
      <colorScale>
        <cfvo type="min"/>
        <cfvo type="max"/>
        <color rgb="FFFFEF9C"/>
        <color rgb="FF63BE7B"/>
      </colorScale>
    </cfRule>
  </conditionalFormatting>
  <conditionalFormatting sqref="Y3:Y28">
    <cfRule type="colorScale" priority="9">
      <colorScale>
        <cfvo type="min"/>
        <cfvo type="max"/>
        <color rgb="FFFFEF9C"/>
        <color rgb="FF63BE7B"/>
      </colorScale>
    </cfRule>
  </conditionalFormatting>
  <conditionalFormatting sqref="Z3:Z28">
    <cfRule type="colorScale" priority="8">
      <colorScale>
        <cfvo type="min"/>
        <cfvo type="max"/>
        <color rgb="FFFFEF9C"/>
        <color rgb="FF63BE7B"/>
      </colorScale>
    </cfRule>
  </conditionalFormatting>
  <conditionalFormatting sqref="AA3:AA28">
    <cfRule type="colorScale" priority="7">
      <colorScale>
        <cfvo type="min"/>
        <cfvo type="max"/>
        <color rgb="FFFFEF9C"/>
        <color rgb="FF63BE7B"/>
      </colorScale>
    </cfRule>
  </conditionalFormatting>
  <conditionalFormatting sqref="AC3:AC28">
    <cfRule type="colorScale" priority="5">
      <colorScale>
        <cfvo type="min"/>
        <cfvo type="max"/>
        <color rgb="FFFFEF9C"/>
        <color rgb="FF63BE7B"/>
      </colorScale>
    </cfRule>
  </conditionalFormatting>
  <conditionalFormatting sqref="AB3:AB28">
    <cfRule type="colorScale" priority="4">
      <colorScale>
        <cfvo type="min"/>
        <cfvo type="max"/>
        <color rgb="FFFFEF9C"/>
        <color rgb="FFFF7128"/>
      </colorScale>
    </cfRule>
  </conditionalFormatting>
  <conditionalFormatting sqref="AE3:AE28">
    <cfRule type="colorScale" priority="3">
      <colorScale>
        <cfvo type="min"/>
        <cfvo type="max"/>
        <color rgb="FFFFEF9C"/>
        <color rgb="FF63BE7B"/>
      </colorScale>
    </cfRule>
  </conditionalFormatting>
  <conditionalFormatting sqref="AD3:AD28">
    <cfRule type="colorScale" priority="2">
      <colorScale>
        <cfvo type="min"/>
        <cfvo type="max"/>
        <color rgb="FFFFEF9C"/>
        <color rgb="FFFF7128"/>
      </colorScale>
    </cfRule>
  </conditionalFormatting>
  <conditionalFormatting sqref="I3:I27">
    <cfRule type="colorScale" priority="1">
      <colorScale>
        <cfvo type="min"/>
        <cfvo type="max"/>
        <color rgb="FFFFEF9C"/>
        <color rgb="FFFF7128"/>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77"/>
  <sheetViews>
    <sheetView topLeftCell="E1" zoomScale="85" zoomScaleNormal="85" workbookViewId="0">
      <selection activeCell="L46" sqref="L46"/>
    </sheetView>
  </sheetViews>
  <sheetFormatPr defaultRowHeight="15" x14ac:dyDescent="0.25"/>
  <cols>
    <col min="1" max="1" width="28.140625" customWidth="1"/>
    <col min="2" max="2" width="20.7109375" bestFit="1" customWidth="1"/>
    <col min="3" max="3" width="20.7109375" customWidth="1"/>
    <col min="4" max="4" width="8.42578125" customWidth="1"/>
    <col min="5" max="5" width="8.140625" bestFit="1" customWidth="1"/>
    <col min="6" max="6" width="7.140625" bestFit="1" customWidth="1"/>
    <col min="7" max="7" width="8.140625" customWidth="1"/>
    <col min="8" max="8" width="13.7109375" customWidth="1"/>
    <col min="9" max="9" width="7.28515625" customWidth="1"/>
    <col min="10" max="10" width="7" customWidth="1"/>
    <col min="11" max="11" width="7.7109375" customWidth="1"/>
    <col min="12" max="12" width="12.140625" customWidth="1"/>
    <col min="13" max="13" width="11.85546875" customWidth="1"/>
    <col min="14" max="14" width="5.5703125" bestFit="1" customWidth="1"/>
    <col min="15" max="15" width="5.140625" bestFit="1" customWidth="1"/>
    <col min="16" max="16" width="5.5703125" bestFit="1" customWidth="1"/>
    <col min="17" max="17" width="5.140625" bestFit="1" customWidth="1"/>
    <col min="18" max="18" width="5.5703125" bestFit="1" customWidth="1"/>
    <col min="19" max="19" width="5.140625" bestFit="1" customWidth="1"/>
    <col min="20" max="20" width="5.5703125" bestFit="1" customWidth="1"/>
    <col min="21" max="21" width="5.140625" bestFit="1" customWidth="1"/>
    <col min="22" max="22" width="5.5703125" bestFit="1" customWidth="1"/>
    <col min="23" max="23" width="5.140625" bestFit="1" customWidth="1"/>
    <col min="24" max="24" width="20.85546875" bestFit="1" customWidth="1"/>
    <col min="25" max="26" width="5.140625" bestFit="1" customWidth="1"/>
    <col min="27" max="27" width="22.7109375" customWidth="1"/>
    <col min="28" max="28" width="15.5703125" style="121" bestFit="1" customWidth="1"/>
    <col min="29" max="29" width="12.85546875" customWidth="1"/>
    <col min="30" max="30" width="24.85546875" bestFit="1" customWidth="1"/>
    <col min="31" max="31" width="9.85546875" bestFit="1" customWidth="1"/>
    <col min="32" max="32" width="5.7109375" bestFit="1" customWidth="1"/>
    <col min="33" max="33" width="6.42578125" bestFit="1" customWidth="1"/>
    <col min="34" max="34" width="4.140625" bestFit="1" customWidth="1"/>
    <col min="35" max="35" width="6" bestFit="1" customWidth="1"/>
    <col min="36" max="36" width="4.85546875" bestFit="1" customWidth="1"/>
    <col min="37" max="37" width="4.140625" bestFit="1" customWidth="1"/>
    <col min="38" max="38" width="6" bestFit="1" customWidth="1"/>
    <col min="39" max="39" width="8.42578125" bestFit="1" customWidth="1"/>
    <col min="40" max="40" width="5" bestFit="1" customWidth="1"/>
    <col min="41" max="41" width="4.140625" bestFit="1" customWidth="1"/>
    <col min="42" max="42" width="5" bestFit="1" customWidth="1"/>
    <col min="43" max="43" width="4.140625" bestFit="1" customWidth="1"/>
    <col min="44" max="44" width="5" bestFit="1" customWidth="1"/>
    <col min="45" max="45" width="4.140625" bestFit="1" customWidth="1"/>
    <col min="46" max="46" width="5" bestFit="1" customWidth="1"/>
    <col min="47" max="47" width="4.140625" bestFit="1" customWidth="1"/>
    <col min="48" max="48" width="5" bestFit="1" customWidth="1"/>
    <col min="49" max="49" width="4.140625" bestFit="1" customWidth="1"/>
    <col min="50" max="50" width="5" bestFit="1" customWidth="1"/>
    <col min="51" max="51" width="4.140625" bestFit="1" customWidth="1"/>
    <col min="52" max="52" width="5" bestFit="1" customWidth="1"/>
    <col min="53" max="53" width="4.140625" bestFit="1" customWidth="1"/>
    <col min="54" max="54" width="9.42578125" bestFit="1" customWidth="1"/>
  </cols>
  <sheetData>
    <row r="1" spans="1:54" s="422" customFormat="1" ht="15" customHeight="1" x14ac:dyDescent="0.25">
      <c r="A1" s="262" t="s">
        <v>76</v>
      </c>
      <c r="B1" s="263"/>
      <c r="C1" s="263"/>
      <c r="D1" s="802"/>
      <c r="E1" s="423"/>
      <c r="F1" s="818" t="s">
        <v>134</v>
      </c>
      <c r="G1" s="801" t="s">
        <v>77</v>
      </c>
      <c r="H1" s="802"/>
      <c r="I1" s="802"/>
      <c r="J1" s="803"/>
      <c r="K1" s="801" t="s">
        <v>78</v>
      </c>
      <c r="L1" s="810"/>
      <c r="M1" s="811"/>
      <c r="N1" s="815" t="s">
        <v>2</v>
      </c>
      <c r="O1" s="816"/>
      <c r="P1" s="816"/>
      <c r="Q1" s="816"/>
      <c r="R1" s="816"/>
      <c r="S1" s="816"/>
      <c r="T1" s="816"/>
      <c r="U1" s="816"/>
      <c r="V1" s="816"/>
      <c r="W1" s="816"/>
      <c r="X1" s="816"/>
      <c r="Y1" s="816"/>
      <c r="Z1" s="816"/>
      <c r="AA1" s="263"/>
      <c r="AB1" s="824" t="s">
        <v>176</v>
      </c>
      <c r="AD1" s="262" t="s">
        <v>75</v>
      </c>
      <c r="AE1" s="263"/>
      <c r="AF1" s="802"/>
      <c r="AG1" s="423"/>
      <c r="AH1" s="801" t="s">
        <v>77</v>
      </c>
      <c r="AI1" s="810"/>
      <c r="AJ1" s="811"/>
      <c r="AK1" s="801" t="s">
        <v>78</v>
      </c>
      <c r="AL1" s="810"/>
      <c r="AM1" s="811"/>
      <c r="AN1" s="815" t="s">
        <v>2</v>
      </c>
      <c r="AO1" s="816"/>
      <c r="AP1" s="816"/>
      <c r="AQ1" s="816"/>
      <c r="AR1" s="816"/>
      <c r="AS1" s="816"/>
      <c r="AT1" s="816"/>
      <c r="AU1" s="816"/>
      <c r="AV1" s="816"/>
      <c r="AW1" s="816"/>
      <c r="AX1" s="816"/>
      <c r="AY1" s="816"/>
      <c r="AZ1" s="816"/>
      <c r="BA1" s="423"/>
    </row>
    <row r="2" spans="1:54" s="422" customFormat="1" ht="24.75" customHeight="1" x14ac:dyDescent="0.25">
      <c r="A2" s="264"/>
      <c r="B2" s="265"/>
      <c r="C2" s="265"/>
      <c r="D2" s="805" t="s">
        <v>83</v>
      </c>
      <c r="E2" s="424"/>
      <c r="F2" s="819"/>
      <c r="G2" s="804"/>
      <c r="H2" s="805"/>
      <c r="I2" s="805"/>
      <c r="J2" s="806"/>
      <c r="K2" s="812"/>
      <c r="L2" s="828"/>
      <c r="M2" s="814"/>
      <c r="N2" s="817" t="s">
        <v>5</v>
      </c>
      <c r="O2" s="808"/>
      <c r="P2" s="807" t="s">
        <v>6</v>
      </c>
      <c r="Q2" s="808"/>
      <c r="R2" s="807" t="s">
        <v>7</v>
      </c>
      <c r="S2" s="808"/>
      <c r="T2" s="807" t="s">
        <v>8</v>
      </c>
      <c r="U2" s="808"/>
      <c r="V2" s="807" t="s">
        <v>9</v>
      </c>
      <c r="W2" s="808"/>
      <c r="X2" s="807" t="s">
        <v>10</v>
      </c>
      <c r="Y2" s="808"/>
      <c r="Z2" s="807" t="s">
        <v>11</v>
      </c>
      <c r="AA2" s="809"/>
      <c r="AB2" s="825"/>
      <c r="AD2" s="264"/>
      <c r="AE2" s="265"/>
      <c r="AF2" s="805"/>
      <c r="AG2" s="424"/>
      <c r="AH2" s="812"/>
      <c r="AI2" s="828"/>
      <c r="AJ2" s="814"/>
      <c r="AK2" s="812"/>
      <c r="AL2" s="828"/>
      <c r="AM2" s="814"/>
      <c r="AN2" s="817" t="s">
        <v>5</v>
      </c>
      <c r="AO2" s="808"/>
      <c r="AP2" s="807" t="s">
        <v>6</v>
      </c>
      <c r="AQ2" s="808"/>
      <c r="AR2" s="807" t="s">
        <v>7</v>
      </c>
      <c r="AS2" s="808"/>
      <c r="AT2" s="807" t="s">
        <v>8</v>
      </c>
      <c r="AU2" s="808"/>
      <c r="AV2" s="807" t="s">
        <v>9</v>
      </c>
      <c r="AW2" s="808"/>
      <c r="AX2" s="807" t="s">
        <v>10</v>
      </c>
      <c r="AY2" s="808"/>
      <c r="AZ2" s="807" t="s">
        <v>11</v>
      </c>
      <c r="BA2" s="827"/>
    </row>
    <row r="3" spans="1:54" s="422" customFormat="1" ht="23.25" thickBot="1" x14ac:dyDescent="0.3">
      <c r="A3" s="141" t="s">
        <v>12</v>
      </c>
      <c r="B3" s="417" t="s">
        <v>13</v>
      </c>
      <c r="C3" s="417" t="s">
        <v>177</v>
      </c>
      <c r="D3" s="142" t="s">
        <v>63</v>
      </c>
      <c r="E3" s="418" t="s">
        <v>14</v>
      </c>
      <c r="F3" s="820"/>
      <c r="G3" s="417" t="s">
        <v>194</v>
      </c>
      <c r="H3" s="142" t="s">
        <v>195</v>
      </c>
      <c r="I3" s="142" t="s">
        <v>182</v>
      </c>
      <c r="J3" s="419" t="s">
        <v>183</v>
      </c>
      <c r="K3" s="417" t="s">
        <v>194</v>
      </c>
      <c r="L3" s="142" t="s">
        <v>195</v>
      </c>
      <c r="M3" s="419" t="s">
        <v>186</v>
      </c>
      <c r="N3" s="141" t="s">
        <v>21</v>
      </c>
      <c r="O3" s="417" t="s">
        <v>22</v>
      </c>
      <c r="P3" s="420" t="s">
        <v>21</v>
      </c>
      <c r="Q3" s="421" t="s">
        <v>22</v>
      </c>
      <c r="R3" s="420" t="s">
        <v>21</v>
      </c>
      <c r="S3" s="421" t="s">
        <v>22</v>
      </c>
      <c r="T3" s="420" t="s">
        <v>21</v>
      </c>
      <c r="U3" s="421" t="s">
        <v>22</v>
      </c>
      <c r="V3" s="420" t="s">
        <v>21</v>
      </c>
      <c r="W3" s="421" t="s">
        <v>22</v>
      </c>
      <c r="X3" s="420" t="s">
        <v>21</v>
      </c>
      <c r="Y3" s="421" t="s">
        <v>22</v>
      </c>
      <c r="Z3" s="417" t="s">
        <v>21</v>
      </c>
      <c r="AA3" s="417" t="s">
        <v>22</v>
      </c>
      <c r="AB3" s="825"/>
      <c r="AD3" s="141" t="s">
        <v>12</v>
      </c>
      <c r="AE3" s="417" t="s">
        <v>13</v>
      </c>
      <c r="AF3" s="142" t="s">
        <v>63</v>
      </c>
      <c r="AG3" s="418" t="s">
        <v>14</v>
      </c>
      <c r="AH3" s="417" t="s">
        <v>18</v>
      </c>
      <c r="AI3" s="142" t="s">
        <v>19</v>
      </c>
      <c r="AJ3" s="419" t="s">
        <v>20</v>
      </c>
      <c r="AK3" s="417" t="s">
        <v>18</v>
      </c>
      <c r="AL3" s="142" t="s">
        <v>19</v>
      </c>
      <c r="AM3" s="419" t="s">
        <v>20</v>
      </c>
      <c r="AN3" s="141" t="s">
        <v>21</v>
      </c>
      <c r="AO3" s="417" t="s">
        <v>22</v>
      </c>
      <c r="AP3" s="420" t="s">
        <v>21</v>
      </c>
      <c r="AQ3" s="421" t="s">
        <v>22</v>
      </c>
      <c r="AR3" s="420" t="s">
        <v>21</v>
      </c>
      <c r="AS3" s="421" t="s">
        <v>22</v>
      </c>
      <c r="AT3" s="420" t="s">
        <v>21</v>
      </c>
      <c r="AU3" s="421" t="s">
        <v>22</v>
      </c>
      <c r="AV3" s="420" t="s">
        <v>21</v>
      </c>
      <c r="AW3" s="421" t="s">
        <v>22</v>
      </c>
      <c r="AX3" s="420" t="s">
        <v>21</v>
      </c>
      <c r="AY3" s="421" t="s">
        <v>22</v>
      </c>
      <c r="AZ3" s="417" t="s">
        <v>21</v>
      </c>
      <c r="BA3" s="418" t="s">
        <v>22</v>
      </c>
    </row>
    <row r="4" spans="1:54" s="422" customFormat="1" ht="12" thickBot="1" x14ac:dyDescent="0.3">
      <c r="A4" s="425" t="s">
        <v>73</v>
      </c>
      <c r="B4" s="426"/>
      <c r="C4" s="426"/>
      <c r="D4" s="427"/>
      <c r="E4" s="428"/>
      <c r="F4" s="428"/>
      <c r="G4" s="426"/>
      <c r="H4" s="427"/>
      <c r="I4" s="427"/>
      <c r="J4" s="429"/>
      <c r="K4" s="426"/>
      <c r="L4" s="427"/>
      <c r="M4" s="429"/>
      <c r="N4" s="425"/>
      <c r="O4" s="426"/>
      <c r="P4" s="430"/>
      <c r="Q4" s="431"/>
      <c r="R4" s="430"/>
      <c r="S4" s="431"/>
      <c r="T4" s="430"/>
      <c r="U4" s="431"/>
      <c r="V4" s="430"/>
      <c r="W4" s="431"/>
      <c r="X4" s="430"/>
      <c r="Y4" s="431"/>
      <c r="Z4" s="426"/>
      <c r="AA4" s="426"/>
      <c r="AB4" s="826"/>
      <c r="AD4" s="425" t="s">
        <v>73</v>
      </c>
      <c r="AE4" s="426"/>
      <c r="AF4" s="427"/>
      <c r="AG4" s="428"/>
      <c r="AH4" s="426"/>
      <c r="AI4" s="427"/>
      <c r="AJ4" s="429"/>
      <c r="AK4" s="426"/>
      <c r="AL4" s="427"/>
      <c r="AM4" s="429"/>
      <c r="AN4" s="425"/>
      <c r="AO4" s="426"/>
      <c r="AP4" s="430"/>
      <c r="AQ4" s="431"/>
      <c r="AR4" s="430"/>
      <c r="AS4" s="431"/>
      <c r="AT4" s="430"/>
      <c r="AU4" s="431"/>
      <c r="AV4" s="430"/>
      <c r="AW4" s="431"/>
      <c r="AX4" s="430"/>
      <c r="AY4" s="431"/>
      <c r="AZ4" s="426"/>
      <c r="BA4" s="428"/>
      <c r="BB4" s="432" t="s">
        <v>70</v>
      </c>
    </row>
    <row r="5" spans="1:54" s="286" customFormat="1" x14ac:dyDescent="0.25">
      <c r="A5" s="288" t="s">
        <v>50</v>
      </c>
      <c r="B5" s="289" t="s">
        <v>36</v>
      </c>
      <c r="C5" s="289" t="s">
        <v>178</v>
      </c>
      <c r="D5" s="290">
        <f>VLOOKUP($A5,'Total Areas'!A:D,4,FALSE)</f>
        <v>21.967395184679404</v>
      </c>
      <c r="E5" s="255" t="s">
        <v>49</v>
      </c>
      <c r="F5" s="255" t="s">
        <v>135</v>
      </c>
      <c r="G5" s="291">
        <f>VLOOKUP($A5,'Additional Tables'!$A:$I,3,FALSE)</f>
        <v>0</v>
      </c>
      <c r="H5" s="292">
        <f>VLOOKUP($A5,'Additional Tables'!$A:$I,4,FALSE)</f>
        <v>7.375244404305926E-3</v>
      </c>
      <c r="I5" s="292">
        <f>VLOOKUP($A5,'Additional Tables'!$A:$I,5,FALSE)</f>
        <v>9.9000000000000008E-3</v>
      </c>
      <c r="J5" s="293">
        <f>VLOOKUP($A5,'Additional Tables'!$A:$I,6,FALSE)</f>
        <v>3.5999999999999999E-3</v>
      </c>
      <c r="K5" s="291">
        <f>VLOOKUP($A5,'Additional Tables'!$A:$I,7,FALSE)</f>
        <v>0</v>
      </c>
      <c r="L5" s="292">
        <f>VLOOKUP($A5,'Additional Tables'!$A:$I,8,FALSE)</f>
        <v>7.5276630954452467E-3</v>
      </c>
      <c r="M5" s="293">
        <f>VLOOKUP($A5,'Additional Tables'!$A:$I,9,FALSE)</f>
        <v>4.6279841458284864E-3</v>
      </c>
      <c r="N5" s="294">
        <v>8.3141979940185715E-5</v>
      </c>
      <c r="O5" s="291">
        <v>0</v>
      </c>
      <c r="P5" s="295">
        <v>9.8586787394160718E-5</v>
      </c>
      <c r="Q5" s="296">
        <v>0</v>
      </c>
      <c r="R5" s="295">
        <v>1.7576162805018794E-5</v>
      </c>
      <c r="S5" s="296">
        <v>0</v>
      </c>
      <c r="T5" s="295">
        <v>9.4127446857543429E-6</v>
      </c>
      <c r="U5" s="296">
        <v>0</v>
      </c>
      <c r="V5" s="295">
        <v>6.0624276822017621E-5</v>
      </c>
      <c r="W5" s="296">
        <v>0</v>
      </c>
      <c r="X5" s="295">
        <v>1.0126726696731411E-5</v>
      </c>
      <c r="Y5" s="296">
        <v>0</v>
      </c>
      <c r="Z5" s="291">
        <v>6.0936189030176299E-5</v>
      </c>
      <c r="AA5" s="297">
        <v>0</v>
      </c>
      <c r="AB5" s="298">
        <v>1</v>
      </c>
      <c r="AD5" s="288" t="s">
        <v>50</v>
      </c>
      <c r="AE5" s="289" t="s">
        <v>36</v>
      </c>
      <c r="AF5" s="299">
        <f t="shared" ref="AF5:AF13" si="0">RANK(D5,D$5:D$13,1)</f>
        <v>4</v>
      </c>
      <c r="AG5" s="255" t="s">
        <v>49</v>
      </c>
      <c r="AH5" s="299">
        <f t="shared" ref="AH5:AI11" si="1">RANK(G5,G$5:G$13)</f>
        <v>6</v>
      </c>
      <c r="AI5" s="300">
        <f t="shared" si="1"/>
        <v>5</v>
      </c>
      <c r="AJ5" s="301">
        <f t="shared" ref="AJ5:BA13" si="2">RANK(J5,J$5:J$13)</f>
        <v>5</v>
      </c>
      <c r="AK5" s="299">
        <f t="shared" si="2"/>
        <v>3</v>
      </c>
      <c r="AL5" s="300">
        <f t="shared" si="2"/>
        <v>5</v>
      </c>
      <c r="AM5" s="301">
        <f t="shared" si="2"/>
        <v>3</v>
      </c>
      <c r="AN5" s="302">
        <f t="shared" si="2"/>
        <v>8</v>
      </c>
      <c r="AO5" s="299">
        <f t="shared" si="2"/>
        <v>7</v>
      </c>
      <c r="AP5" s="303">
        <f t="shared" si="2"/>
        <v>7</v>
      </c>
      <c r="AQ5" s="304">
        <f t="shared" si="2"/>
        <v>8</v>
      </c>
      <c r="AR5" s="303">
        <f t="shared" si="2"/>
        <v>8</v>
      </c>
      <c r="AS5" s="304">
        <f t="shared" si="2"/>
        <v>8</v>
      </c>
      <c r="AT5" s="303">
        <f t="shared" si="2"/>
        <v>6</v>
      </c>
      <c r="AU5" s="304">
        <f t="shared" si="2"/>
        <v>7</v>
      </c>
      <c r="AV5" s="303">
        <f t="shared" si="2"/>
        <v>6</v>
      </c>
      <c r="AW5" s="304">
        <f t="shared" si="2"/>
        <v>3</v>
      </c>
      <c r="AX5" s="303">
        <f t="shared" si="2"/>
        <v>8</v>
      </c>
      <c r="AY5" s="304">
        <f t="shared" si="2"/>
        <v>7</v>
      </c>
      <c r="AZ5" s="299">
        <f t="shared" si="2"/>
        <v>8</v>
      </c>
      <c r="BA5" s="305">
        <f t="shared" si="2"/>
        <v>6</v>
      </c>
      <c r="BB5" s="306"/>
    </row>
    <row r="6" spans="1:54" s="286" customFormat="1" x14ac:dyDescent="0.25">
      <c r="A6" s="288" t="s">
        <v>88</v>
      </c>
      <c r="B6" s="289" t="s">
        <v>36</v>
      </c>
      <c r="C6" s="289" t="s">
        <v>178</v>
      </c>
      <c r="D6" s="290">
        <f>VLOOKUP($A6,'Total Areas'!A:D,4,FALSE)</f>
        <v>9.8591332767577313</v>
      </c>
      <c r="E6" s="255" t="s">
        <v>49</v>
      </c>
      <c r="F6" s="255" t="s">
        <v>136</v>
      </c>
      <c r="G6" s="291">
        <f>VLOOKUP($A6,'Additional Tables'!$A:$I,3,FALSE)</f>
        <v>0</v>
      </c>
      <c r="H6" s="292">
        <f>VLOOKUP($A6,'Additional Tables'!$A:$I,4,FALSE)</f>
        <v>0</v>
      </c>
      <c r="I6" s="292">
        <f>VLOOKUP($A6,'Additional Tables'!$A:$I,5,FALSE)</f>
        <v>1E-4</v>
      </c>
      <c r="J6" s="293">
        <f>VLOOKUP($A6,'Additional Tables'!$A:$I,6,FALSE)</f>
        <v>0</v>
      </c>
      <c r="K6" s="291">
        <f>VLOOKUP($A6,'Additional Tables'!$A:$I,7,FALSE)</f>
        <v>0</v>
      </c>
      <c r="L6" s="292">
        <f>VLOOKUP($A6,'Additional Tables'!$A:$I,8,FALSE)</f>
        <v>0</v>
      </c>
      <c r="M6" s="293">
        <f>VLOOKUP($A6,'Additional Tables'!$A:$I,9,FALSE)</f>
        <v>2.7166288425656961E-5</v>
      </c>
      <c r="N6" s="294">
        <v>1.3033617258764298E-4</v>
      </c>
      <c r="O6" s="291">
        <v>4.8843726594775896E-6</v>
      </c>
      <c r="P6" s="295">
        <v>1.0190841257727103E-4</v>
      </c>
      <c r="Q6" s="296">
        <v>1.8873280089863311E-4</v>
      </c>
      <c r="R6" s="295">
        <v>3.1938288878380992E-5</v>
      </c>
      <c r="S6" s="296">
        <v>2.5079088718830184E-9</v>
      </c>
      <c r="T6" s="295">
        <v>4.0569472679301012E-6</v>
      </c>
      <c r="U6" s="296">
        <v>4.9853666453391678E-5</v>
      </c>
      <c r="V6" s="295">
        <v>1.0461537720600035E-5</v>
      </c>
      <c r="W6" s="296">
        <v>0</v>
      </c>
      <c r="X6" s="295">
        <v>4.7383576117793171E-5</v>
      </c>
      <c r="Y6" s="296">
        <v>3.3958841383496264E-5</v>
      </c>
      <c r="Z6" s="291">
        <v>3.8331822708062352E-4</v>
      </c>
      <c r="AA6" s="297">
        <v>5.7287081670434557E-5</v>
      </c>
      <c r="AB6" s="298">
        <v>0</v>
      </c>
      <c r="AD6" s="288" t="s">
        <v>88</v>
      </c>
      <c r="AE6" s="289" t="s">
        <v>36</v>
      </c>
      <c r="AF6" s="299">
        <f t="shared" si="0"/>
        <v>2</v>
      </c>
      <c r="AG6" s="255" t="s">
        <v>49</v>
      </c>
      <c r="AH6" s="299">
        <f t="shared" si="1"/>
        <v>6</v>
      </c>
      <c r="AI6" s="300">
        <f t="shared" si="1"/>
        <v>8</v>
      </c>
      <c r="AJ6" s="301">
        <f t="shared" si="2"/>
        <v>8</v>
      </c>
      <c r="AK6" s="299">
        <f t="shared" si="2"/>
        <v>3</v>
      </c>
      <c r="AL6" s="300">
        <f t="shared" si="2"/>
        <v>8</v>
      </c>
      <c r="AM6" s="301">
        <f t="shared" si="2"/>
        <v>8</v>
      </c>
      <c r="AN6" s="302">
        <f t="shared" si="2"/>
        <v>7</v>
      </c>
      <c r="AO6" s="299">
        <f t="shared" si="2"/>
        <v>6</v>
      </c>
      <c r="AP6" s="303">
        <f t="shared" si="2"/>
        <v>6</v>
      </c>
      <c r="AQ6" s="304">
        <f t="shared" si="2"/>
        <v>7</v>
      </c>
      <c r="AR6" s="303">
        <f t="shared" si="2"/>
        <v>6</v>
      </c>
      <c r="AS6" s="304">
        <f t="shared" si="2"/>
        <v>7</v>
      </c>
      <c r="AT6" s="303">
        <f t="shared" si="2"/>
        <v>8</v>
      </c>
      <c r="AU6" s="304">
        <f t="shared" si="2"/>
        <v>6</v>
      </c>
      <c r="AV6" s="303">
        <f t="shared" si="2"/>
        <v>7</v>
      </c>
      <c r="AW6" s="304">
        <f t="shared" si="2"/>
        <v>3</v>
      </c>
      <c r="AX6" s="303">
        <f t="shared" si="2"/>
        <v>5</v>
      </c>
      <c r="AY6" s="304">
        <f t="shared" si="2"/>
        <v>6</v>
      </c>
      <c r="AZ6" s="299">
        <f t="shared" si="2"/>
        <v>5</v>
      </c>
      <c r="BA6" s="305">
        <f t="shared" si="2"/>
        <v>5</v>
      </c>
      <c r="BB6" s="307"/>
    </row>
    <row r="7" spans="1:54" s="286" customFormat="1" x14ac:dyDescent="0.25">
      <c r="A7" s="288" t="s">
        <v>91</v>
      </c>
      <c r="B7" s="289" t="s">
        <v>36</v>
      </c>
      <c r="C7" s="289" t="s">
        <v>178</v>
      </c>
      <c r="D7" s="290">
        <f>VLOOKUP($A7,'Total Areas'!A:D,4,FALSE)</f>
        <v>2.4673660862597364</v>
      </c>
      <c r="E7" s="308" t="s">
        <v>49</v>
      </c>
      <c r="F7" s="255" t="s">
        <v>137</v>
      </c>
      <c r="G7" s="291">
        <f>VLOOKUP($A7,'Additional Tables'!$A:$I,3,FALSE)</f>
        <v>0</v>
      </c>
      <c r="H7" s="292">
        <f>VLOOKUP($A7,'Additional Tables'!$A:$I,4,FALSE)</f>
        <v>1.3833083750653401E-3</v>
      </c>
      <c r="I7" s="292">
        <f>VLOOKUP($A7,'Additional Tables'!$A:$I,5,FALSE)</f>
        <v>1.4E-3</v>
      </c>
      <c r="J7" s="293">
        <f>VLOOKUP($A7,'Additional Tables'!$A:$I,6,FALSE)</f>
        <v>5.0000000000000001E-4</v>
      </c>
      <c r="K7" s="291">
        <f>VLOOKUP($A7,'Additional Tables'!$A:$I,7,FALSE)</f>
        <v>0</v>
      </c>
      <c r="L7" s="292">
        <f>VLOOKUP($A7,'Additional Tables'!$A:$I,8,FALSE)</f>
        <v>1.4118961804872761E-3</v>
      </c>
      <c r="M7" s="293">
        <f>VLOOKUP($A7,'Additional Tables'!$A:$I,9,FALSE)</f>
        <v>5.3328961042034887E-4</v>
      </c>
      <c r="N7" s="294">
        <v>2.1799478263706472E-4</v>
      </c>
      <c r="O7" s="291">
        <v>0</v>
      </c>
      <c r="P7" s="295">
        <v>2.1680439160428979E-4</v>
      </c>
      <c r="Q7" s="296">
        <v>6.1899999999999987E-4</v>
      </c>
      <c r="R7" s="295">
        <v>3.0785593420321824E-5</v>
      </c>
      <c r="S7" s="296">
        <v>1.12E-4</v>
      </c>
      <c r="T7" s="295">
        <v>8.2085645010181582E-6</v>
      </c>
      <c r="U7" s="296">
        <v>0</v>
      </c>
      <c r="V7" s="295">
        <v>1.0149573959700067E-5</v>
      </c>
      <c r="W7" s="296">
        <v>0</v>
      </c>
      <c r="X7" s="295">
        <v>4.7318182848889008E-5</v>
      </c>
      <c r="Y7" s="296">
        <v>4.3100000000000001E-4</v>
      </c>
      <c r="Z7" s="291">
        <v>1.3560765332511695E-4</v>
      </c>
      <c r="AA7" s="297">
        <v>0</v>
      </c>
      <c r="AB7" s="298">
        <v>1</v>
      </c>
      <c r="AD7" s="288" t="s">
        <v>91</v>
      </c>
      <c r="AE7" s="289" t="s">
        <v>36</v>
      </c>
      <c r="AF7" s="299">
        <f t="shared" si="0"/>
        <v>1</v>
      </c>
      <c r="AG7" s="308" t="s">
        <v>49</v>
      </c>
      <c r="AH7" s="299">
        <f t="shared" si="1"/>
        <v>6</v>
      </c>
      <c r="AI7" s="300">
        <f t="shared" si="1"/>
        <v>7</v>
      </c>
      <c r="AJ7" s="301">
        <f t="shared" ref="AJ7" si="3">RANK(J7,J$5:J$13)</f>
        <v>7</v>
      </c>
      <c r="AK7" s="299">
        <f t="shared" ref="AK7" si="4">RANK(K7,K$5:K$13)</f>
        <v>3</v>
      </c>
      <c r="AL7" s="300">
        <f t="shared" ref="AL7" si="5">RANK(L7,L$5:L$13)</f>
        <v>7</v>
      </c>
      <c r="AM7" s="301">
        <f t="shared" ref="AM7" si="6">RANK(M7,M$5:M$13)</f>
        <v>7</v>
      </c>
      <c r="AN7" s="302">
        <f t="shared" ref="AN7" si="7">RANK(N7,N$5:N$13)</f>
        <v>5</v>
      </c>
      <c r="AO7" s="299">
        <f t="shared" ref="AO7" si="8">RANK(O7,O$5:O$13)</f>
        <v>7</v>
      </c>
      <c r="AP7" s="303">
        <f t="shared" ref="AP7" si="9">RANK(P7,P$5:P$13)</f>
        <v>4</v>
      </c>
      <c r="AQ7" s="304">
        <f t="shared" ref="AQ7" si="10">RANK(Q7,Q$5:Q$13)</f>
        <v>4</v>
      </c>
      <c r="AR7" s="303">
        <f t="shared" ref="AR7" si="11">RANK(R7,R$5:R$13)</f>
        <v>7</v>
      </c>
      <c r="AS7" s="304">
        <f t="shared" ref="AS7" si="12">RANK(S7,S$5:S$13)</f>
        <v>4</v>
      </c>
      <c r="AT7" s="303">
        <f t="shared" ref="AT7" si="13">RANK(T7,T$5:T$13)</f>
        <v>7</v>
      </c>
      <c r="AU7" s="304">
        <f t="shared" ref="AU7" si="14">RANK(U7,U$5:U$13)</f>
        <v>7</v>
      </c>
      <c r="AV7" s="303">
        <f t="shared" ref="AV7" si="15">RANK(V7,V$5:V$13)</f>
        <v>8</v>
      </c>
      <c r="AW7" s="304">
        <f t="shared" ref="AW7" si="16">RANK(W7,W$5:W$13)</f>
        <v>3</v>
      </c>
      <c r="AX7" s="303">
        <f t="shared" ref="AX7" si="17">RANK(X7,X$5:X$13)</f>
        <v>6</v>
      </c>
      <c r="AY7" s="304">
        <f t="shared" ref="AY7" si="18">RANK(Y7,Y$5:Y$13)</f>
        <v>4</v>
      </c>
      <c r="AZ7" s="299">
        <f t="shared" ref="AZ7" si="19">RANK(Z7,Z$5:Z$13)</f>
        <v>7</v>
      </c>
      <c r="BA7" s="305">
        <f t="shared" ref="BA7" si="20">RANK(AA7,AA$5:AA$13)</f>
        <v>6</v>
      </c>
      <c r="BB7" s="307"/>
    </row>
    <row r="8" spans="1:54" s="286" customFormat="1" x14ac:dyDescent="0.25">
      <c r="A8" s="288" t="s">
        <v>43</v>
      </c>
      <c r="B8" s="289" t="s">
        <v>36</v>
      </c>
      <c r="C8" s="289" t="s">
        <v>178</v>
      </c>
      <c r="D8" s="290">
        <f>VLOOKUP($A8,'Total Areas'!A:D,4,FALSE)</f>
        <v>44.326556966859116</v>
      </c>
      <c r="E8" s="308" t="s">
        <v>49</v>
      </c>
      <c r="F8" s="255" t="s">
        <v>138</v>
      </c>
      <c r="G8" s="291">
        <f>VLOOKUP($A8,'Additional Tables'!$A:$I,3,FALSE)</f>
        <v>2.6258771237815844E-2</v>
      </c>
      <c r="H8" s="292">
        <f>VLOOKUP($A8,'Additional Tables'!$A:$I,4,FALSE)</f>
        <v>8.3175559812907161E-3</v>
      </c>
      <c r="I8" s="292">
        <f>VLOOKUP($A8,'Additional Tables'!$A:$I,5,FALSE)</f>
        <v>1.0999999999999999E-2</v>
      </c>
      <c r="J8" s="293">
        <f>VLOOKUP($A8,'Additional Tables'!$A:$I,6,FALSE)</f>
        <v>3.8E-3</v>
      </c>
      <c r="K8" s="291">
        <f>VLOOKUP($A8,'Additional Tables'!$A:$I,7,FALSE)</f>
        <v>2.4365440175406577E-2</v>
      </c>
      <c r="L8" s="292">
        <f>VLOOKUP($A8,'Additional Tables'!$A:$I,8,FALSE)</f>
        <v>8.3447397101575477E-3</v>
      </c>
      <c r="M8" s="293">
        <f>VLOOKUP($A8,'Additional Tables'!$A:$I,9,FALSE)</f>
        <v>6.1855439285629678E-3</v>
      </c>
      <c r="N8" s="294">
        <v>1.3144530289876195E-3</v>
      </c>
      <c r="O8" s="291">
        <v>9.2974360395378262E-5</v>
      </c>
      <c r="P8" s="295">
        <v>1.004624490130282E-3</v>
      </c>
      <c r="Q8" s="296">
        <v>2.2980290802519489E-4</v>
      </c>
      <c r="R8" s="295">
        <v>3.2544461662673902E-4</v>
      </c>
      <c r="S8" s="296">
        <v>6.1926124068208401E-5</v>
      </c>
      <c r="T8" s="295">
        <v>1.7526494955152398E-4</v>
      </c>
      <c r="U8" s="296">
        <v>1.5091021297474605E-4</v>
      </c>
      <c r="V8" s="295">
        <v>1.2774121981407715E-3</v>
      </c>
      <c r="W8" s="296">
        <v>0</v>
      </c>
      <c r="X8" s="295">
        <v>2.2600971897664097E-4</v>
      </c>
      <c r="Y8" s="296">
        <v>1.5356544856777126E-4</v>
      </c>
      <c r="Z8" s="291">
        <v>1.9844474662463179E-3</v>
      </c>
      <c r="AA8" s="297">
        <v>1.2862824112943826E-4</v>
      </c>
      <c r="AB8" s="298">
        <v>0</v>
      </c>
      <c r="AD8" s="288" t="s">
        <v>43</v>
      </c>
      <c r="AE8" s="289" t="s">
        <v>36</v>
      </c>
      <c r="AF8" s="299">
        <f t="shared" si="0"/>
        <v>7</v>
      </c>
      <c r="AG8" s="308" t="s">
        <v>49</v>
      </c>
      <c r="AH8" s="299">
        <f t="shared" si="1"/>
        <v>1</v>
      </c>
      <c r="AI8" s="300">
        <f t="shared" si="1"/>
        <v>4</v>
      </c>
      <c r="AJ8" s="301">
        <f t="shared" si="2"/>
        <v>4</v>
      </c>
      <c r="AK8" s="299">
        <f t="shared" si="2"/>
        <v>1</v>
      </c>
      <c r="AL8" s="300">
        <f t="shared" si="2"/>
        <v>4</v>
      </c>
      <c r="AM8" s="301">
        <f t="shared" si="2"/>
        <v>2</v>
      </c>
      <c r="AN8" s="302">
        <f t="shared" si="2"/>
        <v>3</v>
      </c>
      <c r="AO8" s="299">
        <f t="shared" si="2"/>
        <v>5</v>
      </c>
      <c r="AP8" s="303">
        <f t="shared" si="2"/>
        <v>3</v>
      </c>
      <c r="AQ8" s="304">
        <f t="shared" si="2"/>
        <v>6</v>
      </c>
      <c r="AR8" s="303">
        <f t="shared" si="2"/>
        <v>3</v>
      </c>
      <c r="AS8" s="304">
        <f t="shared" si="2"/>
        <v>6</v>
      </c>
      <c r="AT8" s="303">
        <f t="shared" si="2"/>
        <v>2</v>
      </c>
      <c r="AU8" s="304">
        <f t="shared" si="2"/>
        <v>5</v>
      </c>
      <c r="AV8" s="303">
        <f t="shared" si="2"/>
        <v>3</v>
      </c>
      <c r="AW8" s="304">
        <f t="shared" si="2"/>
        <v>3</v>
      </c>
      <c r="AX8" s="303">
        <f t="shared" si="2"/>
        <v>2</v>
      </c>
      <c r="AY8" s="304">
        <f t="shared" si="2"/>
        <v>5</v>
      </c>
      <c r="AZ8" s="299">
        <f t="shared" si="2"/>
        <v>2</v>
      </c>
      <c r="BA8" s="305">
        <f t="shared" si="2"/>
        <v>4</v>
      </c>
      <c r="BB8" s="307"/>
    </row>
    <row r="9" spans="1:54" s="286" customFormat="1" x14ac:dyDescent="0.25">
      <c r="A9" s="288" t="s">
        <v>44</v>
      </c>
      <c r="B9" s="289" t="s">
        <v>36</v>
      </c>
      <c r="C9" s="289" t="s">
        <v>178</v>
      </c>
      <c r="D9" s="290">
        <f>VLOOKUP($A9,'Total Areas'!A:D,4,FALSE)</f>
        <v>42.834713294685194</v>
      </c>
      <c r="E9" s="308" t="s">
        <v>49</v>
      </c>
      <c r="F9" s="255" t="s">
        <v>138</v>
      </c>
      <c r="G9" s="291">
        <f>VLOOKUP($A9,'Additional Tables'!$A:$I,3,FALSE)</f>
        <v>2.3312023258311793E-2</v>
      </c>
      <c r="H9" s="292">
        <f>VLOOKUP($A9,'Additional Tables'!$A:$I,4,FALSE)</f>
        <v>1.0864374480181446E-2</v>
      </c>
      <c r="I9" s="292">
        <f>VLOOKUP($A9,'Additional Tables'!$A:$I,5,FALSE)</f>
        <v>1.1299999999999999E-2</v>
      </c>
      <c r="J9" s="293">
        <f>VLOOKUP($A9,'Additional Tables'!$A:$I,6,FALSE)</f>
        <v>3.8999999999999998E-3</v>
      </c>
      <c r="K9" s="291">
        <f>VLOOKUP($A9,'Additional Tables'!$A:$I,7,FALSE)</f>
        <v>0</v>
      </c>
      <c r="L9" s="292">
        <f>VLOOKUP($A9,'Additional Tables'!$A:$I,8,FALSE)</f>
        <v>1.0875236605591579E-2</v>
      </c>
      <c r="M9" s="293">
        <f>VLOOKUP($A9,'Additional Tables'!$A:$I,9,FALSE)</f>
        <v>6.1950472271423661E-3</v>
      </c>
      <c r="N9" s="294">
        <v>1.3537449769620237E-3</v>
      </c>
      <c r="O9" s="291">
        <v>1.6735030514654361E-3</v>
      </c>
      <c r="P9" s="295">
        <v>1.2252845708280165E-3</v>
      </c>
      <c r="Q9" s="296">
        <v>4.6440086915880826E-3</v>
      </c>
      <c r="R9" s="295">
        <v>3.3648186524543272E-4</v>
      </c>
      <c r="S9" s="296">
        <v>1.5035003979116358E-4</v>
      </c>
      <c r="T9" s="295">
        <v>1.543739115578342E-4</v>
      </c>
      <c r="U9" s="296">
        <v>4.0565892913538954E-4</v>
      </c>
      <c r="V9" s="295">
        <v>1.4552889666392356E-3</v>
      </c>
      <c r="W9" s="296">
        <v>7.4065099952291269E-3</v>
      </c>
      <c r="X9" s="295">
        <v>1.5930859149963249E-4</v>
      </c>
      <c r="Y9" s="296">
        <v>2.3062902198453319E-3</v>
      </c>
      <c r="Z9" s="291">
        <v>1.6101247045954364E-3</v>
      </c>
      <c r="AA9" s="297">
        <v>5.2980185467909214E-3</v>
      </c>
      <c r="AB9" s="298">
        <v>0</v>
      </c>
      <c r="AD9" s="288" t="s">
        <v>44</v>
      </c>
      <c r="AE9" s="289" t="s">
        <v>36</v>
      </c>
      <c r="AF9" s="299">
        <f t="shared" si="0"/>
        <v>6</v>
      </c>
      <c r="AG9" s="308" t="s">
        <v>49</v>
      </c>
      <c r="AH9" s="299">
        <f t="shared" si="1"/>
        <v>2</v>
      </c>
      <c r="AI9" s="300">
        <f t="shared" si="1"/>
        <v>2</v>
      </c>
      <c r="AJ9" s="301">
        <f t="shared" si="2"/>
        <v>3</v>
      </c>
      <c r="AK9" s="299">
        <f t="shared" si="2"/>
        <v>3</v>
      </c>
      <c r="AL9" s="300">
        <f t="shared" si="2"/>
        <v>2</v>
      </c>
      <c r="AM9" s="301">
        <f t="shared" si="2"/>
        <v>1</v>
      </c>
      <c r="AN9" s="302">
        <f t="shared" si="2"/>
        <v>2</v>
      </c>
      <c r="AO9" s="299">
        <f t="shared" si="2"/>
        <v>3</v>
      </c>
      <c r="AP9" s="303">
        <f t="shared" si="2"/>
        <v>2</v>
      </c>
      <c r="AQ9" s="304">
        <f t="shared" si="2"/>
        <v>1</v>
      </c>
      <c r="AR9" s="303">
        <f t="shared" si="2"/>
        <v>2</v>
      </c>
      <c r="AS9" s="304">
        <f t="shared" si="2"/>
        <v>3</v>
      </c>
      <c r="AT9" s="303">
        <f t="shared" si="2"/>
        <v>3</v>
      </c>
      <c r="AU9" s="304">
        <f t="shared" si="2"/>
        <v>2</v>
      </c>
      <c r="AV9" s="303">
        <f t="shared" si="2"/>
        <v>2</v>
      </c>
      <c r="AW9" s="304">
        <f t="shared" si="2"/>
        <v>1</v>
      </c>
      <c r="AX9" s="303">
        <f t="shared" si="2"/>
        <v>3</v>
      </c>
      <c r="AY9" s="304">
        <f t="shared" si="2"/>
        <v>2</v>
      </c>
      <c r="AZ9" s="299">
        <f t="shared" si="2"/>
        <v>3</v>
      </c>
      <c r="BA9" s="305">
        <f t="shared" si="2"/>
        <v>3</v>
      </c>
      <c r="BB9" s="307"/>
    </row>
    <row r="10" spans="1:54" s="286" customFormat="1" x14ac:dyDescent="0.25">
      <c r="A10" s="288" t="s">
        <v>54</v>
      </c>
      <c r="B10" s="289" t="s">
        <v>36</v>
      </c>
      <c r="C10" s="289" t="s">
        <v>178</v>
      </c>
      <c r="D10" s="290">
        <f>VLOOKUP($A10,'Total Areas'!A:D,4,FALSE)</f>
        <v>26.419693492351392</v>
      </c>
      <c r="E10" s="255" t="s">
        <v>49</v>
      </c>
      <c r="F10" s="255" t="s">
        <v>138</v>
      </c>
      <c r="G10" s="291">
        <f>VLOOKUP($A10,'Additional Tables'!$A:$I,3,FALSE)</f>
        <v>7.2466003431181239E-3</v>
      </c>
      <c r="H10" s="292">
        <f>VLOOKUP($A10,'Additional Tables'!$A:$I,4,FALSE)</f>
        <v>1.9935012711436544E-3</v>
      </c>
      <c r="I10" s="292">
        <f>VLOOKUP($A10,'Additional Tables'!$A:$I,5,FALSE)</f>
        <v>5.7000000000000002E-3</v>
      </c>
      <c r="J10" s="293">
        <f>VLOOKUP($A10,'Additional Tables'!$A:$I,6,FALSE)</f>
        <v>1.6999999999999999E-3</v>
      </c>
      <c r="K10" s="291">
        <f>VLOOKUP($A10,'Additional Tables'!$A:$I,7,FALSE)</f>
        <v>1.7614734244438508E-2</v>
      </c>
      <c r="L10" s="292">
        <f>VLOOKUP($A10,'Additional Tables'!$A:$I,8,FALSE)</f>
        <v>2.0115981318000044E-3</v>
      </c>
      <c r="M10" s="293">
        <f>VLOOKUP($A10,'Additional Tables'!$A:$I,9,FALSE)</f>
        <v>3.3577460801656731E-3</v>
      </c>
      <c r="N10" s="294">
        <v>1.5524950620960344E-4</v>
      </c>
      <c r="O10" s="291">
        <v>6.8398544197278898E-3</v>
      </c>
      <c r="P10" s="295">
        <v>1.4992066381251982E-4</v>
      </c>
      <c r="Q10" s="296">
        <v>3.4589908257031776E-3</v>
      </c>
      <c r="R10" s="295">
        <v>4.0563712615533319E-5</v>
      </c>
      <c r="S10" s="296">
        <v>6.406746880287763E-5</v>
      </c>
      <c r="T10" s="295">
        <v>5.3025355198248115E-5</v>
      </c>
      <c r="U10" s="296">
        <v>2.0055346948730923E-4</v>
      </c>
      <c r="V10" s="295">
        <v>2.4566757992811798E-4</v>
      </c>
      <c r="W10" s="296">
        <v>1.4605998829289009E-3</v>
      </c>
      <c r="X10" s="295">
        <v>1.6670114616414756E-5</v>
      </c>
      <c r="Y10" s="296">
        <v>1.4327195512429606E-3</v>
      </c>
      <c r="Z10" s="291">
        <v>1.4557742013660279E-4</v>
      </c>
      <c r="AA10" s="297">
        <v>8.5309496793610461E-3</v>
      </c>
      <c r="AB10" s="298">
        <v>0</v>
      </c>
      <c r="AD10" s="288" t="s">
        <v>54</v>
      </c>
      <c r="AE10" s="289" t="s">
        <v>36</v>
      </c>
      <c r="AF10" s="299">
        <f t="shared" si="0"/>
        <v>5</v>
      </c>
      <c r="AG10" s="255" t="s">
        <v>49</v>
      </c>
      <c r="AH10" s="299">
        <f t="shared" si="1"/>
        <v>5</v>
      </c>
      <c r="AI10" s="300">
        <f t="shared" si="1"/>
        <v>6</v>
      </c>
      <c r="AJ10" s="301">
        <f t="shared" si="2"/>
        <v>6</v>
      </c>
      <c r="AK10" s="299">
        <f t="shared" si="2"/>
        <v>2</v>
      </c>
      <c r="AL10" s="300">
        <f t="shared" si="2"/>
        <v>6</v>
      </c>
      <c r="AM10" s="301">
        <f t="shared" si="2"/>
        <v>5</v>
      </c>
      <c r="AN10" s="302">
        <f t="shared" si="2"/>
        <v>6</v>
      </c>
      <c r="AO10" s="299">
        <f t="shared" si="2"/>
        <v>1</v>
      </c>
      <c r="AP10" s="303">
        <f t="shared" si="2"/>
        <v>5</v>
      </c>
      <c r="AQ10" s="304">
        <f t="shared" si="2"/>
        <v>3</v>
      </c>
      <c r="AR10" s="303">
        <f t="shared" si="2"/>
        <v>5</v>
      </c>
      <c r="AS10" s="304">
        <f t="shared" si="2"/>
        <v>5</v>
      </c>
      <c r="AT10" s="303">
        <f t="shared" si="2"/>
        <v>4</v>
      </c>
      <c r="AU10" s="304">
        <f t="shared" si="2"/>
        <v>4</v>
      </c>
      <c r="AV10" s="303">
        <f t="shared" si="2"/>
        <v>4</v>
      </c>
      <c r="AW10" s="304">
        <f t="shared" si="2"/>
        <v>2</v>
      </c>
      <c r="AX10" s="303">
        <f t="shared" si="2"/>
        <v>7</v>
      </c>
      <c r="AY10" s="304">
        <f t="shared" si="2"/>
        <v>3</v>
      </c>
      <c r="AZ10" s="299">
        <f t="shared" si="2"/>
        <v>6</v>
      </c>
      <c r="BA10" s="305">
        <f t="shared" si="2"/>
        <v>1</v>
      </c>
      <c r="BB10" s="307"/>
    </row>
    <row r="11" spans="1:54" s="286" customFormat="1" x14ac:dyDescent="0.25">
      <c r="A11" s="288" t="s">
        <v>47</v>
      </c>
      <c r="B11" s="289" t="s">
        <v>36</v>
      </c>
      <c r="C11" s="289" t="s">
        <v>178</v>
      </c>
      <c r="D11" s="290">
        <f>VLOOKUP($A11,'Total Areas'!A:D,4,FALSE)</f>
        <v>72.39463672800774</v>
      </c>
      <c r="E11" s="308" t="s">
        <v>49</v>
      </c>
      <c r="F11" s="255" t="s">
        <v>138</v>
      </c>
      <c r="G11" s="291">
        <f>VLOOKUP($A11,'Additional Tables'!$A:$I,3,FALSE)</f>
        <v>1.8000161867181334E-2</v>
      </c>
      <c r="H11" s="292">
        <f>VLOOKUP($A11,'Additional Tables'!$A:$I,4,FALSE)</f>
        <v>1.0713643031712045E-2</v>
      </c>
      <c r="I11" s="292">
        <f>VLOOKUP($A11,'Additional Tables'!$A:$I,5,FALSE)</f>
        <v>1.4E-2</v>
      </c>
      <c r="J11" s="293">
        <f>VLOOKUP($A11,'Additional Tables'!$A:$I,6,FALSE)</f>
        <v>1.4E-2</v>
      </c>
      <c r="K11" s="291">
        <f>VLOOKUP($A11,'Additional Tables'!$A:$I,7,FALSE)</f>
        <v>0</v>
      </c>
      <c r="L11" s="292">
        <f>VLOOKUP($A11,'Additional Tables'!$A:$I,8,FALSE)</f>
        <v>1.0246417234873509E-2</v>
      </c>
      <c r="M11" s="293">
        <f>VLOOKUP($A11,'Additional Tables'!$A:$I,9,FALSE)</f>
        <v>2.6180577762546335E-3</v>
      </c>
      <c r="N11" s="294">
        <v>3.5323352944959343E-4</v>
      </c>
      <c r="O11" s="291">
        <v>6.0003428461820572E-3</v>
      </c>
      <c r="P11" s="295">
        <v>8.9638076359388496E-5</v>
      </c>
      <c r="Q11" s="296">
        <v>4.2114933726788897E-3</v>
      </c>
      <c r="R11" s="295">
        <v>1.1141242827834658E-4</v>
      </c>
      <c r="S11" s="296">
        <v>1.9834449888090897E-3</v>
      </c>
      <c r="T11" s="295">
        <v>3.4766004441866389E-5</v>
      </c>
      <c r="U11" s="296">
        <v>1.1947108725105986E-3</v>
      </c>
      <c r="V11" s="295">
        <v>9.2332711798483771E-5</v>
      </c>
      <c r="W11" s="296">
        <v>0</v>
      </c>
      <c r="X11" s="295">
        <v>5.7822425569002594E-5</v>
      </c>
      <c r="Y11" s="296">
        <v>2.7847245607540319E-3</v>
      </c>
      <c r="Z11" s="291">
        <v>4.945383972110492E-4</v>
      </c>
      <c r="AA11" s="297">
        <v>7.0500029372698178E-3</v>
      </c>
      <c r="AB11" s="298">
        <v>1</v>
      </c>
      <c r="AD11" s="288" t="s">
        <v>47</v>
      </c>
      <c r="AE11" s="289" t="s">
        <v>36</v>
      </c>
      <c r="AF11" s="299">
        <f t="shared" si="0"/>
        <v>8</v>
      </c>
      <c r="AG11" s="308" t="s">
        <v>49</v>
      </c>
      <c r="AH11" s="299">
        <f t="shared" si="1"/>
        <v>3</v>
      </c>
      <c r="AI11" s="300">
        <f t="shared" si="1"/>
        <v>3</v>
      </c>
      <c r="AJ11" s="301">
        <f t="shared" si="2"/>
        <v>2</v>
      </c>
      <c r="AK11" s="299">
        <f t="shared" si="2"/>
        <v>3</v>
      </c>
      <c r="AL11" s="300">
        <f t="shared" si="2"/>
        <v>3</v>
      </c>
      <c r="AM11" s="301">
        <f t="shared" si="2"/>
        <v>6</v>
      </c>
      <c r="AN11" s="302">
        <f t="shared" si="2"/>
        <v>4</v>
      </c>
      <c r="AO11" s="299">
        <f t="shared" si="2"/>
        <v>2</v>
      </c>
      <c r="AP11" s="303">
        <f t="shared" si="2"/>
        <v>8</v>
      </c>
      <c r="AQ11" s="304">
        <f t="shared" si="2"/>
        <v>2</v>
      </c>
      <c r="AR11" s="303">
        <f t="shared" si="2"/>
        <v>4</v>
      </c>
      <c r="AS11" s="304">
        <f t="shared" si="2"/>
        <v>1</v>
      </c>
      <c r="AT11" s="303">
        <f t="shared" si="2"/>
        <v>5</v>
      </c>
      <c r="AU11" s="304">
        <f t="shared" si="2"/>
        <v>1</v>
      </c>
      <c r="AV11" s="303">
        <f t="shared" si="2"/>
        <v>5</v>
      </c>
      <c r="AW11" s="304">
        <f t="shared" si="2"/>
        <v>3</v>
      </c>
      <c r="AX11" s="303">
        <f t="shared" si="2"/>
        <v>4</v>
      </c>
      <c r="AY11" s="304">
        <f t="shared" si="2"/>
        <v>1</v>
      </c>
      <c r="AZ11" s="299">
        <f t="shared" si="2"/>
        <v>4</v>
      </c>
      <c r="BA11" s="305">
        <f t="shared" si="2"/>
        <v>2</v>
      </c>
      <c r="BB11" s="307"/>
    </row>
    <row r="12" spans="1:54" s="286" customFormat="1" x14ac:dyDescent="0.25">
      <c r="A12" s="288" t="s">
        <v>82</v>
      </c>
      <c r="B12" s="289" t="s">
        <v>36</v>
      </c>
      <c r="C12" s="289" t="s">
        <v>179</v>
      </c>
      <c r="D12" s="290">
        <f>VLOOKUP($A12,'Total Areas'!A:D,4,FALSE)</f>
        <v>17.751540612442341</v>
      </c>
      <c r="E12" s="255" t="s">
        <v>49</v>
      </c>
      <c r="F12" s="255" t="s">
        <v>165</v>
      </c>
      <c r="G12" s="291"/>
      <c r="H12" s="292"/>
      <c r="I12" s="292"/>
      <c r="J12" s="293"/>
      <c r="K12" s="291"/>
      <c r="L12" s="292"/>
      <c r="M12" s="293"/>
      <c r="N12" s="294"/>
      <c r="O12" s="291"/>
      <c r="P12" s="295"/>
      <c r="Q12" s="296"/>
      <c r="R12" s="295"/>
      <c r="S12" s="296"/>
      <c r="T12" s="295"/>
      <c r="U12" s="296"/>
      <c r="V12" s="295"/>
      <c r="W12" s="296"/>
      <c r="X12" s="295"/>
      <c r="Y12" s="296"/>
      <c r="Z12" s="291"/>
      <c r="AA12" s="297"/>
      <c r="AB12" s="298">
        <v>1</v>
      </c>
      <c r="AD12" s="288" t="s">
        <v>82</v>
      </c>
      <c r="AE12" s="289" t="s">
        <v>36</v>
      </c>
      <c r="AF12" s="299">
        <f t="shared" si="0"/>
        <v>3</v>
      </c>
      <c r="AG12" s="308" t="s">
        <v>49</v>
      </c>
      <c r="AH12" s="299"/>
      <c r="AI12" s="300"/>
      <c r="AJ12" s="301"/>
      <c r="AK12" s="299"/>
      <c r="AL12" s="300"/>
      <c r="AM12" s="301"/>
      <c r="AN12" s="302"/>
      <c r="AO12" s="299"/>
      <c r="AP12" s="303"/>
      <c r="AQ12" s="304"/>
      <c r="AR12" s="303"/>
      <c r="AS12" s="304"/>
      <c r="AT12" s="303"/>
      <c r="AU12" s="304"/>
      <c r="AV12" s="303"/>
      <c r="AW12" s="304"/>
      <c r="AX12" s="303"/>
      <c r="AY12" s="304"/>
      <c r="AZ12" s="299"/>
      <c r="BA12" s="305"/>
      <c r="BB12" s="307"/>
    </row>
    <row r="13" spans="1:54" s="286" customFormat="1" ht="15.75" thickBot="1" x14ac:dyDescent="0.3">
      <c r="A13" s="288" t="s">
        <v>48</v>
      </c>
      <c r="B13" s="289" t="s">
        <v>36</v>
      </c>
      <c r="C13" s="289" t="s">
        <v>179</v>
      </c>
      <c r="D13" s="290">
        <f>VLOOKUP($A13,'Total Areas'!A:D,4,FALSE)</f>
        <v>88.747147779287715</v>
      </c>
      <c r="E13" s="255" t="s">
        <v>49</v>
      </c>
      <c r="F13" s="255" t="s">
        <v>138</v>
      </c>
      <c r="G13" s="291">
        <f>VLOOKUP($A13,'Additional Tables'!$A:$I,3,FALSE)</f>
        <v>7.4216109788590098E-3</v>
      </c>
      <c r="H13" s="292">
        <f>VLOOKUP($A13,'Additional Tables'!$A:$I,4,FALSE)</f>
        <v>1.6917032615144462E-2</v>
      </c>
      <c r="I13" s="292">
        <f>VLOOKUP($A13,'Additional Tables'!$A:$I,5,FALSE)</f>
        <v>1.5299999999999999E-2</v>
      </c>
      <c r="J13" s="293">
        <f>VLOOKUP($A13,'Additional Tables'!$A:$I,6,FALSE)</f>
        <v>1.6799999999999999E-2</v>
      </c>
      <c r="K13" s="291">
        <f>VLOOKUP($A13,'Additional Tables'!$A:$I,7,FALSE)</f>
        <v>0</v>
      </c>
      <c r="L13" s="292">
        <f>VLOOKUP($A13,'Additional Tables'!$A:$I,8,FALSE)</f>
        <v>1.726664434701549E-2</v>
      </c>
      <c r="M13" s="293">
        <f>VLOOKUP($A13,'Additional Tables'!$A:$I,9,FALSE)</f>
        <v>3.4189332957627098E-3</v>
      </c>
      <c r="N13" s="294">
        <v>4.4279639579741245E-3</v>
      </c>
      <c r="O13" s="291">
        <v>2.8782714398642841E-4</v>
      </c>
      <c r="P13" s="295">
        <v>2.7954784980329175E-3</v>
      </c>
      <c r="Q13" s="296">
        <v>2.8118281770888345E-4</v>
      </c>
      <c r="R13" s="295">
        <v>7.0271363160634972E-3</v>
      </c>
      <c r="S13" s="296">
        <v>1.8269016771778801E-4</v>
      </c>
      <c r="T13" s="295">
        <v>8.713238226915243E-4</v>
      </c>
      <c r="U13" s="296">
        <v>2.2082022068914268E-4</v>
      </c>
      <c r="V13" s="295">
        <v>2.2847939643964072E-3</v>
      </c>
      <c r="W13" s="296">
        <v>0</v>
      </c>
      <c r="X13" s="295">
        <v>1.9327011404680536E-3</v>
      </c>
      <c r="Y13" s="296">
        <v>0</v>
      </c>
      <c r="Z13" s="291">
        <v>1.1628937240355375E-2</v>
      </c>
      <c r="AA13" s="297">
        <v>0</v>
      </c>
      <c r="AB13" s="309">
        <v>1</v>
      </c>
      <c r="AD13" s="288" t="s">
        <v>48</v>
      </c>
      <c r="AE13" s="289" t="s">
        <v>36</v>
      </c>
      <c r="AF13" s="299">
        <f t="shared" si="0"/>
        <v>9</v>
      </c>
      <c r="AG13" s="255" t="s">
        <v>49</v>
      </c>
      <c r="AH13" s="299">
        <f>RANK(G13,G$5:G$13)</f>
        <v>4</v>
      </c>
      <c r="AI13" s="300">
        <f>RANK(H13,H$5:H$13)</f>
        <v>1</v>
      </c>
      <c r="AJ13" s="301">
        <f t="shared" si="2"/>
        <v>1</v>
      </c>
      <c r="AK13" s="299">
        <f t="shared" si="2"/>
        <v>3</v>
      </c>
      <c r="AL13" s="300">
        <f t="shared" si="2"/>
        <v>1</v>
      </c>
      <c r="AM13" s="301">
        <f t="shared" si="2"/>
        <v>4</v>
      </c>
      <c r="AN13" s="302">
        <f t="shared" si="2"/>
        <v>1</v>
      </c>
      <c r="AO13" s="299">
        <f t="shared" si="2"/>
        <v>4</v>
      </c>
      <c r="AP13" s="303">
        <f t="shared" si="2"/>
        <v>1</v>
      </c>
      <c r="AQ13" s="304">
        <f t="shared" si="2"/>
        <v>5</v>
      </c>
      <c r="AR13" s="303">
        <f t="shared" si="2"/>
        <v>1</v>
      </c>
      <c r="AS13" s="304">
        <f t="shared" si="2"/>
        <v>2</v>
      </c>
      <c r="AT13" s="303">
        <f t="shared" si="2"/>
        <v>1</v>
      </c>
      <c r="AU13" s="304">
        <f t="shared" si="2"/>
        <v>3</v>
      </c>
      <c r="AV13" s="303">
        <f t="shared" si="2"/>
        <v>1</v>
      </c>
      <c r="AW13" s="304">
        <f t="shared" si="2"/>
        <v>3</v>
      </c>
      <c r="AX13" s="303">
        <f t="shared" si="2"/>
        <v>1</v>
      </c>
      <c r="AY13" s="304">
        <f t="shared" si="2"/>
        <v>7</v>
      </c>
      <c r="AZ13" s="299">
        <f t="shared" si="2"/>
        <v>1</v>
      </c>
      <c r="BA13" s="305">
        <f t="shared" si="2"/>
        <v>6</v>
      </c>
      <c r="BB13" s="310"/>
    </row>
    <row r="14" spans="1:54" s="286" customFormat="1" x14ac:dyDescent="0.25">
      <c r="A14" s="311"/>
      <c r="B14" s="312"/>
      <c r="C14" s="312"/>
      <c r="D14" s="313">
        <f>SUMIF(AB5:AB13,"&gt;=1",D5:D13)</f>
        <v>203.32808639067696</v>
      </c>
      <c r="E14" s="314"/>
      <c r="F14" s="314"/>
      <c r="G14" s="315">
        <f t="shared" ref="G14:AA14" si="21">SUMIF($AB$5:$AB$13,"&gt;=1",G5:G13)</f>
        <v>2.5421772846040344E-2</v>
      </c>
      <c r="H14" s="316">
        <f t="shared" si="21"/>
        <v>3.6389228426227771E-2</v>
      </c>
      <c r="I14" s="316">
        <f t="shared" si="21"/>
        <v>4.0600000000000004E-2</v>
      </c>
      <c r="J14" s="317">
        <f t="shared" si="21"/>
        <v>3.49E-2</v>
      </c>
      <c r="K14" s="315">
        <f t="shared" si="21"/>
        <v>0</v>
      </c>
      <c r="L14" s="316">
        <f t="shared" si="21"/>
        <v>3.645262085782152E-2</v>
      </c>
      <c r="M14" s="317">
        <f t="shared" si="21"/>
        <v>1.1198264828266179E-2</v>
      </c>
      <c r="N14" s="318">
        <f t="shared" si="21"/>
        <v>5.0823342500009687E-3</v>
      </c>
      <c r="O14" s="315">
        <f t="shared" si="21"/>
        <v>6.288169990168486E-3</v>
      </c>
      <c r="P14" s="319">
        <f t="shared" si="21"/>
        <v>3.2005077533907565E-3</v>
      </c>
      <c r="Q14" s="320">
        <f t="shared" si="21"/>
        <v>5.1116761903877731E-3</v>
      </c>
      <c r="R14" s="319">
        <f t="shared" si="21"/>
        <v>7.1869105005671844E-3</v>
      </c>
      <c r="S14" s="320">
        <f t="shared" si="21"/>
        <v>2.278135156526878E-3</v>
      </c>
      <c r="T14" s="319">
        <f t="shared" si="21"/>
        <v>9.2371113632016319E-4</v>
      </c>
      <c r="U14" s="320">
        <f t="shared" si="21"/>
        <v>1.4155310931997411E-3</v>
      </c>
      <c r="V14" s="319">
        <f t="shared" si="21"/>
        <v>2.4479005269766084E-3</v>
      </c>
      <c r="W14" s="320">
        <f t="shared" si="21"/>
        <v>0</v>
      </c>
      <c r="X14" s="319">
        <f t="shared" si="21"/>
        <v>2.0479684755826768E-3</v>
      </c>
      <c r="Y14" s="320">
        <f t="shared" si="21"/>
        <v>3.2157245607540319E-3</v>
      </c>
      <c r="Z14" s="315">
        <f t="shared" si="21"/>
        <v>1.2320019479921718E-2</v>
      </c>
      <c r="AA14" s="321">
        <f t="shared" si="21"/>
        <v>7.0500029372698178E-3</v>
      </c>
      <c r="AB14" s="314">
        <f>COUNTIF(AB5:AB13,"&gt;0")</f>
        <v>5</v>
      </c>
      <c r="AD14" s="311"/>
      <c r="AE14" s="312"/>
      <c r="AF14" s="313"/>
      <c r="AG14" s="314"/>
      <c r="AH14" s="315"/>
      <c r="AI14" s="316"/>
      <c r="AJ14" s="317"/>
      <c r="AK14" s="315"/>
      <c r="AL14" s="316"/>
      <c r="AM14" s="317"/>
      <c r="AN14" s="318"/>
      <c r="AO14" s="315"/>
      <c r="AP14" s="319"/>
      <c r="AQ14" s="320"/>
      <c r="AR14" s="319"/>
      <c r="AS14" s="320"/>
      <c r="AT14" s="319"/>
      <c r="AU14" s="320"/>
      <c r="AV14" s="319"/>
      <c r="AW14" s="320"/>
      <c r="AX14" s="319"/>
      <c r="AY14" s="320"/>
      <c r="AZ14" s="315"/>
      <c r="BA14" s="321"/>
      <c r="BB14" s="322"/>
    </row>
    <row r="15" spans="1:54" s="286" customFormat="1" ht="15.75" thickBot="1" x14ac:dyDescent="0.3">
      <c r="A15" s="288"/>
      <c r="B15" s="289"/>
      <c r="C15" s="289"/>
      <c r="D15" s="290"/>
      <c r="E15" s="255"/>
      <c r="F15" s="255"/>
      <c r="G15" s="291"/>
      <c r="H15" s="292"/>
      <c r="I15" s="292"/>
      <c r="J15" s="293"/>
      <c r="K15" s="291"/>
      <c r="L15" s="292"/>
      <c r="M15" s="293"/>
      <c r="N15" s="294"/>
      <c r="O15" s="291"/>
      <c r="P15" s="295"/>
      <c r="Q15" s="296"/>
      <c r="R15" s="295"/>
      <c r="S15" s="296"/>
      <c r="T15" s="295"/>
      <c r="U15" s="296"/>
      <c r="V15" s="295"/>
      <c r="W15" s="296"/>
      <c r="X15" s="295"/>
      <c r="Y15" s="296"/>
      <c r="Z15" s="291"/>
      <c r="AA15" s="297"/>
      <c r="AB15" s="254"/>
      <c r="AD15" s="288"/>
      <c r="AE15" s="289"/>
      <c r="AF15" s="290"/>
      <c r="AG15" s="255"/>
      <c r="AH15" s="291"/>
      <c r="AI15" s="292"/>
      <c r="AJ15" s="293"/>
      <c r="AK15" s="291"/>
      <c r="AL15" s="292"/>
      <c r="AM15" s="293"/>
      <c r="AN15" s="294"/>
      <c r="AO15" s="291"/>
      <c r="AP15" s="295"/>
      <c r="AQ15" s="296"/>
      <c r="AR15" s="295"/>
      <c r="AS15" s="296"/>
      <c r="AT15" s="295"/>
      <c r="AU15" s="296"/>
      <c r="AV15" s="295"/>
      <c r="AW15" s="296"/>
      <c r="AX15" s="295"/>
      <c r="AY15" s="296"/>
      <c r="AZ15" s="291"/>
      <c r="BA15" s="297"/>
    </row>
    <row r="16" spans="1:54" s="286" customFormat="1" ht="15.75" thickBot="1" x14ac:dyDescent="0.3">
      <c r="A16" s="91" t="s">
        <v>74</v>
      </c>
      <c r="B16" s="92"/>
      <c r="C16" s="92"/>
      <c r="D16" s="93"/>
      <c r="E16" s="94"/>
      <c r="F16" s="94"/>
      <c r="G16" s="92"/>
      <c r="H16" s="93"/>
      <c r="I16" s="93"/>
      <c r="J16" s="95"/>
      <c r="K16" s="92"/>
      <c r="L16" s="93"/>
      <c r="M16" s="95"/>
      <c r="N16" s="91"/>
      <c r="O16" s="92"/>
      <c r="P16" s="96"/>
      <c r="Q16" s="97"/>
      <c r="R16" s="96"/>
      <c r="S16" s="97"/>
      <c r="T16" s="96"/>
      <c r="U16" s="97"/>
      <c r="V16" s="96"/>
      <c r="W16" s="97"/>
      <c r="X16" s="96"/>
      <c r="Y16" s="97"/>
      <c r="Z16" s="92"/>
      <c r="AA16" s="94"/>
      <c r="AB16" s="323" t="s">
        <v>89</v>
      </c>
      <c r="AD16" s="91" t="s">
        <v>74</v>
      </c>
      <c r="AE16" s="92"/>
      <c r="AF16" s="93"/>
      <c r="AG16" s="94"/>
      <c r="AH16" s="92"/>
      <c r="AI16" s="93"/>
      <c r="AJ16" s="95"/>
      <c r="AK16" s="92"/>
      <c r="AL16" s="93"/>
      <c r="AM16" s="95"/>
      <c r="AN16" s="91"/>
      <c r="AO16" s="92"/>
      <c r="AP16" s="96"/>
      <c r="AQ16" s="97"/>
      <c r="AR16" s="96"/>
      <c r="AS16" s="97"/>
      <c r="AT16" s="96"/>
      <c r="AU16" s="97"/>
      <c r="AV16" s="96"/>
      <c r="AW16" s="97"/>
      <c r="AX16" s="96"/>
      <c r="AY16" s="97"/>
      <c r="AZ16" s="92"/>
      <c r="BA16" s="94"/>
      <c r="BB16" s="287" t="s">
        <v>70</v>
      </c>
    </row>
    <row r="17" spans="1:54" s="286" customFormat="1" x14ac:dyDescent="0.25">
      <c r="A17" s="253" t="s">
        <v>23</v>
      </c>
      <c r="B17" s="324" t="s">
        <v>24</v>
      </c>
      <c r="C17" s="324" t="s">
        <v>24</v>
      </c>
      <c r="D17" s="290">
        <f>VLOOKUP($A17,'Total Areas'!A:D,4,FALSE)</f>
        <v>25.486774331916184</v>
      </c>
      <c r="E17" s="308" t="s">
        <v>46</v>
      </c>
      <c r="F17" s="255" t="s">
        <v>136</v>
      </c>
      <c r="G17" s="325">
        <f>VLOOKUP($A17,'Additional Tables'!$A:$I,3,FALSE)</f>
        <v>0</v>
      </c>
      <c r="H17" s="326">
        <f>VLOOKUP($A17,'Additional Tables'!$A:$I,4,FALSE)</f>
        <v>9.2328296866663344E-4</v>
      </c>
      <c r="I17" s="326">
        <f>VLOOKUP($A17,'Additional Tables'!$A:$I,5,FALSE)</f>
        <v>2.8E-3</v>
      </c>
      <c r="J17" s="327">
        <f>VLOOKUP($A17,'Additional Tables'!$A:$I,6,FALSE)</f>
        <v>6.3E-3</v>
      </c>
      <c r="K17" s="325">
        <f>VLOOKUP($A17,'Additional Tables'!$A:$I,7,FALSE)</f>
        <v>0</v>
      </c>
      <c r="L17" s="326">
        <f>VLOOKUP($A17,'Additional Tables'!$A:$I,8,FALSE)</f>
        <v>9.4236377113512319E-4</v>
      </c>
      <c r="M17" s="327">
        <f>VLOOKUP($A17,'Additional Tables'!$A:$I,9,FALSE)</f>
        <v>3.1344071759555059E-3</v>
      </c>
      <c r="N17" s="328" t="s">
        <v>26</v>
      </c>
      <c r="O17" s="324" t="s">
        <v>26</v>
      </c>
      <c r="P17" s="329" t="s">
        <v>26</v>
      </c>
      <c r="Q17" s="330" t="s">
        <v>26</v>
      </c>
      <c r="R17" s="329" t="s">
        <v>26</v>
      </c>
      <c r="S17" s="330" t="s">
        <v>26</v>
      </c>
      <c r="T17" s="329" t="s">
        <v>26</v>
      </c>
      <c r="U17" s="330" t="s">
        <v>26</v>
      </c>
      <c r="V17" s="329" t="s">
        <v>26</v>
      </c>
      <c r="W17" s="330" t="s">
        <v>26</v>
      </c>
      <c r="X17" s="329" t="s">
        <v>26</v>
      </c>
      <c r="Y17" s="330" t="s">
        <v>26</v>
      </c>
      <c r="Z17" s="324" t="s">
        <v>26</v>
      </c>
      <c r="AA17" s="308" t="s">
        <v>26</v>
      </c>
      <c r="AB17" s="331">
        <v>0</v>
      </c>
      <c r="AD17" s="328" t="s">
        <v>23</v>
      </c>
      <c r="AE17" s="324" t="s">
        <v>24</v>
      </c>
      <c r="AF17" s="299">
        <f t="shared" ref="AF17:AF26" si="22">RANK(D17,D$17:D$26,1)</f>
        <v>3</v>
      </c>
      <c r="AG17" s="308" t="s">
        <v>46</v>
      </c>
      <c r="AH17" s="332">
        <f t="shared" ref="AH17:AH26" si="23">RANK(G17,G$17:G$26)</f>
        <v>10</v>
      </c>
      <c r="AI17" s="333">
        <f t="shared" ref="AI17:AI26" si="24">RANK(H17,H$17:H$26)</f>
        <v>10</v>
      </c>
      <c r="AJ17" s="334">
        <f t="shared" ref="AJ17:BA26" si="25">RANK(J17,J$17:J$26)</f>
        <v>9</v>
      </c>
      <c r="AK17" s="332">
        <f t="shared" si="25"/>
        <v>8</v>
      </c>
      <c r="AL17" s="333">
        <f t="shared" si="25"/>
        <v>10</v>
      </c>
      <c r="AM17" s="334">
        <f t="shared" si="25"/>
        <v>6</v>
      </c>
      <c r="AN17" s="302"/>
      <c r="AO17" s="299"/>
      <c r="AP17" s="303"/>
      <c r="AQ17" s="304"/>
      <c r="AR17" s="303"/>
      <c r="AS17" s="304"/>
      <c r="AT17" s="303"/>
      <c r="AU17" s="304"/>
      <c r="AV17" s="303"/>
      <c r="AW17" s="304"/>
      <c r="AX17" s="303"/>
      <c r="AY17" s="304"/>
      <c r="AZ17" s="299"/>
      <c r="BA17" s="305"/>
      <c r="BB17" s="306"/>
    </row>
    <row r="18" spans="1:54" s="286" customFormat="1" x14ac:dyDescent="0.25">
      <c r="A18" s="288" t="s">
        <v>35</v>
      </c>
      <c r="B18" s="289" t="s">
        <v>36</v>
      </c>
      <c r="C18" s="289" t="s">
        <v>178</v>
      </c>
      <c r="D18" s="290">
        <f>VLOOKUP($A18,'Total Areas'!A:D,4,FALSE)</f>
        <v>13.417064810277948</v>
      </c>
      <c r="E18" s="308" t="s">
        <v>46</v>
      </c>
      <c r="F18" s="255" t="s">
        <v>138</v>
      </c>
      <c r="G18" s="291">
        <f>VLOOKUP($A18,'Additional Tables'!$A:$I,3,FALSE)</f>
        <v>3.5841841015437137E-2</v>
      </c>
      <c r="H18" s="292">
        <f>VLOOKUP($A18,'Additional Tables'!$A:$I,4,FALSE)</f>
        <v>5.5361620067146729E-3</v>
      </c>
      <c r="I18" s="292">
        <f>VLOOKUP($A18,'Additional Tables'!$A:$I,5,FALSE)</f>
        <v>2.8999999999999998E-3</v>
      </c>
      <c r="J18" s="293">
        <f>VLOOKUP($A18,'Additional Tables'!$A:$I,6,FALSE)</f>
        <v>6.7999999999999996E-3</v>
      </c>
      <c r="K18" s="291">
        <f>VLOOKUP($A18,'Additional Tables'!$A:$I,7,FALSE)</f>
        <v>0</v>
      </c>
      <c r="L18" s="292">
        <f>VLOOKUP($A18,'Additional Tables'!$A:$I,8,FALSE)</f>
        <v>4.4366553983582347E-3</v>
      </c>
      <c r="M18" s="293">
        <f>VLOOKUP($A18,'Additional Tables'!$A:$I,9,FALSE)</f>
        <v>1.6260522249056295E-3</v>
      </c>
      <c r="N18" s="335">
        <v>1.4444696133024204E-3</v>
      </c>
      <c r="O18" s="325">
        <v>1.2282683493022867E-4</v>
      </c>
      <c r="P18" s="295">
        <v>1.5823233007542493E-3</v>
      </c>
      <c r="Q18" s="296">
        <v>1.9926522995928095E-5</v>
      </c>
      <c r="R18" s="295">
        <v>2.1734189320639159E-3</v>
      </c>
      <c r="S18" s="296">
        <v>2.1303542237543466E-4</v>
      </c>
      <c r="T18" s="295">
        <v>6.3671410977312172E-4</v>
      </c>
      <c r="U18" s="296">
        <v>1.6345531071758725E-4</v>
      </c>
      <c r="V18" s="295">
        <v>7.6787326155903254E-4</v>
      </c>
      <c r="W18" s="296">
        <v>0</v>
      </c>
      <c r="X18" s="295">
        <v>7.5589419135967128E-4</v>
      </c>
      <c r="Y18" s="296">
        <v>2.4745055640376154E-5</v>
      </c>
      <c r="Z18" s="291">
        <v>1.091462898938733E-3</v>
      </c>
      <c r="AA18" s="297">
        <v>5.84212048367083E-6</v>
      </c>
      <c r="AB18" s="298">
        <v>0</v>
      </c>
      <c r="AD18" s="288" t="s">
        <v>35</v>
      </c>
      <c r="AE18" s="289" t="s">
        <v>36</v>
      </c>
      <c r="AF18" s="299">
        <f t="shared" si="22"/>
        <v>2</v>
      </c>
      <c r="AG18" s="308" t="s">
        <v>46</v>
      </c>
      <c r="AH18" s="299">
        <f t="shared" si="23"/>
        <v>6</v>
      </c>
      <c r="AI18" s="300">
        <f t="shared" si="24"/>
        <v>8</v>
      </c>
      <c r="AJ18" s="301">
        <f t="shared" si="25"/>
        <v>8</v>
      </c>
      <c r="AK18" s="299">
        <f t="shared" si="25"/>
        <v>8</v>
      </c>
      <c r="AL18" s="300">
        <f t="shared" si="25"/>
        <v>8</v>
      </c>
      <c r="AM18" s="301">
        <f t="shared" si="25"/>
        <v>9</v>
      </c>
      <c r="AN18" s="336">
        <f t="shared" si="25"/>
        <v>7</v>
      </c>
      <c r="AO18" s="332">
        <f t="shared" si="25"/>
        <v>7</v>
      </c>
      <c r="AP18" s="303">
        <f t="shared" si="25"/>
        <v>6</v>
      </c>
      <c r="AQ18" s="304">
        <f t="shared" si="25"/>
        <v>7</v>
      </c>
      <c r="AR18" s="303">
        <f t="shared" si="25"/>
        <v>7</v>
      </c>
      <c r="AS18" s="304">
        <f t="shared" si="25"/>
        <v>7</v>
      </c>
      <c r="AT18" s="303">
        <f t="shared" si="25"/>
        <v>7</v>
      </c>
      <c r="AU18" s="304">
        <f t="shared" si="25"/>
        <v>7</v>
      </c>
      <c r="AV18" s="303">
        <f t="shared" si="25"/>
        <v>5</v>
      </c>
      <c r="AW18" s="304">
        <f t="shared" si="25"/>
        <v>1</v>
      </c>
      <c r="AX18" s="303">
        <f t="shared" si="25"/>
        <v>7</v>
      </c>
      <c r="AY18" s="304">
        <f t="shared" si="25"/>
        <v>7</v>
      </c>
      <c r="AZ18" s="299">
        <f t="shared" si="25"/>
        <v>5</v>
      </c>
      <c r="BA18" s="305">
        <f t="shared" si="25"/>
        <v>5</v>
      </c>
      <c r="BB18" s="307"/>
    </row>
    <row r="19" spans="1:54" s="286" customFormat="1" x14ac:dyDescent="0.25">
      <c r="A19" s="288" t="s">
        <v>37</v>
      </c>
      <c r="B19" s="289" t="s">
        <v>36</v>
      </c>
      <c r="C19" s="289" t="s">
        <v>178</v>
      </c>
      <c r="D19" s="290">
        <f>VLOOKUP($A19,'Total Areas'!A:D,4,FALSE)</f>
        <v>80.418562154362306</v>
      </c>
      <c r="E19" s="308" t="s">
        <v>46</v>
      </c>
      <c r="F19" s="255" t="s">
        <v>139</v>
      </c>
      <c r="G19" s="291">
        <f>VLOOKUP($A19,'Additional Tables'!$A:$I,3,FALSE)</f>
        <v>6.4687310241555218E-2</v>
      </c>
      <c r="H19" s="292">
        <f>VLOOKUP($A19,'Additional Tables'!$A:$I,4,FALSE)</f>
        <v>1.7232601910309175E-2</v>
      </c>
      <c r="I19" s="292">
        <f>VLOOKUP($A19,'Additional Tables'!$A:$I,5,FALSE)</f>
        <v>1.12E-2</v>
      </c>
      <c r="J19" s="293">
        <f>VLOOKUP($A19,'Additional Tables'!$A:$I,6,FALSE)</f>
        <v>2.1100000000000001E-2</v>
      </c>
      <c r="K19" s="291">
        <f>VLOOKUP($A19,'Additional Tables'!$A:$I,7,FALSE)</f>
        <v>1.8124201136746239E-2</v>
      </c>
      <c r="L19" s="292">
        <f>VLOOKUP($A19,'Additional Tables'!$A:$I,8,FALSE)</f>
        <v>1.716225229998582E-2</v>
      </c>
      <c r="M19" s="293">
        <f>VLOOKUP($A19,'Additional Tables'!$A:$I,9,FALSE)</f>
        <v>7.7847018352902144E-3</v>
      </c>
      <c r="N19" s="294">
        <v>5.7631818397120456E-3</v>
      </c>
      <c r="O19" s="291">
        <v>3.6878505743676024E-3</v>
      </c>
      <c r="P19" s="295">
        <v>5.3090371759735994E-3</v>
      </c>
      <c r="Q19" s="296">
        <v>3.6276253225512338E-3</v>
      </c>
      <c r="R19" s="295">
        <v>8.553861946232413E-3</v>
      </c>
      <c r="S19" s="296">
        <v>2.7713255903694712E-2</v>
      </c>
      <c r="T19" s="295">
        <v>2.2864828428566077E-3</v>
      </c>
      <c r="U19" s="296">
        <v>3.1609512545996525E-3</v>
      </c>
      <c r="V19" s="295">
        <v>2.5930635294169539E-3</v>
      </c>
      <c r="W19" s="296">
        <v>0</v>
      </c>
      <c r="X19" s="295">
        <v>3.008873359948947E-3</v>
      </c>
      <c r="Y19" s="296">
        <v>7.6060221928854962E-3</v>
      </c>
      <c r="Z19" s="291">
        <v>3.7319406541438983E-3</v>
      </c>
      <c r="AA19" s="297">
        <v>9.953384588475033E-4</v>
      </c>
      <c r="AB19" s="298">
        <v>0</v>
      </c>
      <c r="AD19" s="288" t="s">
        <v>37</v>
      </c>
      <c r="AE19" s="289" t="s">
        <v>36</v>
      </c>
      <c r="AF19" s="299">
        <f t="shared" si="22"/>
        <v>9</v>
      </c>
      <c r="AG19" s="308" t="s">
        <v>46</v>
      </c>
      <c r="AH19" s="299">
        <f t="shared" si="23"/>
        <v>4</v>
      </c>
      <c r="AI19" s="300">
        <f t="shared" si="24"/>
        <v>3</v>
      </c>
      <c r="AJ19" s="301">
        <f t="shared" si="25"/>
        <v>3</v>
      </c>
      <c r="AK19" s="299">
        <f t="shared" si="25"/>
        <v>4</v>
      </c>
      <c r="AL19" s="300">
        <f t="shared" si="25"/>
        <v>2</v>
      </c>
      <c r="AM19" s="301">
        <f t="shared" si="25"/>
        <v>3</v>
      </c>
      <c r="AN19" s="302">
        <f t="shared" si="25"/>
        <v>2</v>
      </c>
      <c r="AO19" s="299">
        <f t="shared" si="25"/>
        <v>2</v>
      </c>
      <c r="AP19" s="303">
        <f t="shared" si="25"/>
        <v>3</v>
      </c>
      <c r="AQ19" s="304">
        <f t="shared" si="25"/>
        <v>1</v>
      </c>
      <c r="AR19" s="303">
        <f t="shared" si="25"/>
        <v>2</v>
      </c>
      <c r="AS19" s="304">
        <f t="shared" si="25"/>
        <v>1</v>
      </c>
      <c r="AT19" s="303">
        <f t="shared" si="25"/>
        <v>2</v>
      </c>
      <c r="AU19" s="304">
        <f t="shared" si="25"/>
        <v>1</v>
      </c>
      <c r="AV19" s="303">
        <f t="shared" si="25"/>
        <v>1</v>
      </c>
      <c r="AW19" s="304">
        <f t="shared" si="25"/>
        <v>1</v>
      </c>
      <c r="AX19" s="303">
        <f t="shared" si="25"/>
        <v>3</v>
      </c>
      <c r="AY19" s="304">
        <f t="shared" si="25"/>
        <v>1</v>
      </c>
      <c r="AZ19" s="299">
        <f t="shared" si="25"/>
        <v>2</v>
      </c>
      <c r="BA19" s="305">
        <f t="shared" si="25"/>
        <v>1</v>
      </c>
      <c r="BB19" s="307"/>
    </row>
    <row r="20" spans="1:54" s="286" customFormat="1" x14ac:dyDescent="0.25">
      <c r="A20" s="328" t="s">
        <v>27</v>
      </c>
      <c r="B20" s="324" t="s">
        <v>24</v>
      </c>
      <c r="C20" s="324" t="s">
        <v>24</v>
      </c>
      <c r="D20" s="290">
        <f>VLOOKUP($A20,'Total Areas'!A:D,4,FALSE)</f>
        <v>73.893005735951661</v>
      </c>
      <c r="E20" s="308" t="s">
        <v>46</v>
      </c>
      <c r="F20" s="255" t="s">
        <v>140</v>
      </c>
      <c r="G20" s="325">
        <f>VLOOKUP($A20,'Additional Tables'!$A:$I,3,FALSE)</f>
        <v>9.157820544509257E-2</v>
      </c>
      <c r="H20" s="326">
        <f>VLOOKUP($A20,'Additional Tables'!$A:$I,4,FALSE)</f>
        <v>1.8471137919403705E-2</v>
      </c>
      <c r="I20" s="326">
        <f>VLOOKUP($A20,'Additional Tables'!$A:$I,5,FALSE)</f>
        <v>1.15E-2</v>
      </c>
      <c r="J20" s="327">
        <f>VLOOKUP($A20,'Additional Tables'!$A:$I,6,FALSE)</f>
        <v>2.8799999999999999E-2</v>
      </c>
      <c r="K20" s="325">
        <f>VLOOKUP($A20,'Additional Tables'!$A:$I,7,FALSE)</f>
        <v>1.2384987309052851E-2</v>
      </c>
      <c r="L20" s="326">
        <f>VLOOKUP($A20,'Additional Tables'!$A:$I,8,FALSE)</f>
        <v>1.6450305128848895E-2</v>
      </c>
      <c r="M20" s="327">
        <f>VLOOKUP($A20,'Additional Tables'!$A:$I,9,FALSE)</f>
        <v>7.8711438294803756E-3</v>
      </c>
      <c r="N20" s="328" t="s">
        <v>26</v>
      </c>
      <c r="O20" s="324" t="s">
        <v>26</v>
      </c>
      <c r="P20" s="329" t="s">
        <v>26</v>
      </c>
      <c r="Q20" s="330" t="s">
        <v>26</v>
      </c>
      <c r="R20" s="329" t="s">
        <v>26</v>
      </c>
      <c r="S20" s="330" t="s">
        <v>26</v>
      </c>
      <c r="T20" s="329" t="s">
        <v>26</v>
      </c>
      <c r="U20" s="330" t="s">
        <v>26</v>
      </c>
      <c r="V20" s="329" t="s">
        <v>26</v>
      </c>
      <c r="W20" s="330" t="s">
        <v>26</v>
      </c>
      <c r="X20" s="329" t="s">
        <v>26</v>
      </c>
      <c r="Y20" s="330" t="s">
        <v>26</v>
      </c>
      <c r="Z20" s="324" t="s">
        <v>26</v>
      </c>
      <c r="AA20" s="308" t="s">
        <v>26</v>
      </c>
      <c r="AB20" s="298">
        <v>0</v>
      </c>
      <c r="AD20" s="328" t="s">
        <v>27</v>
      </c>
      <c r="AE20" s="324" t="s">
        <v>24</v>
      </c>
      <c r="AF20" s="299">
        <f t="shared" si="22"/>
        <v>8</v>
      </c>
      <c r="AG20" s="308" t="s">
        <v>46</v>
      </c>
      <c r="AH20" s="332">
        <f t="shared" si="23"/>
        <v>3</v>
      </c>
      <c r="AI20" s="333">
        <f t="shared" si="24"/>
        <v>2</v>
      </c>
      <c r="AJ20" s="334">
        <f t="shared" si="25"/>
        <v>2</v>
      </c>
      <c r="AK20" s="332">
        <f t="shared" si="25"/>
        <v>5</v>
      </c>
      <c r="AL20" s="333">
        <f t="shared" si="25"/>
        <v>3</v>
      </c>
      <c r="AM20" s="334">
        <f t="shared" si="25"/>
        <v>2</v>
      </c>
      <c r="AN20" s="302"/>
      <c r="AO20" s="299"/>
      <c r="AP20" s="303"/>
      <c r="AQ20" s="304"/>
      <c r="AR20" s="303"/>
      <c r="AS20" s="304"/>
      <c r="AT20" s="303"/>
      <c r="AU20" s="304"/>
      <c r="AV20" s="303"/>
      <c r="AW20" s="304"/>
      <c r="AX20" s="303"/>
      <c r="AY20" s="304"/>
      <c r="AZ20" s="299"/>
      <c r="BA20" s="305"/>
      <c r="BB20" s="307"/>
    </row>
    <row r="21" spans="1:54" s="286" customFormat="1" x14ac:dyDescent="0.25">
      <c r="A21" s="288" t="s">
        <v>38</v>
      </c>
      <c r="B21" s="289" t="s">
        <v>36</v>
      </c>
      <c r="C21" s="289" t="s">
        <v>179</v>
      </c>
      <c r="D21" s="290">
        <f>VLOOKUP($A21,'Total Areas'!A:D,4,FALSE)</f>
        <v>80.586734010599585</v>
      </c>
      <c r="E21" s="308" t="s">
        <v>46</v>
      </c>
      <c r="F21" s="255" t="s">
        <v>140</v>
      </c>
      <c r="G21" s="291">
        <f>VLOOKUP($A21,'Additional Tables'!$A:$I,3,FALSE)</f>
        <v>0.20093369732318772</v>
      </c>
      <c r="H21" s="292">
        <f>VLOOKUP($A21,'Additional Tables'!$A:$I,4,FALSE)</f>
        <v>2.964646822264598E-2</v>
      </c>
      <c r="I21" s="292">
        <f>VLOOKUP($A21,'Additional Tables'!$A:$I,5,FALSE)</f>
        <v>1.52E-2</v>
      </c>
      <c r="J21" s="293">
        <f>VLOOKUP($A21,'Additional Tables'!$A:$I,6,FALSE)</f>
        <v>4.0300000000000002E-2</v>
      </c>
      <c r="K21" s="291">
        <f>VLOOKUP($A21,'Additional Tables'!$A:$I,7,FALSE)</f>
        <v>2.388484828528439E-2</v>
      </c>
      <c r="L21" s="292">
        <f>VLOOKUP($A21,'Additional Tables'!$A:$I,8,FALSE)</f>
        <v>2.4488808689957196E-2</v>
      </c>
      <c r="M21" s="293">
        <f>VLOOKUP($A21,'Additional Tables'!$A:$I,9,FALSE)</f>
        <v>9.3388820765534942E-3</v>
      </c>
      <c r="N21" s="294">
        <v>5.362074199240785E-3</v>
      </c>
      <c r="O21" s="291">
        <v>3.912479555523804E-3</v>
      </c>
      <c r="P21" s="295">
        <v>5.8044364608171731E-3</v>
      </c>
      <c r="Q21" s="296">
        <v>6.9218917184550263E-4</v>
      </c>
      <c r="R21" s="295">
        <v>8.899946817006418E-3</v>
      </c>
      <c r="S21" s="296">
        <v>4.9385844238086733E-3</v>
      </c>
      <c r="T21" s="295">
        <v>3.3374701773531473E-3</v>
      </c>
      <c r="U21" s="296">
        <v>2.1954833266963946E-3</v>
      </c>
      <c r="V21" s="295">
        <v>2.2775250370560404E-3</v>
      </c>
      <c r="W21" s="296">
        <v>0</v>
      </c>
      <c r="X21" s="295">
        <v>3.1764124371436086E-3</v>
      </c>
      <c r="Y21" s="296">
        <v>2.5178191523184189E-3</v>
      </c>
      <c r="Z21" s="291">
        <v>2.1270125862505643E-3</v>
      </c>
      <c r="AA21" s="297">
        <v>1.1611798991394051E-4</v>
      </c>
      <c r="AB21" s="298">
        <v>1</v>
      </c>
      <c r="AD21" s="288" t="s">
        <v>38</v>
      </c>
      <c r="AE21" s="289" t="s">
        <v>36</v>
      </c>
      <c r="AF21" s="299">
        <f t="shared" si="22"/>
        <v>10</v>
      </c>
      <c r="AG21" s="308" t="s">
        <v>46</v>
      </c>
      <c r="AH21" s="299">
        <f t="shared" si="23"/>
        <v>1</v>
      </c>
      <c r="AI21" s="300">
        <f t="shared" si="24"/>
        <v>1</v>
      </c>
      <c r="AJ21" s="301">
        <f t="shared" si="25"/>
        <v>1</v>
      </c>
      <c r="AK21" s="299">
        <f t="shared" si="25"/>
        <v>3</v>
      </c>
      <c r="AL21" s="300">
        <f t="shared" si="25"/>
        <v>1</v>
      </c>
      <c r="AM21" s="301">
        <f t="shared" si="25"/>
        <v>1</v>
      </c>
      <c r="AN21" s="302">
        <f t="shared" si="25"/>
        <v>3</v>
      </c>
      <c r="AO21" s="299">
        <f t="shared" si="25"/>
        <v>1</v>
      </c>
      <c r="AP21" s="303">
        <f t="shared" si="25"/>
        <v>2</v>
      </c>
      <c r="AQ21" s="304">
        <f t="shared" si="25"/>
        <v>3</v>
      </c>
      <c r="AR21" s="303">
        <f t="shared" si="25"/>
        <v>1</v>
      </c>
      <c r="AS21" s="304">
        <f t="shared" si="25"/>
        <v>3</v>
      </c>
      <c r="AT21" s="303">
        <f t="shared" si="25"/>
        <v>1</v>
      </c>
      <c r="AU21" s="304">
        <f t="shared" si="25"/>
        <v>2</v>
      </c>
      <c r="AV21" s="303">
        <f t="shared" si="25"/>
        <v>2</v>
      </c>
      <c r="AW21" s="304">
        <f t="shared" si="25"/>
        <v>1</v>
      </c>
      <c r="AX21" s="303">
        <f t="shared" si="25"/>
        <v>2</v>
      </c>
      <c r="AY21" s="304">
        <f t="shared" si="25"/>
        <v>3</v>
      </c>
      <c r="AZ21" s="299">
        <f t="shared" si="25"/>
        <v>3</v>
      </c>
      <c r="BA21" s="305">
        <f t="shared" si="25"/>
        <v>3</v>
      </c>
      <c r="BB21" s="307"/>
    </row>
    <row r="22" spans="1:54" s="286" customFormat="1" x14ac:dyDescent="0.25">
      <c r="A22" s="288" t="s">
        <v>39</v>
      </c>
      <c r="B22" s="289" t="s">
        <v>36</v>
      </c>
      <c r="C22" s="289" t="s">
        <v>180</v>
      </c>
      <c r="D22" s="290">
        <f>VLOOKUP($A22,'Total Areas'!A:D,4,FALSE)</f>
        <v>50.418970229565204</v>
      </c>
      <c r="E22" s="255" t="s">
        <v>46</v>
      </c>
      <c r="F22" s="255" t="s">
        <v>140</v>
      </c>
      <c r="G22" s="291">
        <f>VLOOKUP($A22,'Additional Tables'!$A:$I,3,FALSE)</f>
        <v>0.10080892275372581</v>
      </c>
      <c r="H22" s="292">
        <f>VLOOKUP($A22,'Additional Tables'!$A:$I,4,FALSE)</f>
        <v>1.0984078789672768E-2</v>
      </c>
      <c r="I22" s="292">
        <f>VLOOKUP($A22,'Additional Tables'!$A:$I,5,FALSE)</f>
        <v>8.0000000000000002E-3</v>
      </c>
      <c r="J22" s="293">
        <f>VLOOKUP($A22,'Additional Tables'!$A:$I,6,FALSE)</f>
        <v>2.07E-2</v>
      </c>
      <c r="K22" s="291">
        <f>VLOOKUP($A22,'Additional Tables'!$A:$I,7,FALSE)</f>
        <v>0.10140970640953867</v>
      </c>
      <c r="L22" s="292">
        <f>VLOOKUP($A22,'Additional Tables'!$A:$I,8,FALSE)</f>
        <v>8.750535939337464E-3</v>
      </c>
      <c r="M22" s="293">
        <f>VLOOKUP($A22,'Additional Tables'!$A:$I,9,FALSE)</f>
        <v>5.1158139167618915E-3</v>
      </c>
      <c r="N22" s="294">
        <v>3.0203143375307326E-3</v>
      </c>
      <c r="O22" s="291">
        <v>4.2778213184857853E-4</v>
      </c>
      <c r="P22" s="295">
        <v>2.76080852612035E-3</v>
      </c>
      <c r="Q22" s="296">
        <v>9.3444378503987276E-5</v>
      </c>
      <c r="R22" s="295">
        <v>5.9990248631423878E-3</v>
      </c>
      <c r="S22" s="296">
        <v>8.9448360744897291E-4</v>
      </c>
      <c r="T22" s="295">
        <v>1.9483394570412461E-3</v>
      </c>
      <c r="U22" s="296">
        <v>3.3007298383945255E-4</v>
      </c>
      <c r="V22" s="295">
        <v>1.090361512791209E-3</v>
      </c>
      <c r="W22" s="296">
        <v>0</v>
      </c>
      <c r="X22" s="295">
        <v>2.166355275204149E-3</v>
      </c>
      <c r="Y22" s="296">
        <v>3.2601896063358783E-4</v>
      </c>
      <c r="Z22" s="291">
        <v>7.9003477743369165E-4</v>
      </c>
      <c r="AA22" s="297">
        <v>0</v>
      </c>
      <c r="AB22" s="298">
        <v>0</v>
      </c>
      <c r="AD22" s="288" t="s">
        <v>39</v>
      </c>
      <c r="AE22" s="289" t="s">
        <v>36</v>
      </c>
      <c r="AF22" s="299">
        <f t="shared" si="22"/>
        <v>5</v>
      </c>
      <c r="AG22" s="255" t="s">
        <v>46</v>
      </c>
      <c r="AH22" s="299">
        <f t="shared" si="23"/>
        <v>2</v>
      </c>
      <c r="AI22" s="300">
        <f t="shared" si="24"/>
        <v>5</v>
      </c>
      <c r="AJ22" s="301">
        <f t="shared" si="25"/>
        <v>4</v>
      </c>
      <c r="AK22" s="299">
        <f t="shared" si="25"/>
        <v>1</v>
      </c>
      <c r="AL22" s="300">
        <f t="shared" si="25"/>
        <v>6</v>
      </c>
      <c r="AM22" s="301">
        <f t="shared" si="25"/>
        <v>5</v>
      </c>
      <c r="AN22" s="302">
        <f t="shared" si="25"/>
        <v>5</v>
      </c>
      <c r="AO22" s="299">
        <f t="shared" si="25"/>
        <v>4</v>
      </c>
      <c r="AP22" s="303">
        <f t="shared" si="25"/>
        <v>5</v>
      </c>
      <c r="AQ22" s="304">
        <f t="shared" si="25"/>
        <v>6</v>
      </c>
      <c r="AR22" s="303">
        <f t="shared" si="25"/>
        <v>5</v>
      </c>
      <c r="AS22" s="304">
        <f t="shared" si="25"/>
        <v>5</v>
      </c>
      <c r="AT22" s="303">
        <f t="shared" si="25"/>
        <v>3</v>
      </c>
      <c r="AU22" s="304">
        <f t="shared" si="25"/>
        <v>6</v>
      </c>
      <c r="AV22" s="303">
        <f t="shared" si="25"/>
        <v>3</v>
      </c>
      <c r="AW22" s="304">
        <f t="shared" si="25"/>
        <v>1</v>
      </c>
      <c r="AX22" s="303">
        <f t="shared" si="25"/>
        <v>4</v>
      </c>
      <c r="AY22" s="304">
        <f t="shared" si="25"/>
        <v>5</v>
      </c>
      <c r="AZ22" s="299">
        <f t="shared" si="25"/>
        <v>7</v>
      </c>
      <c r="BA22" s="305">
        <f t="shared" si="25"/>
        <v>6</v>
      </c>
      <c r="BB22" s="307"/>
    </row>
    <row r="23" spans="1:54" s="286" customFormat="1" x14ac:dyDescent="0.25">
      <c r="A23" s="288" t="s">
        <v>79</v>
      </c>
      <c r="B23" s="289" t="s">
        <v>36</v>
      </c>
      <c r="C23" s="289" t="s">
        <v>178</v>
      </c>
      <c r="D23" s="290">
        <f>VLOOKUP($A23,'Total Areas'!A:D,4,FALSE)</f>
        <v>26.813464936262818</v>
      </c>
      <c r="E23" s="255" t="s">
        <v>46</v>
      </c>
      <c r="F23" s="255" t="s">
        <v>139</v>
      </c>
      <c r="G23" s="291">
        <f>VLOOKUP($A23,'Additional Tables'!$A:$I,3,FALSE)</f>
        <v>2.6010354621621021E-2</v>
      </c>
      <c r="H23" s="292">
        <f>VLOOKUP($A23,'Additional Tables'!$A:$I,4,FALSE)</f>
        <v>9.8511084128178709E-3</v>
      </c>
      <c r="I23" s="292">
        <f>VLOOKUP($A23,'Additional Tables'!$A:$I,5,FALSE)</f>
        <v>4.1000000000000003E-3</v>
      </c>
      <c r="J23" s="293">
        <f>VLOOKUP($A23,'Additional Tables'!$A:$I,6,FALSE)</f>
        <v>8.8000000000000005E-3</v>
      </c>
      <c r="K23" s="291">
        <f>VLOOKUP($A23,'Additional Tables'!$A:$I,7,FALSE)</f>
        <v>7.0108250208441598E-3</v>
      </c>
      <c r="L23" s="292">
        <f>VLOOKUP($A23,'Additional Tables'!$A:$I,8,FALSE)</f>
        <v>9.9407085792971878E-3</v>
      </c>
      <c r="M23" s="293">
        <f>VLOOKUP($A23,'Additional Tables'!$A:$I,9,FALSE)</f>
        <v>2.595398859148387E-3</v>
      </c>
      <c r="N23" s="294">
        <v>6.8593347283572E-3</v>
      </c>
      <c r="O23" s="291">
        <v>1.4460085115993659E-3</v>
      </c>
      <c r="P23" s="295">
        <v>7.7636209168669163E-3</v>
      </c>
      <c r="Q23" s="296">
        <v>1.3891281767862457E-3</v>
      </c>
      <c r="R23" s="295">
        <v>8.3508727014654435E-3</v>
      </c>
      <c r="S23" s="296">
        <v>1.0767903382807826E-2</v>
      </c>
      <c r="T23" s="295">
        <v>1.5914410300340389E-3</v>
      </c>
      <c r="U23" s="296">
        <v>1.1676068728516044E-3</v>
      </c>
      <c r="V23" s="295">
        <v>3.983515909391969E-4</v>
      </c>
      <c r="W23" s="296">
        <v>0</v>
      </c>
      <c r="X23" s="295">
        <v>4.5938180960971246E-3</v>
      </c>
      <c r="Y23" s="296">
        <v>3.048497944287991E-3</v>
      </c>
      <c r="Z23" s="291">
        <v>4.60156093361526E-3</v>
      </c>
      <c r="AA23" s="297">
        <v>3.5736210353053209E-4</v>
      </c>
      <c r="AB23" s="298">
        <v>1</v>
      </c>
      <c r="AD23" s="288" t="s">
        <v>79</v>
      </c>
      <c r="AE23" s="289" t="s">
        <v>36</v>
      </c>
      <c r="AF23" s="299">
        <f t="shared" si="22"/>
        <v>4</v>
      </c>
      <c r="AG23" s="255" t="s">
        <v>46</v>
      </c>
      <c r="AH23" s="299">
        <f t="shared" si="23"/>
        <v>9</v>
      </c>
      <c r="AI23" s="300">
        <f t="shared" si="24"/>
        <v>6</v>
      </c>
      <c r="AJ23" s="301">
        <f t="shared" si="25"/>
        <v>7</v>
      </c>
      <c r="AK23" s="299">
        <f t="shared" si="25"/>
        <v>6</v>
      </c>
      <c r="AL23" s="300">
        <f t="shared" si="25"/>
        <v>5</v>
      </c>
      <c r="AM23" s="301">
        <f t="shared" si="25"/>
        <v>8</v>
      </c>
      <c r="AN23" s="302">
        <f t="shared" si="25"/>
        <v>1</v>
      </c>
      <c r="AO23" s="299">
        <f t="shared" si="25"/>
        <v>3</v>
      </c>
      <c r="AP23" s="303">
        <f t="shared" si="25"/>
        <v>1</v>
      </c>
      <c r="AQ23" s="304">
        <f t="shared" si="25"/>
        <v>2</v>
      </c>
      <c r="AR23" s="303">
        <f t="shared" si="25"/>
        <v>3</v>
      </c>
      <c r="AS23" s="304">
        <f t="shared" si="25"/>
        <v>2</v>
      </c>
      <c r="AT23" s="303">
        <f t="shared" si="25"/>
        <v>4</v>
      </c>
      <c r="AU23" s="304">
        <f t="shared" si="25"/>
        <v>3</v>
      </c>
      <c r="AV23" s="303">
        <f t="shared" si="25"/>
        <v>7</v>
      </c>
      <c r="AW23" s="304">
        <f t="shared" si="25"/>
        <v>1</v>
      </c>
      <c r="AX23" s="303">
        <f t="shared" si="25"/>
        <v>1</v>
      </c>
      <c r="AY23" s="304">
        <f t="shared" si="25"/>
        <v>2</v>
      </c>
      <c r="AZ23" s="299">
        <f t="shared" si="25"/>
        <v>1</v>
      </c>
      <c r="BA23" s="305">
        <f t="shared" si="25"/>
        <v>2</v>
      </c>
      <c r="BB23" s="307"/>
    </row>
    <row r="24" spans="1:54" s="286" customFormat="1" x14ac:dyDescent="0.25">
      <c r="A24" s="288" t="s">
        <v>42</v>
      </c>
      <c r="B24" s="289" t="s">
        <v>36</v>
      </c>
      <c r="C24" s="289" t="s">
        <v>178</v>
      </c>
      <c r="D24" s="290">
        <f>VLOOKUP($A24,'Total Areas'!A:D,4,FALSE)</f>
        <v>53.535572304011666</v>
      </c>
      <c r="E24" s="255" t="s">
        <v>46</v>
      </c>
      <c r="F24" s="255" t="s">
        <v>138</v>
      </c>
      <c r="G24" s="291">
        <f>VLOOKUP($A24,'Additional Tables'!$A:$I,3,FALSE)</f>
        <v>2.692293580761022E-2</v>
      </c>
      <c r="H24" s="292">
        <f>VLOOKUP($A24,'Additional Tables'!$A:$I,4,FALSE)</f>
        <v>6.9341242640449663E-3</v>
      </c>
      <c r="I24" s="292">
        <f>VLOOKUP($A24,'Additional Tables'!$A:$I,5,FALSE)</f>
        <v>5.1999999999999998E-3</v>
      </c>
      <c r="J24" s="293">
        <f>VLOOKUP($A24,'Additional Tables'!$A:$I,6,FALSE)</f>
        <v>1.0999999999999999E-2</v>
      </c>
      <c r="K24" s="291">
        <f>VLOOKUP($A24,'Additional Tables'!$A:$I,7,FALSE)</f>
        <v>1.4865169375056723E-3</v>
      </c>
      <c r="L24" s="292">
        <f>VLOOKUP($A24,'Additional Tables'!$A:$I,8,FALSE)</f>
        <v>6.3158811085847642E-3</v>
      </c>
      <c r="M24" s="293">
        <f>VLOOKUP($A24,'Additional Tables'!$A:$I,9,FALSE)</f>
        <v>3.0151303924913354E-3</v>
      </c>
      <c r="N24" s="294">
        <v>4.0704490206288869E-3</v>
      </c>
      <c r="O24" s="291">
        <v>1.6305110862777336E-4</v>
      </c>
      <c r="P24" s="295">
        <v>2.9253377866584078E-3</v>
      </c>
      <c r="Q24" s="296">
        <v>3.9767612262145907E-4</v>
      </c>
      <c r="R24" s="295">
        <v>6.2038930390744193E-3</v>
      </c>
      <c r="S24" s="296">
        <v>4.7742855829191137E-3</v>
      </c>
      <c r="T24" s="295">
        <v>1.4008229078579274E-3</v>
      </c>
      <c r="U24" s="296">
        <v>6.0780920303762128E-4</v>
      </c>
      <c r="V24" s="295">
        <v>1.0900177453905106E-3</v>
      </c>
      <c r="W24" s="296">
        <v>0</v>
      </c>
      <c r="X24" s="295">
        <v>2.1250820651521132E-3</v>
      </c>
      <c r="Y24" s="296">
        <v>5.4464191962678597E-4</v>
      </c>
      <c r="Z24" s="291">
        <v>1.8824449973663267E-3</v>
      </c>
      <c r="AA24" s="297">
        <v>5.8264262964132589E-5</v>
      </c>
      <c r="AB24" s="298">
        <v>0</v>
      </c>
      <c r="AD24" s="288" t="s">
        <v>42</v>
      </c>
      <c r="AE24" s="289" t="s">
        <v>36</v>
      </c>
      <c r="AF24" s="299">
        <f t="shared" si="22"/>
        <v>6</v>
      </c>
      <c r="AG24" s="255" t="s">
        <v>46</v>
      </c>
      <c r="AH24" s="299">
        <f t="shared" si="23"/>
        <v>8</v>
      </c>
      <c r="AI24" s="300">
        <f t="shared" si="24"/>
        <v>7</v>
      </c>
      <c r="AJ24" s="301">
        <f t="shared" si="25"/>
        <v>6</v>
      </c>
      <c r="AK24" s="299">
        <f t="shared" si="25"/>
        <v>7</v>
      </c>
      <c r="AL24" s="300">
        <f t="shared" si="25"/>
        <v>7</v>
      </c>
      <c r="AM24" s="301">
        <f t="shared" si="25"/>
        <v>7</v>
      </c>
      <c r="AN24" s="302">
        <f t="shared" si="25"/>
        <v>4</v>
      </c>
      <c r="AO24" s="299">
        <f t="shared" si="25"/>
        <v>6</v>
      </c>
      <c r="AP24" s="303">
        <f t="shared" si="25"/>
        <v>4</v>
      </c>
      <c r="AQ24" s="304">
        <f t="shared" si="25"/>
        <v>4</v>
      </c>
      <c r="AR24" s="303">
        <f t="shared" si="25"/>
        <v>4</v>
      </c>
      <c r="AS24" s="304">
        <f t="shared" si="25"/>
        <v>4</v>
      </c>
      <c r="AT24" s="303">
        <f t="shared" si="25"/>
        <v>5</v>
      </c>
      <c r="AU24" s="304">
        <f t="shared" si="25"/>
        <v>4</v>
      </c>
      <c r="AV24" s="303">
        <f t="shared" si="25"/>
        <v>4</v>
      </c>
      <c r="AW24" s="304">
        <f t="shared" si="25"/>
        <v>1</v>
      </c>
      <c r="AX24" s="303">
        <f t="shared" si="25"/>
        <v>5</v>
      </c>
      <c r="AY24" s="304">
        <f t="shared" si="25"/>
        <v>4</v>
      </c>
      <c r="AZ24" s="299">
        <f t="shared" si="25"/>
        <v>4</v>
      </c>
      <c r="BA24" s="305">
        <f t="shared" si="25"/>
        <v>4</v>
      </c>
      <c r="BB24" s="307"/>
    </row>
    <row r="25" spans="1:54" s="286" customFormat="1" x14ac:dyDescent="0.25">
      <c r="A25" s="328" t="s">
        <v>30</v>
      </c>
      <c r="B25" s="324" t="s">
        <v>24</v>
      </c>
      <c r="C25" s="324" t="s">
        <v>24</v>
      </c>
      <c r="D25" s="290">
        <f>VLOOKUP($A25,'Total Areas'!A:D,4,FALSE)</f>
        <v>66.869240575577706</v>
      </c>
      <c r="E25" s="308" t="s">
        <v>46</v>
      </c>
      <c r="F25" s="255" t="s">
        <v>140</v>
      </c>
      <c r="G25" s="325">
        <f>VLOOKUP($A25,'Additional Tables'!$A:$I,3,FALSE)</f>
        <v>3.8074652678411244E-2</v>
      </c>
      <c r="H25" s="326">
        <f>VLOOKUP($A25,'Additional Tables'!$A:$I,4,FALSE)</f>
        <v>1.4632249990999728E-2</v>
      </c>
      <c r="I25" s="326">
        <f>VLOOKUP($A25,'Additional Tables'!$A:$I,5,FALSE)</f>
        <v>1.0200000000000001E-2</v>
      </c>
      <c r="J25" s="327">
        <f>VLOOKUP($A25,'Additional Tables'!$A:$I,6,FALSE)</f>
        <v>1.9900000000000001E-2</v>
      </c>
      <c r="K25" s="325">
        <f>VLOOKUP($A25,'Additional Tables'!$A:$I,7,FALSE)</f>
        <v>2.5240586206381015E-2</v>
      </c>
      <c r="L25" s="326">
        <f>VLOOKUP($A25,'Additional Tables'!$A:$I,8,FALSE)</f>
        <v>1.3562029794945335E-2</v>
      </c>
      <c r="M25" s="327">
        <f>VLOOKUP($A25,'Additional Tables'!$A:$I,9,FALSE)</f>
        <v>7.6183292914212292E-3</v>
      </c>
      <c r="N25" s="328" t="s">
        <v>26</v>
      </c>
      <c r="O25" s="324" t="s">
        <v>26</v>
      </c>
      <c r="P25" s="329" t="s">
        <v>26</v>
      </c>
      <c r="Q25" s="330" t="s">
        <v>26</v>
      </c>
      <c r="R25" s="329" t="s">
        <v>26</v>
      </c>
      <c r="S25" s="330" t="s">
        <v>26</v>
      </c>
      <c r="T25" s="329" t="s">
        <v>26</v>
      </c>
      <c r="U25" s="330" t="s">
        <v>26</v>
      </c>
      <c r="V25" s="329" t="s">
        <v>26</v>
      </c>
      <c r="W25" s="330" t="s">
        <v>26</v>
      </c>
      <c r="X25" s="329" t="s">
        <v>26</v>
      </c>
      <c r="Y25" s="330" t="s">
        <v>26</v>
      </c>
      <c r="Z25" s="324" t="s">
        <v>26</v>
      </c>
      <c r="AA25" s="308" t="s">
        <v>26</v>
      </c>
      <c r="AB25" s="298">
        <v>1</v>
      </c>
      <c r="AD25" s="328" t="s">
        <v>30</v>
      </c>
      <c r="AE25" s="324" t="s">
        <v>24</v>
      </c>
      <c r="AF25" s="299">
        <f t="shared" si="22"/>
        <v>7</v>
      </c>
      <c r="AG25" s="308" t="s">
        <v>46</v>
      </c>
      <c r="AH25" s="332">
        <f t="shared" si="23"/>
        <v>5</v>
      </c>
      <c r="AI25" s="333">
        <f t="shared" si="24"/>
        <v>4</v>
      </c>
      <c r="AJ25" s="334">
        <f t="shared" si="25"/>
        <v>5</v>
      </c>
      <c r="AK25" s="332">
        <f t="shared" si="25"/>
        <v>2</v>
      </c>
      <c r="AL25" s="333">
        <f t="shared" si="25"/>
        <v>4</v>
      </c>
      <c r="AM25" s="334">
        <f t="shared" si="25"/>
        <v>4</v>
      </c>
      <c r="AN25" s="302"/>
      <c r="AO25" s="299"/>
      <c r="AP25" s="303"/>
      <c r="AQ25" s="304"/>
      <c r="AR25" s="303"/>
      <c r="AS25" s="304"/>
      <c r="AT25" s="303"/>
      <c r="AU25" s="304"/>
      <c r="AV25" s="303"/>
      <c r="AW25" s="304"/>
      <c r="AX25" s="303"/>
      <c r="AY25" s="304"/>
      <c r="AZ25" s="299"/>
      <c r="BA25" s="305"/>
      <c r="BB25" s="307"/>
    </row>
    <row r="26" spans="1:54" s="286" customFormat="1" ht="15.75" thickBot="1" x14ac:dyDescent="0.3">
      <c r="A26" s="337" t="s">
        <v>45</v>
      </c>
      <c r="B26" s="338" t="s">
        <v>36</v>
      </c>
      <c r="C26" s="338" t="s">
        <v>180</v>
      </c>
      <c r="D26" s="339">
        <f>VLOOKUP($A26,'Total Areas'!A:D,4,FALSE)</f>
        <v>12.536395410948526</v>
      </c>
      <c r="E26" s="281" t="s">
        <v>46</v>
      </c>
      <c r="F26" s="281" t="s">
        <v>140</v>
      </c>
      <c r="G26" s="340">
        <f>VLOOKUP($A26,'Additional Tables'!$A:$I,3,FALSE)</f>
        <v>3.3457829426416827E-2</v>
      </c>
      <c r="H26" s="341">
        <f>VLOOKUP($A26,'Additional Tables'!$A:$I,4,FALSE)</f>
        <v>2.1711207803920183E-3</v>
      </c>
      <c r="I26" s="341">
        <f>VLOOKUP($A26,'Additional Tables'!$A:$I,5,FALSE)</f>
        <v>1.6999999999999999E-3</v>
      </c>
      <c r="J26" s="342">
        <f>VLOOKUP($A26,'Additional Tables'!$A:$I,6,FALSE)</f>
        <v>2.8E-3</v>
      </c>
      <c r="K26" s="340">
        <f>VLOOKUP($A26,'Additional Tables'!$A:$I,7,FALSE)</f>
        <v>0</v>
      </c>
      <c r="L26" s="341">
        <f>VLOOKUP($A26,'Additional Tables'!$A:$I,8,FALSE)</f>
        <v>1.0345890642951376E-3</v>
      </c>
      <c r="M26" s="342">
        <f>VLOOKUP($A26,'Additional Tables'!$A:$I,9,FALSE)</f>
        <v>7.8199009565607593E-4</v>
      </c>
      <c r="N26" s="343">
        <v>1.901653238681729E-3</v>
      </c>
      <c r="O26" s="340">
        <v>2.3280976243524306E-4</v>
      </c>
      <c r="P26" s="344">
        <v>1.3401738322140712E-3</v>
      </c>
      <c r="Q26" s="345">
        <v>3.0283332655701951E-4</v>
      </c>
      <c r="R26" s="344">
        <v>2.8277906005956923E-3</v>
      </c>
      <c r="S26" s="345">
        <v>3.1112647531112895E-4</v>
      </c>
      <c r="T26" s="344">
        <v>6.4902106030272392E-4</v>
      </c>
      <c r="U26" s="345">
        <v>5.9995142615029587E-4</v>
      </c>
      <c r="V26" s="344">
        <v>5.3846459872641372E-4</v>
      </c>
      <c r="W26" s="345">
        <v>0</v>
      </c>
      <c r="X26" s="344">
        <v>9.9256555171485712E-4</v>
      </c>
      <c r="Y26" s="345">
        <v>4.5758383208903531E-5</v>
      </c>
      <c r="Z26" s="340">
        <v>9.3133348079817732E-4</v>
      </c>
      <c r="AA26" s="346">
        <v>0</v>
      </c>
      <c r="AB26" s="309">
        <v>1</v>
      </c>
      <c r="AD26" s="337" t="s">
        <v>45</v>
      </c>
      <c r="AE26" s="338" t="s">
        <v>36</v>
      </c>
      <c r="AF26" s="347">
        <f t="shared" si="22"/>
        <v>1</v>
      </c>
      <c r="AG26" s="281" t="s">
        <v>46</v>
      </c>
      <c r="AH26" s="347">
        <f t="shared" si="23"/>
        <v>7</v>
      </c>
      <c r="AI26" s="348">
        <f t="shared" si="24"/>
        <v>9</v>
      </c>
      <c r="AJ26" s="349">
        <f t="shared" si="25"/>
        <v>10</v>
      </c>
      <c r="AK26" s="347">
        <f t="shared" si="25"/>
        <v>8</v>
      </c>
      <c r="AL26" s="348">
        <f t="shared" si="25"/>
        <v>9</v>
      </c>
      <c r="AM26" s="349">
        <f t="shared" si="25"/>
        <v>10</v>
      </c>
      <c r="AN26" s="350">
        <f t="shared" si="25"/>
        <v>6</v>
      </c>
      <c r="AO26" s="347">
        <f t="shared" si="25"/>
        <v>5</v>
      </c>
      <c r="AP26" s="351">
        <f t="shared" si="25"/>
        <v>7</v>
      </c>
      <c r="AQ26" s="352">
        <f t="shared" si="25"/>
        <v>5</v>
      </c>
      <c r="AR26" s="351">
        <f t="shared" si="25"/>
        <v>6</v>
      </c>
      <c r="AS26" s="352">
        <f t="shared" si="25"/>
        <v>6</v>
      </c>
      <c r="AT26" s="351">
        <f t="shared" si="25"/>
        <v>6</v>
      </c>
      <c r="AU26" s="352">
        <f t="shared" si="25"/>
        <v>5</v>
      </c>
      <c r="AV26" s="351">
        <f t="shared" si="25"/>
        <v>6</v>
      </c>
      <c r="AW26" s="352">
        <f t="shared" si="25"/>
        <v>1</v>
      </c>
      <c r="AX26" s="351">
        <f t="shared" si="25"/>
        <v>6</v>
      </c>
      <c r="AY26" s="352">
        <f t="shared" si="25"/>
        <v>6</v>
      </c>
      <c r="AZ26" s="347">
        <f t="shared" si="25"/>
        <v>6</v>
      </c>
      <c r="BA26" s="353">
        <f t="shared" si="25"/>
        <v>6</v>
      </c>
      <c r="BB26" s="310"/>
    </row>
    <row r="27" spans="1:54" s="286" customFormat="1" ht="15.75" thickBot="1" x14ac:dyDescent="0.3">
      <c r="A27" s="354"/>
      <c r="B27" s="355"/>
      <c r="C27" s="355"/>
      <c r="D27" s="356">
        <f>SUMIF(AB17:AB26,"&gt;=1",D17:D26)</f>
        <v>186.80583493338864</v>
      </c>
      <c r="E27" s="357"/>
      <c r="F27" s="357"/>
      <c r="G27" s="358">
        <f t="shared" ref="G27:AA27" si="26">SUMIF($AB$17:$AB$26,"&gt;=1",G17:G26)</f>
        <v>0.29847653404963681</v>
      </c>
      <c r="H27" s="359">
        <f t="shared" si="26"/>
        <v>5.6300947406855602E-2</v>
      </c>
      <c r="I27" s="359">
        <f t="shared" si="26"/>
        <v>3.1200000000000002E-2</v>
      </c>
      <c r="J27" s="360">
        <f t="shared" si="26"/>
        <v>7.1800000000000003E-2</v>
      </c>
      <c r="K27" s="358">
        <f t="shared" si="26"/>
        <v>5.613625951250957E-2</v>
      </c>
      <c r="L27" s="359">
        <f t="shared" si="26"/>
        <v>4.9026136128494852E-2</v>
      </c>
      <c r="M27" s="360">
        <f t="shared" si="26"/>
        <v>2.0334600322779187E-2</v>
      </c>
      <c r="N27" s="361">
        <f t="shared" si="26"/>
        <v>1.4123062166279713E-2</v>
      </c>
      <c r="O27" s="358">
        <f t="shared" si="26"/>
        <v>5.5912978295584127E-3</v>
      </c>
      <c r="P27" s="362">
        <f t="shared" si="26"/>
        <v>1.4908231209898162E-2</v>
      </c>
      <c r="Q27" s="363">
        <f t="shared" si="26"/>
        <v>2.384150675188768E-3</v>
      </c>
      <c r="R27" s="362">
        <f t="shared" si="26"/>
        <v>2.0078610119067555E-2</v>
      </c>
      <c r="S27" s="363">
        <f t="shared" si="26"/>
        <v>1.601761428192763E-2</v>
      </c>
      <c r="T27" s="362">
        <f t="shared" si="26"/>
        <v>5.5779322676899109E-3</v>
      </c>
      <c r="U27" s="363">
        <f t="shared" si="26"/>
        <v>3.9630416256982949E-3</v>
      </c>
      <c r="V27" s="362">
        <f t="shared" si="26"/>
        <v>3.2143412267216509E-3</v>
      </c>
      <c r="W27" s="363">
        <f t="shared" si="26"/>
        <v>0</v>
      </c>
      <c r="X27" s="362">
        <f t="shared" si="26"/>
        <v>8.762796084955591E-3</v>
      </c>
      <c r="Y27" s="363">
        <f t="shared" si="26"/>
        <v>5.6120754798153136E-3</v>
      </c>
      <c r="Z27" s="358">
        <f t="shared" si="26"/>
        <v>7.6599070006640015E-3</v>
      </c>
      <c r="AA27" s="364">
        <f t="shared" si="26"/>
        <v>4.7348009344447262E-4</v>
      </c>
      <c r="AB27" s="365">
        <f>COUNTIF(AB17:AB26,"&gt;0")</f>
        <v>4</v>
      </c>
      <c r="AD27" s="354"/>
      <c r="AE27" s="355"/>
      <c r="AF27" s="356"/>
      <c r="AG27" s="357"/>
      <c r="AH27" s="358"/>
      <c r="AI27" s="359"/>
      <c r="AJ27" s="360"/>
      <c r="AK27" s="358"/>
      <c r="AL27" s="359"/>
      <c r="AM27" s="360"/>
      <c r="AN27" s="361"/>
      <c r="AO27" s="358"/>
      <c r="AP27" s="362"/>
      <c r="AQ27" s="363"/>
      <c r="AR27" s="362"/>
      <c r="AS27" s="363"/>
      <c r="AT27" s="362"/>
      <c r="AU27" s="363"/>
      <c r="AV27" s="362"/>
      <c r="AW27" s="363"/>
      <c r="AX27" s="362"/>
      <c r="AY27" s="363"/>
      <c r="AZ27" s="358"/>
      <c r="BA27" s="364"/>
      <c r="BB27" s="366"/>
    </row>
    <row r="28" spans="1:54" s="286" customFormat="1" ht="15.75" thickBot="1" x14ac:dyDescent="0.3">
      <c r="A28" s="288"/>
      <c r="B28" s="289"/>
      <c r="C28" s="289"/>
      <c r="D28" s="290"/>
      <c r="E28" s="255"/>
      <c r="F28" s="255"/>
      <c r="G28" s="291"/>
      <c r="H28" s="292"/>
      <c r="I28" s="292"/>
      <c r="J28" s="293"/>
      <c r="K28" s="291"/>
      <c r="L28" s="292"/>
      <c r="M28" s="293"/>
      <c r="N28" s="294"/>
      <c r="O28" s="291"/>
      <c r="P28" s="295"/>
      <c r="Q28" s="296"/>
      <c r="R28" s="295"/>
      <c r="S28" s="296"/>
      <c r="T28" s="295"/>
      <c r="U28" s="296"/>
      <c r="V28" s="295"/>
      <c r="W28" s="296"/>
      <c r="X28" s="295"/>
      <c r="Y28" s="296"/>
      <c r="Z28" s="291"/>
      <c r="AA28" s="297"/>
      <c r="AB28" s="254"/>
      <c r="AD28" s="288"/>
      <c r="AE28" s="289"/>
      <c r="AF28" s="290"/>
      <c r="AG28" s="255"/>
      <c r="AH28" s="291"/>
      <c r="AI28" s="292"/>
      <c r="AJ28" s="293"/>
      <c r="AK28" s="291"/>
      <c r="AL28" s="292"/>
      <c r="AM28" s="293"/>
      <c r="AN28" s="294"/>
      <c r="AO28" s="291"/>
      <c r="AP28" s="295"/>
      <c r="AQ28" s="296"/>
      <c r="AR28" s="295"/>
      <c r="AS28" s="296"/>
      <c r="AT28" s="295"/>
      <c r="AU28" s="296"/>
      <c r="AV28" s="295"/>
      <c r="AW28" s="296"/>
      <c r="AX28" s="295"/>
      <c r="AY28" s="296"/>
      <c r="AZ28" s="291"/>
      <c r="BA28" s="297"/>
    </row>
    <row r="29" spans="1:54" s="286" customFormat="1" ht="15.75" thickBot="1" x14ac:dyDescent="0.3">
      <c r="A29" s="91" t="s">
        <v>72</v>
      </c>
      <c r="B29" s="92"/>
      <c r="C29" s="92"/>
      <c r="D29" s="93"/>
      <c r="E29" s="94"/>
      <c r="F29" s="94"/>
      <c r="G29" s="92"/>
      <c r="H29" s="93"/>
      <c r="I29" s="93"/>
      <c r="J29" s="95"/>
      <c r="K29" s="92"/>
      <c r="L29" s="93"/>
      <c r="M29" s="95"/>
      <c r="N29" s="91"/>
      <c r="O29" s="92"/>
      <c r="P29" s="96"/>
      <c r="Q29" s="97"/>
      <c r="R29" s="96"/>
      <c r="S29" s="97"/>
      <c r="T29" s="96"/>
      <c r="U29" s="97"/>
      <c r="V29" s="96"/>
      <c r="W29" s="97"/>
      <c r="X29" s="96"/>
      <c r="Y29" s="97"/>
      <c r="Z29" s="92"/>
      <c r="AA29" s="94"/>
      <c r="AB29" s="323" t="s">
        <v>89</v>
      </c>
      <c r="AD29" s="91" t="s">
        <v>72</v>
      </c>
      <c r="AE29" s="92"/>
      <c r="AF29" s="93"/>
      <c r="AG29" s="94"/>
      <c r="AH29" s="92"/>
      <c r="AI29" s="93"/>
      <c r="AJ29" s="95"/>
      <c r="AK29" s="92"/>
      <c r="AL29" s="93"/>
      <c r="AM29" s="95"/>
      <c r="AN29" s="91"/>
      <c r="AO29" s="92"/>
      <c r="AP29" s="96"/>
      <c r="AQ29" s="97"/>
      <c r="AR29" s="96"/>
      <c r="AS29" s="97"/>
      <c r="AT29" s="96"/>
      <c r="AU29" s="97"/>
      <c r="AV29" s="96"/>
      <c r="AW29" s="97"/>
      <c r="AX29" s="96"/>
      <c r="AY29" s="97"/>
      <c r="AZ29" s="92"/>
      <c r="BA29" s="94"/>
      <c r="BB29" s="287" t="s">
        <v>70</v>
      </c>
    </row>
    <row r="30" spans="1:54" s="286" customFormat="1" x14ac:dyDescent="0.25">
      <c r="A30" s="328" t="s">
        <v>28</v>
      </c>
      <c r="B30" s="324" t="s">
        <v>24</v>
      </c>
      <c r="C30" s="324" t="s">
        <v>24</v>
      </c>
      <c r="D30" s="290">
        <f>VLOOKUP($A30,'Total Areas'!A:D,4,FALSE)</f>
        <v>101.49553996155278</v>
      </c>
      <c r="E30" s="308" t="s">
        <v>64</v>
      </c>
      <c r="F30" s="255" t="s">
        <v>141</v>
      </c>
      <c r="G30" s="325">
        <f>VLOOKUP($A30,'Additional Tables'!$A:$I,3,FALSE)</f>
        <v>0</v>
      </c>
      <c r="H30" s="326">
        <f>VLOOKUP($A30,'Additional Tables'!$A:$I,4,FALSE)</f>
        <v>0</v>
      </c>
      <c r="I30" s="326">
        <f>VLOOKUP($A30,'Additional Tables'!$A:$I,5,FALSE)</f>
        <v>0</v>
      </c>
      <c r="J30" s="327">
        <f>VLOOKUP($A30,'Additional Tables'!$A:$I,6,FALSE)</f>
        <v>0</v>
      </c>
      <c r="K30" s="325">
        <f>VLOOKUP($A30,'Additional Tables'!$A:$I,7,FALSE)</f>
        <v>0</v>
      </c>
      <c r="L30" s="326">
        <f>VLOOKUP($A30,'Additional Tables'!$A:$I,8,FALSE)</f>
        <v>0</v>
      </c>
      <c r="M30" s="327">
        <f>VLOOKUP($A30,'Additional Tables'!$A:$I,9,FALSE)</f>
        <v>0</v>
      </c>
      <c r="N30" s="328" t="s">
        <v>26</v>
      </c>
      <c r="O30" s="324" t="s">
        <v>26</v>
      </c>
      <c r="P30" s="329" t="s">
        <v>26</v>
      </c>
      <c r="Q30" s="330" t="s">
        <v>26</v>
      </c>
      <c r="R30" s="329" t="s">
        <v>26</v>
      </c>
      <c r="S30" s="330" t="s">
        <v>26</v>
      </c>
      <c r="T30" s="329" t="s">
        <v>26</v>
      </c>
      <c r="U30" s="330" t="s">
        <v>26</v>
      </c>
      <c r="V30" s="329" t="s">
        <v>26</v>
      </c>
      <c r="W30" s="330" t="s">
        <v>26</v>
      </c>
      <c r="X30" s="329" t="s">
        <v>26</v>
      </c>
      <c r="Y30" s="330" t="s">
        <v>26</v>
      </c>
      <c r="Z30" s="324" t="s">
        <v>26</v>
      </c>
      <c r="AA30" s="308" t="s">
        <v>26</v>
      </c>
      <c r="AB30" s="331">
        <v>1</v>
      </c>
      <c r="AD30" s="328" t="s">
        <v>28</v>
      </c>
      <c r="AE30" s="324" t="s">
        <v>24</v>
      </c>
      <c r="AF30" s="299">
        <f t="shared" ref="AF30:AF35" si="27">RANK(D30,D$30:D$35,1)</f>
        <v>6</v>
      </c>
      <c r="AG30" s="308" t="s">
        <v>64</v>
      </c>
      <c r="AH30" s="332">
        <f t="shared" ref="AH30:AI35" si="28">RANK(G30,G$30:G$35)</f>
        <v>4</v>
      </c>
      <c r="AI30" s="333">
        <f t="shared" si="28"/>
        <v>6</v>
      </c>
      <c r="AJ30" s="334">
        <f t="shared" ref="AJ30:AJ35" si="29">RANK(J30,J$30:J$35)</f>
        <v>6</v>
      </c>
      <c r="AK30" s="332">
        <f t="shared" ref="AK30:AK35" si="30">RANK(K30,K$30:K$35)</f>
        <v>5</v>
      </c>
      <c r="AL30" s="333">
        <f t="shared" ref="AL30:AL35" si="31">RANK(L30,L$30:L$35)</f>
        <v>6</v>
      </c>
      <c r="AM30" s="334">
        <f t="shared" ref="AM30:AM35" si="32">RANK(M30,M$30:M$35)</f>
        <v>6</v>
      </c>
      <c r="AN30" s="302"/>
      <c r="AO30" s="299"/>
      <c r="AP30" s="303"/>
      <c r="AQ30" s="304"/>
      <c r="AR30" s="303"/>
      <c r="AS30" s="304"/>
      <c r="AT30" s="303"/>
      <c r="AU30" s="304"/>
      <c r="AV30" s="303"/>
      <c r="AW30" s="304"/>
      <c r="AX30" s="303"/>
      <c r="AY30" s="304"/>
      <c r="AZ30" s="299"/>
      <c r="BA30" s="305"/>
      <c r="BB30" s="306"/>
    </row>
    <row r="31" spans="1:54" s="286" customFormat="1" x14ac:dyDescent="0.25">
      <c r="A31" s="288" t="s">
        <v>41</v>
      </c>
      <c r="B31" s="289" t="s">
        <v>36</v>
      </c>
      <c r="C31" s="289" t="s">
        <v>179</v>
      </c>
      <c r="D31" s="290">
        <f>VLOOKUP($A31,'Total Areas'!A:D,4,FALSE)</f>
        <v>79.018206200126698</v>
      </c>
      <c r="E31" s="255" t="s">
        <v>64</v>
      </c>
      <c r="F31" s="255" t="s">
        <v>138</v>
      </c>
      <c r="G31" s="291">
        <f>VLOOKUP($A31,'Additional Tables'!$A:$I,3,FALSE)</f>
        <v>4.88606353534521E-2</v>
      </c>
      <c r="H31" s="292">
        <f>VLOOKUP($A31,'Additional Tables'!$A:$I,4,FALSE)</f>
        <v>2.3778391701593557E-2</v>
      </c>
      <c r="I31" s="292">
        <f>VLOOKUP($A31,'Additional Tables'!$A:$I,5,FALSE)</f>
        <v>9.7000000000000003E-3</v>
      </c>
      <c r="J31" s="293">
        <f>VLOOKUP($A31,'Additional Tables'!$A:$I,6,FALSE)</f>
        <v>3.4099999999999998E-2</v>
      </c>
      <c r="K31" s="291">
        <f>VLOOKUP($A31,'Additional Tables'!$A:$I,7,FALSE)</f>
        <v>0.11200260139503054</v>
      </c>
      <c r="L31" s="292">
        <f>VLOOKUP($A31,'Additional Tables'!$A:$I,8,FALSE)</f>
        <v>2.3210393296356588E-2</v>
      </c>
      <c r="M31" s="293">
        <f>VLOOKUP($A31,'Additional Tables'!$A:$I,9,FALSE)</f>
        <v>1.8741869765455901E-2</v>
      </c>
      <c r="N31" s="294">
        <v>2.4889716890145529E-3</v>
      </c>
      <c r="O31" s="291">
        <v>4.2034387880113124E-5</v>
      </c>
      <c r="P31" s="295">
        <v>2.8456527823219539E-3</v>
      </c>
      <c r="Q31" s="296">
        <v>6.746093381150537E-5</v>
      </c>
      <c r="R31" s="295">
        <v>3.3611843934125579E-3</v>
      </c>
      <c r="S31" s="296">
        <v>1.2206605967899155E-4</v>
      </c>
      <c r="T31" s="295">
        <v>1.0042906715771343E-3</v>
      </c>
      <c r="U31" s="296">
        <v>3.4312017831983346E-5</v>
      </c>
      <c r="V31" s="295">
        <v>9.7763465264833578E-4</v>
      </c>
      <c r="W31" s="296">
        <v>0</v>
      </c>
      <c r="X31" s="295">
        <v>1.0632181241194091E-3</v>
      </c>
      <c r="Y31" s="296">
        <v>2.5299585746080823E-5</v>
      </c>
      <c r="Z31" s="291">
        <v>1.9768506970231528E-3</v>
      </c>
      <c r="AA31" s="297">
        <v>0</v>
      </c>
      <c r="AB31" s="298">
        <v>1</v>
      </c>
      <c r="AD31" s="288" t="s">
        <v>41</v>
      </c>
      <c r="AE31" s="289" t="s">
        <v>36</v>
      </c>
      <c r="AF31" s="299">
        <f t="shared" si="27"/>
        <v>4</v>
      </c>
      <c r="AG31" s="255" t="s">
        <v>64</v>
      </c>
      <c r="AH31" s="299">
        <f t="shared" si="28"/>
        <v>2</v>
      </c>
      <c r="AI31" s="300">
        <f t="shared" si="28"/>
        <v>1</v>
      </c>
      <c r="AJ31" s="301">
        <f t="shared" si="29"/>
        <v>2</v>
      </c>
      <c r="AK31" s="299">
        <f t="shared" si="30"/>
        <v>1</v>
      </c>
      <c r="AL31" s="300">
        <f t="shared" si="31"/>
        <v>1</v>
      </c>
      <c r="AM31" s="301">
        <f t="shared" si="32"/>
        <v>3</v>
      </c>
      <c r="AN31" s="302">
        <f t="shared" ref="AN31:AN35" si="33">RANK(N31,N$30:N$35)</f>
        <v>3</v>
      </c>
      <c r="AO31" s="299">
        <f t="shared" ref="AO31:AO35" si="34">RANK(O31,O$30:O$35)</f>
        <v>1</v>
      </c>
      <c r="AP31" s="303">
        <f t="shared" ref="AP31:AP35" si="35">RANK(P31,P$30:P$35)</f>
        <v>3</v>
      </c>
      <c r="AQ31" s="304">
        <f t="shared" ref="AQ31:AQ35" si="36">RANK(Q31,Q$30:Q$35)</f>
        <v>1</v>
      </c>
      <c r="AR31" s="303">
        <f t="shared" ref="AR31:AR35" si="37">RANK(R31,R$30:R$35)</f>
        <v>3</v>
      </c>
      <c r="AS31" s="304">
        <f t="shared" ref="AS31:AS35" si="38">RANK(S31,S$30:S$35)</f>
        <v>1</v>
      </c>
      <c r="AT31" s="303">
        <f t="shared" ref="AT31:AT35" si="39">RANK(T31,T$30:T$35)</f>
        <v>4</v>
      </c>
      <c r="AU31" s="304">
        <f t="shared" ref="AU31:AU35" si="40">RANK(U31,U$30:U$35)</f>
        <v>1</v>
      </c>
      <c r="AV31" s="303">
        <f t="shared" ref="AV31:AV35" si="41">RANK(V31,V$30:V$35)</f>
        <v>3</v>
      </c>
      <c r="AW31" s="304">
        <f t="shared" ref="AW31:AW35" si="42">RANK(W31,W$30:W$35)</f>
        <v>1</v>
      </c>
      <c r="AX31" s="303">
        <f t="shared" ref="AX31:AX35" si="43">RANK(X31,X$30:X$35)</f>
        <v>3</v>
      </c>
      <c r="AY31" s="304">
        <f t="shared" ref="AY31:AY35" si="44">RANK(Y31,Y$30:Y$35)</f>
        <v>1</v>
      </c>
      <c r="AZ31" s="299">
        <f t="shared" ref="AZ31:AZ35" si="45">RANK(Z31,Z$30:Z$35)</f>
        <v>2</v>
      </c>
      <c r="BA31" s="305">
        <f t="shared" ref="BA31:BA35" si="46">RANK(AA31,AA$30:AA$35)</f>
        <v>1</v>
      </c>
      <c r="BB31" s="307"/>
    </row>
    <row r="32" spans="1:54" s="286" customFormat="1" x14ac:dyDescent="0.25">
      <c r="A32" s="288" t="s">
        <v>80</v>
      </c>
      <c r="B32" s="289" t="s">
        <v>36</v>
      </c>
      <c r="C32" s="289" t="s">
        <v>180</v>
      </c>
      <c r="D32" s="290">
        <f>VLOOKUP($A32,'Total Areas'!A:D,4,FALSE)</f>
        <v>91.336973086565536</v>
      </c>
      <c r="E32" s="255" t="s">
        <v>64</v>
      </c>
      <c r="F32" s="255" t="s">
        <v>137</v>
      </c>
      <c r="G32" s="291">
        <f>VLOOKUP($A32,'Additional Tables'!$A:$I,3,FALSE)</f>
        <v>0</v>
      </c>
      <c r="H32" s="292">
        <f>VLOOKUP($A32,'Additional Tables'!$A:$I,4,FALSE)</f>
        <v>2.0120275787999825E-2</v>
      </c>
      <c r="I32" s="292">
        <f>VLOOKUP($A32,'Additional Tables'!$A:$I,5,FALSE)</f>
        <v>1.38E-2</v>
      </c>
      <c r="J32" s="293">
        <f>VLOOKUP($A32,'Additional Tables'!$A:$I,6,FALSE)</f>
        <v>4.0099999999999997E-2</v>
      </c>
      <c r="K32" s="291">
        <f>VLOOKUP($A32,'Additional Tables'!$A:$I,7,FALSE)</f>
        <v>8.1970589511015352E-2</v>
      </c>
      <c r="L32" s="292">
        <f>VLOOKUP($A32,'Additional Tables'!$A:$I,8,FALSE)</f>
        <v>2.1403114743111119E-2</v>
      </c>
      <c r="M32" s="293">
        <f>VLOOKUP($A32,'Additional Tables'!$A:$I,9,FALSE)</f>
        <v>2.5240536655566418E-2</v>
      </c>
      <c r="N32" s="294">
        <v>6.1863565950992525E-3</v>
      </c>
      <c r="O32" s="291">
        <v>0</v>
      </c>
      <c r="P32" s="295">
        <v>6.3504270445162462E-3</v>
      </c>
      <c r="Q32" s="296">
        <v>0</v>
      </c>
      <c r="R32" s="295">
        <v>5.764188566520446E-3</v>
      </c>
      <c r="S32" s="296">
        <v>0</v>
      </c>
      <c r="T32" s="295">
        <v>1.1303770844680908E-3</v>
      </c>
      <c r="U32" s="296">
        <v>0</v>
      </c>
      <c r="V32" s="295">
        <v>2.1053353583256343E-4</v>
      </c>
      <c r="W32" s="296">
        <v>0</v>
      </c>
      <c r="X32" s="295">
        <v>2.9084868980553289E-3</v>
      </c>
      <c r="Y32" s="296">
        <v>0</v>
      </c>
      <c r="Z32" s="291">
        <v>4.8426971549470708E-3</v>
      </c>
      <c r="AA32" s="297">
        <v>0</v>
      </c>
      <c r="AB32" s="298">
        <v>0</v>
      </c>
      <c r="AD32" s="288" t="s">
        <v>80</v>
      </c>
      <c r="AE32" s="289" t="s">
        <v>36</v>
      </c>
      <c r="AF32" s="299">
        <f t="shared" si="27"/>
        <v>5</v>
      </c>
      <c r="AG32" s="255" t="s">
        <v>64</v>
      </c>
      <c r="AH32" s="299">
        <f t="shared" si="28"/>
        <v>4</v>
      </c>
      <c r="AI32" s="300">
        <f t="shared" si="28"/>
        <v>2</v>
      </c>
      <c r="AJ32" s="301">
        <f t="shared" ref="AJ32" si="47">RANK(J32,J$30:J$35)</f>
        <v>1</v>
      </c>
      <c r="AK32" s="299">
        <f t="shared" ref="AK32" si="48">RANK(K32,K$30:K$35)</f>
        <v>2</v>
      </c>
      <c r="AL32" s="300">
        <f t="shared" ref="AL32" si="49">RANK(L32,L$30:L$35)</f>
        <v>2</v>
      </c>
      <c r="AM32" s="301">
        <f t="shared" ref="AM32" si="50">RANK(M32,M$30:M$35)</f>
        <v>1</v>
      </c>
      <c r="AN32" s="302">
        <f t="shared" ref="AN32" si="51">RANK(N32,N$30:N$35)</f>
        <v>1</v>
      </c>
      <c r="AO32" s="299">
        <f t="shared" ref="AO32" si="52">RANK(O32,O$30:O$35)</f>
        <v>3</v>
      </c>
      <c r="AP32" s="303">
        <f t="shared" ref="AP32" si="53">RANK(P32,P$30:P$35)</f>
        <v>1</v>
      </c>
      <c r="AQ32" s="304">
        <f t="shared" ref="AQ32" si="54">RANK(Q32,Q$30:Q$35)</f>
        <v>3</v>
      </c>
      <c r="AR32" s="303">
        <f t="shared" ref="AR32" si="55">RANK(R32,R$30:R$35)</f>
        <v>1</v>
      </c>
      <c r="AS32" s="304">
        <f t="shared" ref="AS32" si="56">RANK(S32,S$30:S$35)</f>
        <v>3</v>
      </c>
      <c r="AT32" s="303">
        <f t="shared" ref="AT32" si="57">RANK(T32,T$30:T$35)</f>
        <v>2</v>
      </c>
      <c r="AU32" s="304">
        <f t="shared" ref="AU32" si="58">RANK(U32,U$30:U$35)</f>
        <v>3</v>
      </c>
      <c r="AV32" s="303">
        <f t="shared" ref="AV32" si="59">RANK(V32,V$30:V$35)</f>
        <v>4</v>
      </c>
      <c r="AW32" s="304">
        <f t="shared" ref="AW32" si="60">RANK(W32,W$30:W$35)</f>
        <v>1</v>
      </c>
      <c r="AX32" s="303">
        <f t="shared" ref="AX32" si="61">RANK(X32,X$30:X$35)</f>
        <v>1</v>
      </c>
      <c r="AY32" s="304">
        <f t="shared" ref="AY32" si="62">RANK(Y32,Y$30:Y$35)</f>
        <v>3</v>
      </c>
      <c r="AZ32" s="299">
        <f t="shared" ref="AZ32" si="63">RANK(Z32,Z$30:Z$35)</f>
        <v>1</v>
      </c>
      <c r="BA32" s="305">
        <f t="shared" ref="BA32" si="64">RANK(AA32,AA$30:AA$35)</f>
        <v>1</v>
      </c>
      <c r="BB32" s="307"/>
    </row>
    <row r="33" spans="1:54" s="286" customFormat="1" x14ac:dyDescent="0.25">
      <c r="A33" s="288" t="s">
        <v>51</v>
      </c>
      <c r="B33" s="289" t="s">
        <v>36</v>
      </c>
      <c r="C33" s="289" t="s">
        <v>179</v>
      </c>
      <c r="D33" s="290">
        <f>VLOOKUP($A33,'Total Areas'!A:D,4,FALSE)</f>
        <v>74.335577372379845</v>
      </c>
      <c r="E33" s="255" t="s">
        <v>64</v>
      </c>
      <c r="F33" s="255" t="s">
        <v>137</v>
      </c>
      <c r="G33" s="291">
        <f>VLOOKUP($A33,'Additional Tables'!$A:$I,3,FALSE)</f>
        <v>0</v>
      </c>
      <c r="H33" s="292">
        <f>VLOOKUP($A33,'Additional Tables'!$A:$I,4,FALSE)</f>
        <v>1.5658991777844546E-2</v>
      </c>
      <c r="I33" s="292">
        <f>VLOOKUP($A33,'Additional Tables'!$A:$I,5,FALSE)</f>
        <v>1.11E-2</v>
      </c>
      <c r="J33" s="293">
        <f>VLOOKUP($A33,'Additional Tables'!$A:$I,6,FALSE)</f>
        <v>3.3099999999999997E-2</v>
      </c>
      <c r="K33" s="291">
        <f>VLOOKUP($A33,'Additional Tables'!$A:$I,7,FALSE)</f>
        <v>0</v>
      </c>
      <c r="L33" s="292">
        <f>VLOOKUP($A33,'Additional Tables'!$A:$I,8,FALSE)</f>
        <v>1.5982604515335251E-2</v>
      </c>
      <c r="M33" s="293">
        <f>VLOOKUP($A33,'Additional Tables'!$A:$I,9,FALSE)</f>
        <v>1.9524154971885456E-2</v>
      </c>
      <c r="N33" s="294">
        <v>1.3826704872066636E-3</v>
      </c>
      <c r="O33" s="291">
        <v>2.1100738662613698E-10</v>
      </c>
      <c r="P33" s="295">
        <v>8.510061856489197E-4</v>
      </c>
      <c r="Q33" s="296">
        <v>4.1143121432379953E-6</v>
      </c>
      <c r="R33" s="295">
        <v>1.9024091333003331E-3</v>
      </c>
      <c r="S33" s="296">
        <v>7.9280226931150239E-6</v>
      </c>
      <c r="T33" s="295">
        <v>2.2064170591540731E-4</v>
      </c>
      <c r="U33" s="296">
        <v>2.4915656461385876E-5</v>
      </c>
      <c r="V33" s="295">
        <v>1.9978784922113096E-4</v>
      </c>
      <c r="W33" s="296">
        <v>0</v>
      </c>
      <c r="X33" s="295">
        <v>3.835433115763895E-4</v>
      </c>
      <c r="Y33" s="296">
        <v>5.985399549562686E-6</v>
      </c>
      <c r="Z33" s="291">
        <v>8.3416237911864018E-4</v>
      </c>
      <c r="AA33" s="297">
        <v>0</v>
      </c>
      <c r="AB33" s="298">
        <v>1</v>
      </c>
      <c r="AD33" s="288" t="s">
        <v>51</v>
      </c>
      <c r="AE33" s="289" t="s">
        <v>36</v>
      </c>
      <c r="AF33" s="299">
        <f t="shared" si="27"/>
        <v>3</v>
      </c>
      <c r="AG33" s="255" t="s">
        <v>64</v>
      </c>
      <c r="AH33" s="299">
        <f t="shared" si="28"/>
        <v>4</v>
      </c>
      <c r="AI33" s="300">
        <f t="shared" si="28"/>
        <v>3</v>
      </c>
      <c r="AJ33" s="301">
        <f t="shared" si="29"/>
        <v>3</v>
      </c>
      <c r="AK33" s="299">
        <f t="shared" si="30"/>
        <v>5</v>
      </c>
      <c r="AL33" s="300">
        <f t="shared" si="31"/>
        <v>3</v>
      </c>
      <c r="AM33" s="301">
        <f t="shared" si="32"/>
        <v>2</v>
      </c>
      <c r="AN33" s="302">
        <f t="shared" si="33"/>
        <v>5</v>
      </c>
      <c r="AO33" s="299">
        <f t="shared" si="34"/>
        <v>2</v>
      </c>
      <c r="AP33" s="303">
        <f t="shared" si="35"/>
        <v>5</v>
      </c>
      <c r="AQ33" s="304">
        <f t="shared" si="36"/>
        <v>2</v>
      </c>
      <c r="AR33" s="303">
        <f t="shared" si="37"/>
        <v>5</v>
      </c>
      <c r="AS33" s="304">
        <f t="shared" si="38"/>
        <v>2</v>
      </c>
      <c r="AT33" s="303">
        <f t="shared" si="39"/>
        <v>5</v>
      </c>
      <c r="AU33" s="304">
        <f t="shared" si="40"/>
        <v>2</v>
      </c>
      <c r="AV33" s="303">
        <f t="shared" si="41"/>
        <v>5</v>
      </c>
      <c r="AW33" s="304">
        <f t="shared" si="42"/>
        <v>1</v>
      </c>
      <c r="AX33" s="303">
        <f t="shared" si="43"/>
        <v>5</v>
      </c>
      <c r="AY33" s="304">
        <f t="shared" si="44"/>
        <v>2</v>
      </c>
      <c r="AZ33" s="299">
        <f t="shared" si="45"/>
        <v>5</v>
      </c>
      <c r="BA33" s="305">
        <f t="shared" si="46"/>
        <v>1</v>
      </c>
      <c r="BB33" s="307"/>
    </row>
    <row r="34" spans="1:54" s="286" customFormat="1" x14ac:dyDescent="0.25">
      <c r="A34" s="288" t="s">
        <v>60</v>
      </c>
      <c r="B34" s="289" t="s">
        <v>36</v>
      </c>
      <c r="C34" s="289" t="s">
        <v>178</v>
      </c>
      <c r="D34" s="290">
        <f>VLOOKUP($A34,'Total Areas'!A:D,4,FALSE)</f>
        <v>22.641638808372765</v>
      </c>
      <c r="E34" s="255" t="s">
        <v>64</v>
      </c>
      <c r="F34" s="255" t="s">
        <v>138</v>
      </c>
      <c r="G34" s="291">
        <f>VLOOKUP($A34,'Additional Tables'!$A:$I,3,FALSE)</f>
        <v>3.2657501213355047E-2</v>
      </c>
      <c r="H34" s="292">
        <f>VLOOKUP($A34,'Additional Tables'!$A:$I,4,FALSE)</f>
        <v>1.8709715391456887E-3</v>
      </c>
      <c r="I34" s="292">
        <f>VLOOKUP($A34,'Additional Tables'!$A:$I,5,FALSE)</f>
        <v>3.2000000000000002E-3</v>
      </c>
      <c r="J34" s="293">
        <f>VLOOKUP($A34,'Additional Tables'!$A:$I,6,FALSE)</f>
        <v>8.8999999999999999E-3</v>
      </c>
      <c r="K34" s="291">
        <f>VLOOKUP($A34,'Additional Tables'!$A:$I,7,FALSE)</f>
        <v>2.2334857667680227E-2</v>
      </c>
      <c r="L34" s="292">
        <f>VLOOKUP($A34,'Additional Tables'!$A:$I,8,FALSE)</f>
        <v>6.4600816611376499E-4</v>
      </c>
      <c r="M34" s="293">
        <f>VLOOKUP($A34,'Additional Tables'!$A:$I,9,FALSE)</f>
        <v>6.5950698126284787E-3</v>
      </c>
      <c r="N34" s="294">
        <v>1.6666666499266175E-3</v>
      </c>
      <c r="O34" s="291">
        <v>0</v>
      </c>
      <c r="P34" s="295">
        <v>2.7985362281665932E-3</v>
      </c>
      <c r="Q34" s="296">
        <v>0</v>
      </c>
      <c r="R34" s="295">
        <v>2.6500648413073711E-3</v>
      </c>
      <c r="S34" s="296">
        <v>0</v>
      </c>
      <c r="T34" s="295">
        <v>1.0495065930388842E-3</v>
      </c>
      <c r="U34" s="296">
        <v>0</v>
      </c>
      <c r="V34" s="295">
        <v>1.1280135842303555E-3</v>
      </c>
      <c r="W34" s="296">
        <v>0</v>
      </c>
      <c r="X34" s="295">
        <v>9.8521909583210686E-4</v>
      </c>
      <c r="Y34" s="296">
        <v>0</v>
      </c>
      <c r="Z34" s="291">
        <v>9.2020230117241151E-4</v>
      </c>
      <c r="AA34" s="297">
        <v>0</v>
      </c>
      <c r="AB34" s="298">
        <v>0</v>
      </c>
      <c r="AD34" s="288" t="s">
        <v>60</v>
      </c>
      <c r="AE34" s="289" t="s">
        <v>36</v>
      </c>
      <c r="AF34" s="299">
        <f t="shared" si="27"/>
        <v>1</v>
      </c>
      <c r="AG34" s="255" t="s">
        <v>64</v>
      </c>
      <c r="AH34" s="299">
        <f t="shared" si="28"/>
        <v>3</v>
      </c>
      <c r="AI34" s="300">
        <f t="shared" si="28"/>
        <v>5</v>
      </c>
      <c r="AJ34" s="301">
        <f t="shared" si="29"/>
        <v>5</v>
      </c>
      <c r="AK34" s="299">
        <f t="shared" si="30"/>
        <v>4</v>
      </c>
      <c r="AL34" s="300">
        <f t="shared" si="31"/>
        <v>5</v>
      </c>
      <c r="AM34" s="301">
        <f t="shared" si="32"/>
        <v>5</v>
      </c>
      <c r="AN34" s="302">
        <f t="shared" si="33"/>
        <v>4</v>
      </c>
      <c r="AO34" s="299">
        <f t="shared" si="34"/>
        <v>3</v>
      </c>
      <c r="AP34" s="303">
        <f t="shared" si="35"/>
        <v>4</v>
      </c>
      <c r="AQ34" s="304">
        <f t="shared" si="36"/>
        <v>3</v>
      </c>
      <c r="AR34" s="303">
        <f t="shared" si="37"/>
        <v>4</v>
      </c>
      <c r="AS34" s="304">
        <f t="shared" si="38"/>
        <v>3</v>
      </c>
      <c r="AT34" s="303">
        <f t="shared" si="39"/>
        <v>3</v>
      </c>
      <c r="AU34" s="304">
        <f t="shared" si="40"/>
        <v>3</v>
      </c>
      <c r="AV34" s="303">
        <f t="shared" si="41"/>
        <v>2</v>
      </c>
      <c r="AW34" s="304">
        <f t="shared" si="42"/>
        <v>1</v>
      </c>
      <c r="AX34" s="303">
        <f t="shared" si="43"/>
        <v>4</v>
      </c>
      <c r="AY34" s="304">
        <f t="shared" si="44"/>
        <v>3</v>
      </c>
      <c r="AZ34" s="299">
        <f t="shared" si="45"/>
        <v>4</v>
      </c>
      <c r="BA34" s="305">
        <f t="shared" si="46"/>
        <v>1</v>
      </c>
      <c r="BB34" s="307"/>
    </row>
    <row r="35" spans="1:54" s="286" customFormat="1" ht="15.75" thickBot="1" x14ac:dyDescent="0.3">
      <c r="A35" s="288" t="s">
        <v>61</v>
      </c>
      <c r="B35" s="289" t="s">
        <v>36</v>
      </c>
      <c r="C35" s="289" t="s">
        <v>178</v>
      </c>
      <c r="D35" s="290">
        <f>VLOOKUP($A35,'Total Areas'!A:D,4,FALSE)</f>
        <v>45.330448118318941</v>
      </c>
      <c r="E35" s="255" t="s">
        <v>64</v>
      </c>
      <c r="F35" s="255" t="s">
        <v>138</v>
      </c>
      <c r="G35" s="291">
        <f>VLOOKUP($A35,'Additional Tables'!$A:$I,3,FALSE)</f>
        <v>5.2566442283394348E-2</v>
      </c>
      <c r="H35" s="292">
        <f>VLOOKUP($A35,'Additional Tables'!$A:$I,4,FALSE)</f>
        <v>1.0884256497758748E-2</v>
      </c>
      <c r="I35" s="292">
        <f>VLOOKUP($A35,'Additional Tables'!$A:$I,5,FALSE)</f>
        <v>4.1999999999999997E-3</v>
      </c>
      <c r="J35" s="293">
        <f>VLOOKUP($A35,'Additional Tables'!$A:$I,6,FALSE)</f>
        <v>1.4500000000000001E-2</v>
      </c>
      <c r="K35" s="291">
        <f>VLOOKUP($A35,'Additional Tables'!$A:$I,7,FALSE)</f>
        <v>5.2129542726914974E-2</v>
      </c>
      <c r="L35" s="292">
        <f>VLOOKUP($A35,'Additional Tables'!$A:$I,8,FALSE)</f>
        <v>9.7696768478264407E-3</v>
      </c>
      <c r="M35" s="293">
        <f>VLOOKUP($A35,'Additional Tables'!$A:$I,9,FALSE)</f>
        <v>9.6200842217047527E-3</v>
      </c>
      <c r="N35" s="294">
        <v>3.1042726884657904E-3</v>
      </c>
      <c r="O35" s="291">
        <v>0</v>
      </c>
      <c r="P35" s="295">
        <v>5.216509879874597E-3</v>
      </c>
      <c r="Q35" s="296">
        <v>0</v>
      </c>
      <c r="R35" s="295">
        <v>4.8662513677134112E-3</v>
      </c>
      <c r="S35" s="296">
        <v>0</v>
      </c>
      <c r="T35" s="295">
        <v>1.9402673358207983E-3</v>
      </c>
      <c r="U35" s="296">
        <v>0</v>
      </c>
      <c r="V35" s="295">
        <v>2.1219194429062363E-3</v>
      </c>
      <c r="W35" s="296">
        <v>0</v>
      </c>
      <c r="X35" s="295">
        <v>1.8185580187810365E-3</v>
      </c>
      <c r="Y35" s="296">
        <v>0</v>
      </c>
      <c r="Z35" s="291">
        <v>1.6378028900158263E-3</v>
      </c>
      <c r="AA35" s="297">
        <v>0</v>
      </c>
      <c r="AB35" s="309">
        <v>1</v>
      </c>
      <c r="AD35" s="288" t="s">
        <v>61</v>
      </c>
      <c r="AE35" s="289" t="s">
        <v>36</v>
      </c>
      <c r="AF35" s="299">
        <f t="shared" si="27"/>
        <v>2</v>
      </c>
      <c r="AG35" s="255" t="s">
        <v>64</v>
      </c>
      <c r="AH35" s="299">
        <f t="shared" si="28"/>
        <v>1</v>
      </c>
      <c r="AI35" s="300">
        <f t="shared" si="28"/>
        <v>4</v>
      </c>
      <c r="AJ35" s="301">
        <f t="shared" si="29"/>
        <v>4</v>
      </c>
      <c r="AK35" s="299">
        <f t="shared" si="30"/>
        <v>3</v>
      </c>
      <c r="AL35" s="300">
        <f t="shared" si="31"/>
        <v>4</v>
      </c>
      <c r="AM35" s="301">
        <f t="shared" si="32"/>
        <v>4</v>
      </c>
      <c r="AN35" s="302">
        <f t="shared" si="33"/>
        <v>2</v>
      </c>
      <c r="AO35" s="299">
        <f t="shared" si="34"/>
        <v>3</v>
      </c>
      <c r="AP35" s="303">
        <f t="shared" si="35"/>
        <v>2</v>
      </c>
      <c r="AQ35" s="304">
        <f t="shared" si="36"/>
        <v>3</v>
      </c>
      <c r="AR35" s="303">
        <f t="shared" si="37"/>
        <v>2</v>
      </c>
      <c r="AS35" s="304">
        <f t="shared" si="38"/>
        <v>3</v>
      </c>
      <c r="AT35" s="303">
        <f t="shared" si="39"/>
        <v>1</v>
      </c>
      <c r="AU35" s="304">
        <f t="shared" si="40"/>
        <v>3</v>
      </c>
      <c r="AV35" s="303">
        <f t="shared" si="41"/>
        <v>1</v>
      </c>
      <c r="AW35" s="304">
        <f t="shared" si="42"/>
        <v>1</v>
      </c>
      <c r="AX35" s="303">
        <f t="shared" si="43"/>
        <v>2</v>
      </c>
      <c r="AY35" s="304">
        <f t="shared" si="44"/>
        <v>3</v>
      </c>
      <c r="AZ35" s="299">
        <f t="shared" si="45"/>
        <v>3</v>
      </c>
      <c r="BA35" s="305">
        <f t="shared" si="46"/>
        <v>1</v>
      </c>
      <c r="BB35" s="310"/>
    </row>
    <row r="36" spans="1:54" s="286" customFormat="1" ht="15.75" thickBot="1" x14ac:dyDescent="0.3">
      <c r="A36" s="354"/>
      <c r="B36" s="355"/>
      <c r="C36" s="355"/>
      <c r="D36" s="356">
        <f>SUMIF(AB30:AB35,"&gt;=1",D30:D35)</f>
        <v>300.17977165237824</v>
      </c>
      <c r="E36" s="357"/>
      <c r="F36" s="357"/>
      <c r="G36" s="358">
        <f t="shared" ref="G36:AA36" si="65">SUMIF($AB$30:$AB$35,"&gt;=1",G30:G35)</f>
        <v>0.10142707763684644</v>
      </c>
      <c r="H36" s="359">
        <f t="shared" si="65"/>
        <v>5.0321639977196853E-2</v>
      </c>
      <c r="I36" s="359">
        <f t="shared" si="65"/>
        <v>2.4999999999999998E-2</v>
      </c>
      <c r="J36" s="360">
        <f t="shared" si="65"/>
        <v>8.1699999999999995E-2</v>
      </c>
      <c r="K36" s="358">
        <f t="shared" si="65"/>
        <v>0.16413214412194552</v>
      </c>
      <c r="L36" s="359">
        <f t="shared" si="65"/>
        <v>4.8962674659518278E-2</v>
      </c>
      <c r="M36" s="360">
        <f t="shared" si="65"/>
        <v>4.788610895904611E-2</v>
      </c>
      <c r="N36" s="361">
        <f t="shared" si="65"/>
        <v>6.9759148646870066E-3</v>
      </c>
      <c r="O36" s="358">
        <f t="shared" si="65"/>
        <v>4.203459888749975E-5</v>
      </c>
      <c r="P36" s="362">
        <f t="shared" si="65"/>
        <v>8.91316884784547E-3</v>
      </c>
      <c r="Q36" s="363">
        <f t="shared" si="65"/>
        <v>7.1575245954743366E-5</v>
      </c>
      <c r="R36" s="362">
        <f t="shared" si="65"/>
        <v>1.0129844894426303E-2</v>
      </c>
      <c r="S36" s="363">
        <f t="shared" si="65"/>
        <v>1.2999408237210656E-4</v>
      </c>
      <c r="T36" s="362">
        <f t="shared" si="65"/>
        <v>3.1651997133133399E-3</v>
      </c>
      <c r="U36" s="363">
        <f t="shared" si="65"/>
        <v>5.9227674293369222E-5</v>
      </c>
      <c r="V36" s="362">
        <f t="shared" si="65"/>
        <v>3.2993419447757029E-3</v>
      </c>
      <c r="W36" s="363">
        <f t="shared" si="65"/>
        <v>0</v>
      </c>
      <c r="X36" s="362">
        <f t="shared" si="65"/>
        <v>3.2653194544768351E-3</v>
      </c>
      <c r="Y36" s="363">
        <f t="shared" si="65"/>
        <v>3.128498529564351E-5</v>
      </c>
      <c r="Z36" s="358">
        <f t="shared" si="65"/>
        <v>4.4488159661576192E-3</v>
      </c>
      <c r="AA36" s="364">
        <f t="shared" si="65"/>
        <v>0</v>
      </c>
      <c r="AB36" s="365">
        <f>COUNTIF(AB30:AB35,"&gt;0")</f>
        <v>4</v>
      </c>
      <c r="AD36" s="354"/>
      <c r="AE36" s="355"/>
      <c r="AF36" s="356"/>
      <c r="AG36" s="357"/>
      <c r="AH36" s="358"/>
      <c r="AI36" s="359"/>
      <c r="AJ36" s="360"/>
      <c r="AK36" s="358"/>
      <c r="AL36" s="359"/>
      <c r="AM36" s="360"/>
      <c r="AN36" s="361"/>
      <c r="AO36" s="358"/>
      <c r="AP36" s="362"/>
      <c r="AQ36" s="363"/>
      <c r="AR36" s="362"/>
      <c r="AS36" s="363"/>
      <c r="AT36" s="362"/>
      <c r="AU36" s="363"/>
      <c r="AV36" s="362"/>
      <c r="AW36" s="363"/>
      <c r="AX36" s="362"/>
      <c r="AY36" s="363"/>
      <c r="AZ36" s="358"/>
      <c r="BA36" s="364"/>
      <c r="BB36" s="366"/>
    </row>
    <row r="37" spans="1:54" s="286" customFormat="1" ht="15.75" thickBot="1" x14ac:dyDescent="0.3">
      <c r="A37" s="288"/>
      <c r="B37" s="289"/>
      <c r="C37" s="289"/>
      <c r="D37" s="290"/>
      <c r="E37" s="255"/>
      <c r="F37" s="255"/>
      <c r="G37" s="291"/>
      <c r="H37" s="292"/>
      <c r="I37" s="292"/>
      <c r="J37" s="293"/>
      <c r="K37" s="291"/>
      <c r="L37" s="292"/>
      <c r="M37" s="293"/>
      <c r="N37" s="294"/>
      <c r="O37" s="291"/>
      <c r="P37" s="295"/>
      <c r="Q37" s="296"/>
      <c r="R37" s="295"/>
      <c r="S37" s="296"/>
      <c r="T37" s="295"/>
      <c r="U37" s="296"/>
      <c r="V37" s="295"/>
      <c r="W37" s="296"/>
      <c r="X37" s="295"/>
      <c r="Y37" s="296"/>
      <c r="Z37" s="291"/>
      <c r="AA37" s="297"/>
      <c r="AB37" s="254"/>
      <c r="AD37" s="288"/>
      <c r="AE37" s="289"/>
      <c r="AF37" s="290"/>
      <c r="AG37" s="255"/>
      <c r="AH37" s="291"/>
      <c r="AI37" s="292"/>
      <c r="AJ37" s="293"/>
      <c r="AK37" s="291"/>
      <c r="AL37" s="292"/>
      <c r="AM37" s="293"/>
      <c r="AN37" s="294"/>
      <c r="AO37" s="291"/>
      <c r="AP37" s="295"/>
      <c r="AQ37" s="296"/>
      <c r="AR37" s="295"/>
      <c r="AS37" s="296"/>
      <c r="AT37" s="295"/>
      <c r="AU37" s="296"/>
      <c r="AV37" s="295"/>
      <c r="AW37" s="296"/>
      <c r="AX37" s="295"/>
      <c r="AY37" s="296"/>
      <c r="AZ37" s="291"/>
      <c r="BA37" s="297"/>
    </row>
    <row r="38" spans="1:54" s="286" customFormat="1" ht="15.75" thickBot="1" x14ac:dyDescent="0.3">
      <c r="A38" s="91" t="s">
        <v>69</v>
      </c>
      <c r="B38" s="92"/>
      <c r="C38" s="92"/>
      <c r="D38" s="93"/>
      <c r="E38" s="94"/>
      <c r="F38" s="94"/>
      <c r="G38" s="92"/>
      <c r="H38" s="93"/>
      <c r="I38" s="93"/>
      <c r="J38" s="95"/>
      <c r="K38" s="92"/>
      <c r="L38" s="93"/>
      <c r="M38" s="95"/>
      <c r="N38" s="91"/>
      <c r="O38" s="92"/>
      <c r="P38" s="96"/>
      <c r="Q38" s="97"/>
      <c r="R38" s="96"/>
      <c r="S38" s="97"/>
      <c r="T38" s="96"/>
      <c r="U38" s="97"/>
      <c r="V38" s="96"/>
      <c r="W38" s="97"/>
      <c r="X38" s="96"/>
      <c r="Y38" s="97"/>
      <c r="Z38" s="92"/>
      <c r="AA38" s="94"/>
      <c r="AB38" s="323" t="s">
        <v>89</v>
      </c>
      <c r="AD38" s="91" t="s">
        <v>69</v>
      </c>
      <c r="AE38" s="92"/>
      <c r="AF38" s="93"/>
      <c r="AG38" s="94"/>
      <c r="AH38" s="92"/>
      <c r="AI38" s="93"/>
      <c r="AJ38" s="95"/>
      <c r="AK38" s="92"/>
      <c r="AL38" s="93"/>
      <c r="AM38" s="95"/>
      <c r="AN38" s="91"/>
      <c r="AO38" s="92"/>
      <c r="AP38" s="96"/>
      <c r="AQ38" s="97"/>
      <c r="AR38" s="96"/>
      <c r="AS38" s="97"/>
      <c r="AT38" s="96"/>
      <c r="AU38" s="97"/>
      <c r="AV38" s="96"/>
      <c r="AW38" s="97"/>
      <c r="AX38" s="96"/>
      <c r="AY38" s="97"/>
      <c r="AZ38" s="92"/>
      <c r="BA38" s="94"/>
      <c r="BB38" s="287" t="s">
        <v>70</v>
      </c>
    </row>
    <row r="39" spans="1:54" s="286" customFormat="1" x14ac:dyDescent="0.25">
      <c r="A39" s="367" t="s">
        <v>40</v>
      </c>
      <c r="B39" s="368" t="s">
        <v>36</v>
      </c>
      <c r="C39" s="368" t="s">
        <v>178</v>
      </c>
      <c r="D39" s="369">
        <f>VLOOKUP($A39,'Total Areas'!A:D,4,FALSE)</f>
        <v>85.373403217248836</v>
      </c>
      <c r="E39" s="252" t="s">
        <v>65</v>
      </c>
      <c r="F39" s="252" t="s">
        <v>138</v>
      </c>
      <c r="G39" s="370">
        <f>VLOOKUP($A39,'Additional Tables'!$A:$I,3,FALSE)</f>
        <v>1.1134751223492093E-2</v>
      </c>
      <c r="H39" s="371">
        <f>VLOOKUP($A39,'Additional Tables'!$A:$I,4,FALSE)</f>
        <v>2.4623359797757861E-2</v>
      </c>
      <c r="I39" s="371">
        <f>VLOOKUP($A39,'Additional Tables'!$A:$I,5,FALSE)</f>
        <v>4.7999999999999996E-3</v>
      </c>
      <c r="J39" s="372">
        <f>VLOOKUP($A39,'Additional Tables'!$A:$I,6,FALSE)</f>
        <v>1.1299999999999999E-2</v>
      </c>
      <c r="K39" s="370">
        <f>VLOOKUP($A39,'Additional Tables'!$A:$I,7,FALSE)</f>
        <v>7.0241969829890186E-2</v>
      </c>
      <c r="L39" s="371">
        <f>VLOOKUP($A39,'Additional Tables'!$A:$I,8,FALSE)</f>
        <v>2.565485528054039E-2</v>
      </c>
      <c r="M39" s="372">
        <f>VLOOKUP($A39,'Additional Tables'!$A:$I,9,FALSE)</f>
        <v>2.7987620096284454E-2</v>
      </c>
      <c r="N39" s="373">
        <v>2.2151030190055163E-3</v>
      </c>
      <c r="O39" s="370">
        <v>0</v>
      </c>
      <c r="P39" s="374">
        <v>2.7355718376715151E-3</v>
      </c>
      <c r="Q39" s="375">
        <v>7.3218195163591085E-4</v>
      </c>
      <c r="R39" s="374">
        <v>1.2758749019533507E-3</v>
      </c>
      <c r="S39" s="375">
        <v>1.7661257467511862E-4</v>
      </c>
      <c r="T39" s="374">
        <v>1.2109959800641989E-3</v>
      </c>
      <c r="U39" s="375">
        <v>2.2493477779657869E-3</v>
      </c>
      <c r="V39" s="374">
        <v>1.368056485100469E-3</v>
      </c>
      <c r="W39" s="375">
        <v>0</v>
      </c>
      <c r="X39" s="374">
        <v>3.2471279542482145E-4</v>
      </c>
      <c r="Y39" s="375">
        <v>7.3150391660328393E-4</v>
      </c>
      <c r="Z39" s="370">
        <v>2.1744258450579114E-4</v>
      </c>
      <c r="AA39" s="376">
        <v>4.1392705506087618E-5</v>
      </c>
      <c r="AB39" s="331">
        <v>1</v>
      </c>
      <c r="AD39" s="367" t="s">
        <v>40</v>
      </c>
      <c r="AE39" s="368" t="s">
        <v>36</v>
      </c>
      <c r="AF39" s="377">
        <f t="shared" ref="AF39:AF47" si="66">RANK(D39,D$39:D$47,1)</f>
        <v>5</v>
      </c>
      <c r="AG39" s="252" t="s">
        <v>65</v>
      </c>
      <c r="AH39" s="377" t="e">
        <f t="shared" ref="AH39:AH47" si="67">RANK(G39,G$39:G$47)</f>
        <v>#N/A</v>
      </c>
      <c r="AI39" s="378" t="e">
        <f t="shared" ref="AI39:AI47" si="68">RANK(H39,H$39:H$47)</f>
        <v>#N/A</v>
      </c>
      <c r="AJ39" s="379" t="e">
        <f t="shared" ref="AJ39:AJ47" si="69">RANK(J39,J$39:J$47)</f>
        <v>#N/A</v>
      </c>
      <c r="AK39" s="377" t="e">
        <f t="shared" ref="AK39:AK47" si="70">RANK(K39,K$39:K$47)</f>
        <v>#N/A</v>
      </c>
      <c r="AL39" s="378" t="e">
        <f t="shared" ref="AL39:AL47" si="71">RANK(L39,L$39:L$47)</f>
        <v>#N/A</v>
      </c>
      <c r="AM39" s="379" t="e">
        <f t="shared" ref="AM39:AM47" si="72">RANK(M39,M$39:M$47)</f>
        <v>#N/A</v>
      </c>
      <c r="AN39" s="380">
        <f t="shared" ref="AN39:AN47" si="73">RANK(N39,N$39:N$47)</f>
        <v>1</v>
      </c>
      <c r="AO39" s="377">
        <f t="shared" ref="AO39:AO47" si="74">RANK(O39,O$39:O$47)</f>
        <v>2</v>
      </c>
      <c r="AP39" s="381">
        <f t="shared" ref="AP39:AP47" si="75">RANK(P39,P$39:P$47)</f>
        <v>1</v>
      </c>
      <c r="AQ39" s="382">
        <f t="shared" ref="AQ39:AQ47" si="76">RANK(Q39,Q$39:Q$47)</f>
        <v>1</v>
      </c>
      <c r="AR39" s="381">
        <f t="shared" ref="AR39:AR47" si="77">RANK(R39,R$39:R$47)</f>
        <v>2</v>
      </c>
      <c r="AS39" s="382">
        <f t="shared" ref="AS39:AS47" si="78">RANK(S39,S$39:S$47)</f>
        <v>1</v>
      </c>
      <c r="AT39" s="381">
        <f t="shared" ref="AT39:AT47" si="79">RANK(T39,T$39:T$47)</f>
        <v>2</v>
      </c>
      <c r="AU39" s="382">
        <f t="shared" ref="AU39:AU47" si="80">RANK(U39,U$39:U$47)</f>
        <v>1</v>
      </c>
      <c r="AV39" s="381">
        <f t="shared" ref="AV39:AV47" si="81">RANK(V39,V$39:V$47)</f>
        <v>1</v>
      </c>
      <c r="AW39" s="382">
        <f t="shared" ref="AW39:AW47" si="82">RANK(W39,W$39:W$47)</f>
        <v>1</v>
      </c>
      <c r="AX39" s="381">
        <f t="shared" ref="AX39:AX47" si="83">RANK(X39,X$39:X$47)</f>
        <v>2</v>
      </c>
      <c r="AY39" s="382">
        <f t="shared" ref="AY39:AY47" si="84">RANK(Y39,Y$39:Y$47)</f>
        <v>1</v>
      </c>
      <c r="AZ39" s="377">
        <f t="shared" ref="AZ39:AZ47" si="85">RANK(Z39,Z$39:Z$47)</f>
        <v>1</v>
      </c>
      <c r="BA39" s="383">
        <f t="shared" ref="BA39:BA47" si="86">RANK(AA39,AA$39:AA$47)</f>
        <v>1</v>
      </c>
      <c r="BB39" s="306"/>
    </row>
    <row r="40" spans="1:54" s="286" customFormat="1" x14ac:dyDescent="0.25">
      <c r="A40" s="328" t="s">
        <v>29</v>
      </c>
      <c r="B40" s="324" t="s">
        <v>24</v>
      </c>
      <c r="C40" s="324" t="s">
        <v>24</v>
      </c>
      <c r="D40" s="290">
        <f>VLOOKUP($A40,'Total Areas'!A:D,4,FALSE)</f>
        <v>137.02318723869843</v>
      </c>
      <c r="E40" s="255" t="s">
        <v>65</v>
      </c>
      <c r="F40" s="255" t="s">
        <v>138</v>
      </c>
      <c r="G40" s="325">
        <f>VLOOKUP($A40,'Additional Tables'!$A:$I,3,FALSE)</f>
        <v>2.4552878623141667E-2</v>
      </c>
      <c r="H40" s="326">
        <f>VLOOKUP($A40,'Additional Tables'!$A:$I,4,FALSE)</f>
        <v>1.857982415763211E-2</v>
      </c>
      <c r="I40" s="326">
        <f>VLOOKUP($A40,'Additional Tables'!$A:$I,5,FALSE)</f>
        <v>3.5999999999999999E-3</v>
      </c>
      <c r="J40" s="327">
        <f>VLOOKUP($A40,'Additional Tables'!$A:$I,6,FALSE)</f>
        <v>9.5999999999999992E-3</v>
      </c>
      <c r="K40" s="325">
        <f>VLOOKUP($A40,'Additional Tables'!$A:$I,7,FALSE)</f>
        <v>4.5306587346395227E-2</v>
      </c>
      <c r="L40" s="326">
        <f>VLOOKUP($A40,'Additional Tables'!$A:$I,8,FALSE)</f>
        <v>1.880574040099885E-2</v>
      </c>
      <c r="M40" s="327">
        <f>VLOOKUP($A40,'Additional Tables'!$A:$I,9,FALSE)</f>
        <v>2.5583333035143086E-2</v>
      </c>
      <c r="N40" s="328" t="s">
        <v>26</v>
      </c>
      <c r="O40" s="324" t="s">
        <v>26</v>
      </c>
      <c r="P40" s="329" t="s">
        <v>26</v>
      </c>
      <c r="Q40" s="330" t="s">
        <v>26</v>
      </c>
      <c r="R40" s="329" t="s">
        <v>26</v>
      </c>
      <c r="S40" s="330" t="s">
        <v>26</v>
      </c>
      <c r="T40" s="329" t="s">
        <v>26</v>
      </c>
      <c r="U40" s="330" t="s">
        <v>26</v>
      </c>
      <c r="V40" s="329" t="s">
        <v>26</v>
      </c>
      <c r="W40" s="330" t="s">
        <v>26</v>
      </c>
      <c r="X40" s="329" t="s">
        <v>26</v>
      </c>
      <c r="Y40" s="330" t="s">
        <v>26</v>
      </c>
      <c r="Z40" s="324" t="s">
        <v>26</v>
      </c>
      <c r="AA40" s="308" t="s">
        <v>26</v>
      </c>
      <c r="AB40" s="298">
        <v>1</v>
      </c>
      <c r="AD40" s="328" t="s">
        <v>29</v>
      </c>
      <c r="AE40" s="324" t="s">
        <v>24</v>
      </c>
      <c r="AF40" s="299">
        <f t="shared" si="66"/>
        <v>7</v>
      </c>
      <c r="AG40" s="255" t="s">
        <v>65</v>
      </c>
      <c r="AH40" s="332" t="e">
        <f t="shared" si="67"/>
        <v>#N/A</v>
      </c>
      <c r="AI40" s="333" t="e">
        <f t="shared" si="68"/>
        <v>#N/A</v>
      </c>
      <c r="AJ40" s="334" t="e">
        <f t="shared" si="69"/>
        <v>#N/A</v>
      </c>
      <c r="AK40" s="332" t="e">
        <f t="shared" si="70"/>
        <v>#N/A</v>
      </c>
      <c r="AL40" s="333" t="e">
        <f t="shared" si="71"/>
        <v>#N/A</v>
      </c>
      <c r="AM40" s="334" t="e">
        <f t="shared" si="72"/>
        <v>#N/A</v>
      </c>
      <c r="AN40" s="302"/>
      <c r="AO40" s="299"/>
      <c r="AP40" s="303"/>
      <c r="AQ40" s="304"/>
      <c r="AR40" s="303"/>
      <c r="AS40" s="304"/>
      <c r="AT40" s="303"/>
      <c r="AU40" s="304"/>
      <c r="AV40" s="303"/>
      <c r="AW40" s="304"/>
      <c r="AX40" s="303"/>
      <c r="AY40" s="304"/>
      <c r="AZ40" s="299"/>
      <c r="BA40" s="305"/>
      <c r="BB40" s="307"/>
    </row>
    <row r="41" spans="1:54" s="286" customFormat="1" x14ac:dyDescent="0.25">
      <c r="A41" s="384" t="s">
        <v>92</v>
      </c>
      <c r="B41" s="256" t="s">
        <v>24</v>
      </c>
      <c r="C41" s="256" t="s">
        <v>24</v>
      </c>
      <c r="D41" s="290">
        <f>1032.87-D43</f>
        <v>925.07457039227711</v>
      </c>
      <c r="E41" s="255" t="s">
        <v>65</v>
      </c>
      <c r="F41" s="255" t="s">
        <v>138</v>
      </c>
      <c r="G41" s="325" t="e">
        <f>VLOOKUP($A41,'Additional Tables'!$A:$I,3,FALSE)*2</f>
        <v>#N/A</v>
      </c>
      <c r="H41" s="326" t="e">
        <f>VLOOKUP($A41,'Additional Tables'!$A:$I,4,FALSE)*2</f>
        <v>#N/A</v>
      </c>
      <c r="I41" s="326" t="e">
        <f>VLOOKUP($A41,'Additional Tables'!$A:$I,5,FALSE)*2</f>
        <v>#N/A</v>
      </c>
      <c r="J41" s="327" t="e">
        <f>VLOOKUP($A41,'Additional Tables'!$A:$I,6,FALSE)*2</f>
        <v>#N/A</v>
      </c>
      <c r="K41" s="325" t="e">
        <f>VLOOKUP($A41,'Additional Tables'!$A:$I,7,FALSE)</f>
        <v>#N/A</v>
      </c>
      <c r="L41" s="326" t="e">
        <f>VLOOKUP($A41,'Additional Tables'!$A:$I,8,FALSE)</f>
        <v>#N/A</v>
      </c>
      <c r="M41" s="327" t="e">
        <f>VLOOKUP($A41,'Additional Tables'!$A:$I,9,FALSE)*2</f>
        <v>#N/A</v>
      </c>
      <c r="N41" s="328" t="s">
        <v>26</v>
      </c>
      <c r="O41" s="324" t="s">
        <v>26</v>
      </c>
      <c r="P41" s="329" t="s">
        <v>26</v>
      </c>
      <c r="Q41" s="330" t="s">
        <v>26</v>
      </c>
      <c r="R41" s="329" t="s">
        <v>26</v>
      </c>
      <c r="S41" s="330" t="s">
        <v>26</v>
      </c>
      <c r="T41" s="329" t="s">
        <v>26</v>
      </c>
      <c r="U41" s="330" t="s">
        <v>26</v>
      </c>
      <c r="V41" s="329" t="s">
        <v>26</v>
      </c>
      <c r="W41" s="330" t="s">
        <v>26</v>
      </c>
      <c r="X41" s="329" t="s">
        <v>26</v>
      </c>
      <c r="Y41" s="330" t="s">
        <v>26</v>
      </c>
      <c r="Z41" s="324" t="s">
        <v>26</v>
      </c>
      <c r="AA41" s="308" t="s">
        <v>26</v>
      </c>
      <c r="AB41" s="298">
        <v>1</v>
      </c>
      <c r="AD41" s="384" t="s">
        <v>92</v>
      </c>
      <c r="AE41" s="256" t="s">
        <v>24</v>
      </c>
      <c r="AF41" s="299">
        <f t="shared" si="66"/>
        <v>9</v>
      </c>
      <c r="AG41" s="255" t="s">
        <v>65</v>
      </c>
      <c r="AH41" s="332" t="e">
        <f t="shared" si="67"/>
        <v>#N/A</v>
      </c>
      <c r="AI41" s="333" t="e">
        <f t="shared" si="68"/>
        <v>#N/A</v>
      </c>
      <c r="AJ41" s="334" t="e">
        <f t="shared" si="69"/>
        <v>#N/A</v>
      </c>
      <c r="AK41" s="332" t="e">
        <f t="shared" si="70"/>
        <v>#N/A</v>
      </c>
      <c r="AL41" s="333" t="e">
        <f t="shared" si="71"/>
        <v>#N/A</v>
      </c>
      <c r="AM41" s="334" t="e">
        <f t="shared" si="72"/>
        <v>#N/A</v>
      </c>
      <c r="AN41" s="302"/>
      <c r="AO41" s="299"/>
      <c r="AP41" s="303"/>
      <c r="AQ41" s="304"/>
      <c r="AR41" s="303"/>
      <c r="AS41" s="304"/>
      <c r="AT41" s="303"/>
      <c r="AU41" s="304"/>
      <c r="AV41" s="303"/>
      <c r="AW41" s="304"/>
      <c r="AX41" s="303"/>
      <c r="AY41" s="304"/>
      <c r="AZ41" s="299"/>
      <c r="BA41" s="305"/>
      <c r="BB41" s="307"/>
    </row>
    <row r="42" spans="1:54" s="286" customFormat="1" ht="24.75" x14ac:dyDescent="0.25">
      <c r="A42" s="385" t="s">
        <v>93</v>
      </c>
      <c r="B42" s="289" t="s">
        <v>36</v>
      </c>
      <c r="C42" s="289" t="s">
        <v>181</v>
      </c>
      <c r="D42" s="290">
        <f>724.98-D44-D45</f>
        <v>687.43069920901894</v>
      </c>
      <c r="E42" s="255" t="s">
        <v>65</v>
      </c>
      <c r="F42" s="255" t="s">
        <v>138</v>
      </c>
      <c r="G42" s="291" t="e">
        <f>VLOOKUP($A42,'Additional Tables'!$A:$I,3,FALSE)*2</f>
        <v>#N/A</v>
      </c>
      <c r="H42" s="292" t="e">
        <f>VLOOKUP($A42,'Additional Tables'!$A:$I,4,FALSE)*2</f>
        <v>#N/A</v>
      </c>
      <c r="I42" s="292" t="e">
        <f>VLOOKUP($A42,'Additional Tables'!$A:$I,5,FALSE)*2</f>
        <v>#N/A</v>
      </c>
      <c r="J42" s="293" t="e">
        <f>VLOOKUP($A42,'Additional Tables'!$A:$I,6,FALSE)*2</f>
        <v>#N/A</v>
      </c>
      <c r="K42" s="291" t="e">
        <f>VLOOKUP($A42,'Additional Tables'!$A:$I,7,FALSE)</f>
        <v>#N/A</v>
      </c>
      <c r="L42" s="292" t="e">
        <f>VLOOKUP($A42,'Additional Tables'!$A:$I,8,FALSE)</f>
        <v>#N/A</v>
      </c>
      <c r="M42" s="293" t="e">
        <f>VLOOKUP($A42,'Additional Tables'!$A:$I,9,FALSE)*2</f>
        <v>#N/A</v>
      </c>
      <c r="N42" s="294">
        <v>3.8460945477362906E-5</v>
      </c>
      <c r="O42" s="291">
        <v>5.4769576844117457E-6</v>
      </c>
      <c r="P42" s="295">
        <v>4.0209554403330042E-5</v>
      </c>
      <c r="Q42" s="296">
        <v>2.6231064549352433E-4</v>
      </c>
      <c r="R42" s="295">
        <v>1.4800453878964085E-3</v>
      </c>
      <c r="S42" s="296">
        <v>1.235380506894213E-4</v>
      </c>
      <c r="T42" s="295">
        <v>3.5627937339580543E-2</v>
      </c>
      <c r="U42" s="296">
        <v>4.0900834297394253E-4</v>
      </c>
      <c r="V42" s="295">
        <v>4.1379126153085216E-5</v>
      </c>
      <c r="W42" s="296">
        <v>0</v>
      </c>
      <c r="X42" s="295">
        <v>1.1200876221298956E-3</v>
      </c>
      <c r="Y42" s="296">
        <v>3.0390734690183084E-4</v>
      </c>
      <c r="Z42" s="291">
        <v>2.7246832801358893E-5</v>
      </c>
      <c r="AA42" s="297">
        <v>0</v>
      </c>
      <c r="AB42" s="298">
        <v>1</v>
      </c>
      <c r="AD42" s="385" t="s">
        <v>93</v>
      </c>
      <c r="AE42" s="289" t="s">
        <v>36</v>
      </c>
      <c r="AF42" s="299">
        <f t="shared" si="66"/>
        <v>8</v>
      </c>
      <c r="AG42" s="255" t="s">
        <v>65</v>
      </c>
      <c r="AH42" s="299" t="e">
        <f t="shared" si="67"/>
        <v>#N/A</v>
      </c>
      <c r="AI42" s="300" t="e">
        <f t="shared" si="68"/>
        <v>#N/A</v>
      </c>
      <c r="AJ42" s="301" t="e">
        <f t="shared" si="69"/>
        <v>#N/A</v>
      </c>
      <c r="AK42" s="299" t="e">
        <f t="shared" si="70"/>
        <v>#N/A</v>
      </c>
      <c r="AL42" s="300" t="e">
        <f t="shared" si="71"/>
        <v>#N/A</v>
      </c>
      <c r="AM42" s="301" t="e">
        <f t="shared" si="72"/>
        <v>#N/A</v>
      </c>
      <c r="AN42" s="302">
        <f t="shared" si="73"/>
        <v>4</v>
      </c>
      <c r="AO42" s="299">
        <f t="shared" si="74"/>
        <v>1</v>
      </c>
      <c r="AP42" s="303">
        <f t="shared" si="75"/>
        <v>4</v>
      </c>
      <c r="AQ42" s="304">
        <f t="shared" si="76"/>
        <v>2</v>
      </c>
      <c r="AR42" s="303">
        <f t="shared" si="77"/>
        <v>1</v>
      </c>
      <c r="AS42" s="304">
        <f t="shared" si="78"/>
        <v>2</v>
      </c>
      <c r="AT42" s="303">
        <f t="shared" si="79"/>
        <v>1</v>
      </c>
      <c r="AU42" s="304">
        <f t="shared" si="80"/>
        <v>2</v>
      </c>
      <c r="AV42" s="303">
        <f t="shared" si="81"/>
        <v>4</v>
      </c>
      <c r="AW42" s="304">
        <f t="shared" si="82"/>
        <v>1</v>
      </c>
      <c r="AX42" s="303">
        <f t="shared" si="83"/>
        <v>1</v>
      </c>
      <c r="AY42" s="304">
        <f t="shared" si="84"/>
        <v>2</v>
      </c>
      <c r="AZ42" s="299">
        <f t="shared" si="85"/>
        <v>3</v>
      </c>
      <c r="BA42" s="305">
        <f t="shared" si="86"/>
        <v>2</v>
      </c>
      <c r="BB42" s="307"/>
    </row>
    <row r="43" spans="1:54" s="286" customFormat="1" x14ac:dyDescent="0.25">
      <c r="A43" s="328" t="s">
        <v>31</v>
      </c>
      <c r="B43" s="324" t="s">
        <v>24</v>
      </c>
      <c r="C43" s="324" t="s">
        <v>24</v>
      </c>
      <c r="D43" s="290">
        <f>VLOOKUP($A43,'Total Areas'!A:D,4,FALSE)</f>
        <v>107.79542960772275</v>
      </c>
      <c r="E43" s="255" t="s">
        <v>65</v>
      </c>
      <c r="F43" s="255" t="s">
        <v>138</v>
      </c>
      <c r="G43" s="325">
        <f>VLOOKUP($A43,'Additional Tables'!$A:$I,3,FALSE)</f>
        <v>3.7881820745522932E-2</v>
      </c>
      <c r="H43" s="326">
        <f>VLOOKUP($A43,'Additional Tables'!$A:$I,4,FALSE)</f>
        <v>3.1910452068070951E-2</v>
      </c>
      <c r="I43" s="326">
        <f>VLOOKUP($A43,'Additional Tables'!$A:$I,5,FALSE)</f>
        <v>1.1000000000000001E-3</v>
      </c>
      <c r="J43" s="327">
        <f>VLOOKUP($A43,'Additional Tables'!$A:$I,6,FALSE)</f>
        <v>2.8E-3</v>
      </c>
      <c r="K43" s="325">
        <f>VLOOKUP($A43,'Additional Tables'!$A:$I,7,FALSE)</f>
        <v>2.6125562687460434E-2</v>
      </c>
      <c r="L43" s="326">
        <f>VLOOKUP($A43,'Additional Tables'!$A:$I,8,FALSE)</f>
        <v>3.2569921649179302E-2</v>
      </c>
      <c r="M43" s="327" t="str">
        <f>VLOOKUP($A43,'Additional Tables'!$A:$I,9,FALSE)</f>
        <v>Not eval.</v>
      </c>
      <c r="N43" s="328" t="s">
        <v>26</v>
      </c>
      <c r="O43" s="324" t="s">
        <v>26</v>
      </c>
      <c r="P43" s="329" t="s">
        <v>26</v>
      </c>
      <c r="Q43" s="330" t="s">
        <v>26</v>
      </c>
      <c r="R43" s="329" t="s">
        <v>26</v>
      </c>
      <c r="S43" s="330" t="s">
        <v>26</v>
      </c>
      <c r="T43" s="329" t="s">
        <v>26</v>
      </c>
      <c r="U43" s="330" t="s">
        <v>26</v>
      </c>
      <c r="V43" s="329" t="s">
        <v>26</v>
      </c>
      <c r="W43" s="330" t="s">
        <v>26</v>
      </c>
      <c r="X43" s="329" t="s">
        <v>26</v>
      </c>
      <c r="Y43" s="330" t="s">
        <v>26</v>
      </c>
      <c r="Z43" s="324" t="s">
        <v>26</v>
      </c>
      <c r="AA43" s="308" t="s">
        <v>26</v>
      </c>
      <c r="AB43" s="298">
        <v>1</v>
      </c>
      <c r="AD43" s="328" t="s">
        <v>31</v>
      </c>
      <c r="AE43" s="324" t="s">
        <v>24</v>
      </c>
      <c r="AF43" s="299">
        <f t="shared" si="66"/>
        <v>6</v>
      </c>
      <c r="AG43" s="255" t="s">
        <v>65</v>
      </c>
      <c r="AH43" s="332" t="e">
        <f t="shared" si="67"/>
        <v>#N/A</v>
      </c>
      <c r="AI43" s="333" t="e">
        <f t="shared" si="68"/>
        <v>#N/A</v>
      </c>
      <c r="AJ43" s="334" t="e">
        <f t="shared" si="69"/>
        <v>#N/A</v>
      </c>
      <c r="AK43" s="332" t="e">
        <f t="shared" si="70"/>
        <v>#N/A</v>
      </c>
      <c r="AL43" s="333" t="e">
        <f t="shared" si="71"/>
        <v>#N/A</v>
      </c>
      <c r="AM43" s="334" t="e">
        <f t="shared" si="72"/>
        <v>#VALUE!</v>
      </c>
      <c r="AN43" s="302"/>
      <c r="AO43" s="299"/>
      <c r="AP43" s="303"/>
      <c r="AQ43" s="304"/>
      <c r="AR43" s="303"/>
      <c r="AS43" s="304"/>
      <c r="AT43" s="303"/>
      <c r="AU43" s="304"/>
      <c r="AV43" s="303"/>
      <c r="AW43" s="304"/>
      <c r="AX43" s="303"/>
      <c r="AY43" s="304"/>
      <c r="AZ43" s="299"/>
      <c r="BA43" s="305"/>
      <c r="BB43" s="307"/>
    </row>
    <row r="44" spans="1:54" s="286" customFormat="1" x14ac:dyDescent="0.25">
      <c r="A44" s="288" t="s">
        <v>86</v>
      </c>
      <c r="B44" s="289" t="s">
        <v>36</v>
      </c>
      <c r="C44" s="289" t="s">
        <v>178</v>
      </c>
      <c r="D44" s="290">
        <f>VLOOKUP($A44,'Total Areas'!A:D,4,FALSE)</f>
        <v>26.593810021275132</v>
      </c>
      <c r="E44" s="255" t="s">
        <v>65</v>
      </c>
      <c r="F44" s="255" t="s">
        <v>138</v>
      </c>
      <c r="G44" s="291">
        <f>VLOOKUP($A44,'Additional Tables'!$A:$I,3,FALSE)</f>
        <v>1.5117875845340132E-2</v>
      </c>
      <c r="H44" s="292">
        <f>VLOOKUP($A44,'Additional Tables'!$A:$I,4,FALSE)</f>
        <v>7.5757611770023167E-3</v>
      </c>
      <c r="I44" s="292">
        <f>VLOOKUP($A44,'Additional Tables'!$A:$I,5,FALSE)</f>
        <v>1E-3</v>
      </c>
      <c r="J44" s="293">
        <f>VLOOKUP($A44,'Additional Tables'!$A:$I,6,FALSE)</f>
        <v>1.1999999999999999E-3</v>
      </c>
      <c r="K44" s="291">
        <f>VLOOKUP($A44,'Additional Tables'!$A:$I,7,FALSE)</f>
        <v>0</v>
      </c>
      <c r="L44" s="292">
        <f>VLOOKUP($A44,'Additional Tables'!$A:$I,8,FALSE)</f>
        <v>7.0378290763373286E-3</v>
      </c>
      <c r="M44" s="293">
        <f>VLOOKUP($A44,'Additional Tables'!$A:$I,9,FALSE)</f>
        <v>5.5096031027057442E-3</v>
      </c>
      <c r="N44" s="294">
        <v>5.5979299856661627E-7</v>
      </c>
      <c r="O44" s="291">
        <v>0</v>
      </c>
      <c r="P44" s="295">
        <v>4.4617969372386121E-7</v>
      </c>
      <c r="Q44" s="296">
        <v>4.6713805398627935E-5</v>
      </c>
      <c r="R44" s="295">
        <v>3.1909988467566142E-5</v>
      </c>
      <c r="S44" s="296">
        <v>0</v>
      </c>
      <c r="T44" s="295">
        <v>1.0895369221981537E-3</v>
      </c>
      <c r="U44" s="296">
        <v>0</v>
      </c>
      <c r="V44" s="295">
        <v>3.3879325919507012E-5</v>
      </c>
      <c r="W44" s="296">
        <v>0</v>
      </c>
      <c r="X44" s="295">
        <v>1.9656010757284125E-5</v>
      </c>
      <c r="Y44" s="296">
        <v>4.5244565472050367E-6</v>
      </c>
      <c r="Z44" s="291">
        <v>5.7215313768130211E-7</v>
      </c>
      <c r="AA44" s="297">
        <v>0</v>
      </c>
      <c r="AB44" s="298">
        <v>1</v>
      </c>
      <c r="AD44" s="288" t="s">
        <v>86</v>
      </c>
      <c r="AE44" s="289" t="s">
        <v>36</v>
      </c>
      <c r="AF44" s="299">
        <f t="shared" si="66"/>
        <v>3</v>
      </c>
      <c r="AG44" s="255" t="s">
        <v>65</v>
      </c>
      <c r="AH44" s="299" t="e">
        <f t="shared" si="67"/>
        <v>#N/A</v>
      </c>
      <c r="AI44" s="300" t="e">
        <f t="shared" si="68"/>
        <v>#N/A</v>
      </c>
      <c r="AJ44" s="301" t="e">
        <f t="shared" si="69"/>
        <v>#N/A</v>
      </c>
      <c r="AK44" s="299" t="e">
        <f t="shared" si="70"/>
        <v>#N/A</v>
      </c>
      <c r="AL44" s="300" t="e">
        <f t="shared" si="71"/>
        <v>#N/A</v>
      </c>
      <c r="AM44" s="301" t="e">
        <f t="shared" si="72"/>
        <v>#N/A</v>
      </c>
      <c r="AN44" s="302">
        <f t="shared" si="73"/>
        <v>5</v>
      </c>
      <c r="AO44" s="299">
        <f t="shared" si="74"/>
        <v>2</v>
      </c>
      <c r="AP44" s="303">
        <f t="shared" si="75"/>
        <v>5</v>
      </c>
      <c r="AQ44" s="304">
        <f t="shared" si="76"/>
        <v>3</v>
      </c>
      <c r="AR44" s="303">
        <f t="shared" si="77"/>
        <v>5</v>
      </c>
      <c r="AS44" s="304">
        <f t="shared" si="78"/>
        <v>4</v>
      </c>
      <c r="AT44" s="303">
        <f t="shared" si="79"/>
        <v>3</v>
      </c>
      <c r="AU44" s="304">
        <f t="shared" si="80"/>
        <v>4</v>
      </c>
      <c r="AV44" s="303">
        <f t="shared" si="81"/>
        <v>5</v>
      </c>
      <c r="AW44" s="304">
        <f t="shared" si="82"/>
        <v>1</v>
      </c>
      <c r="AX44" s="303">
        <f t="shared" si="83"/>
        <v>5</v>
      </c>
      <c r="AY44" s="304">
        <f t="shared" si="84"/>
        <v>4</v>
      </c>
      <c r="AZ44" s="299">
        <f t="shared" si="85"/>
        <v>5</v>
      </c>
      <c r="BA44" s="305">
        <f t="shared" si="86"/>
        <v>2</v>
      </c>
      <c r="BB44" s="307"/>
    </row>
    <row r="45" spans="1:54" s="286" customFormat="1" x14ac:dyDescent="0.25">
      <c r="A45" s="288" t="s">
        <v>87</v>
      </c>
      <c r="B45" s="289" t="s">
        <v>36</v>
      </c>
      <c r="C45" s="289" t="s">
        <v>178</v>
      </c>
      <c r="D45" s="290">
        <f>VLOOKUP($A45,'Total Areas'!A:D,4,FALSE)</f>
        <v>10.955490769705944</v>
      </c>
      <c r="E45" s="255" t="s">
        <v>65</v>
      </c>
      <c r="F45" s="255" t="s">
        <v>138</v>
      </c>
      <c r="G45" s="291">
        <f>VLOOKUP($A45,'Additional Tables'!$A:$I,3,FALSE)</f>
        <v>1.790107590632594E-2</v>
      </c>
      <c r="H45" s="292">
        <f>VLOOKUP($A45,'Additional Tables'!$A:$I,4,FALSE)</f>
        <v>3.0566865639211171E-3</v>
      </c>
      <c r="I45" s="292">
        <f>VLOOKUP($A45,'Additional Tables'!$A:$I,5,FALSE)</f>
        <v>5.0000000000000001E-4</v>
      </c>
      <c r="J45" s="293">
        <f>VLOOKUP($A45,'Additional Tables'!$A:$I,6,FALSE)</f>
        <v>8.0000000000000004E-4</v>
      </c>
      <c r="K45" s="291">
        <f>VLOOKUP($A45,'Additional Tables'!$A:$I,7,FALSE)</f>
        <v>7.7625383575201545E-2</v>
      </c>
      <c r="L45" s="292">
        <f>VLOOKUP($A45,'Additional Tables'!$A:$I,8,FALSE)</f>
        <v>3.1198568318818645E-3</v>
      </c>
      <c r="M45" s="293">
        <f>VLOOKUP($A45,'Additional Tables'!$A:$I,9,FALSE)</f>
        <v>2.159889493265608E-3</v>
      </c>
      <c r="N45" s="294">
        <v>1.8487999222885877E-7</v>
      </c>
      <c r="O45" s="291">
        <v>0</v>
      </c>
      <c r="P45" s="295">
        <v>1.6870742079365538E-7</v>
      </c>
      <c r="Q45" s="296">
        <v>3.5654224910055025E-5</v>
      </c>
      <c r="R45" s="295">
        <v>1.7469789130747369E-5</v>
      </c>
      <c r="S45" s="296">
        <v>8.2702146939506622E-6</v>
      </c>
      <c r="T45" s="295">
        <v>4.8474732723400297E-4</v>
      </c>
      <c r="U45" s="296">
        <v>8.3167286823959439E-5</v>
      </c>
      <c r="V45" s="295">
        <v>1.3341853808987373E-5</v>
      </c>
      <c r="W45" s="296">
        <v>0</v>
      </c>
      <c r="X45" s="295">
        <v>9.3045953463722791E-6</v>
      </c>
      <c r="Y45" s="296">
        <v>4.7442546399185863E-5</v>
      </c>
      <c r="Z45" s="291">
        <v>1.0754293773155371E-7</v>
      </c>
      <c r="AA45" s="297">
        <v>0</v>
      </c>
      <c r="AB45" s="298">
        <v>1</v>
      </c>
      <c r="AD45" s="288" t="s">
        <v>87</v>
      </c>
      <c r="AE45" s="289" t="s">
        <v>36</v>
      </c>
      <c r="AF45" s="299">
        <f t="shared" si="66"/>
        <v>1</v>
      </c>
      <c r="AG45" s="255" t="s">
        <v>65</v>
      </c>
      <c r="AH45" s="299" t="e">
        <f t="shared" si="67"/>
        <v>#N/A</v>
      </c>
      <c r="AI45" s="300" t="e">
        <f t="shared" si="68"/>
        <v>#N/A</v>
      </c>
      <c r="AJ45" s="301" t="e">
        <f t="shared" si="69"/>
        <v>#N/A</v>
      </c>
      <c r="AK45" s="299" t="e">
        <f t="shared" si="70"/>
        <v>#N/A</v>
      </c>
      <c r="AL45" s="300" t="e">
        <f t="shared" si="71"/>
        <v>#N/A</v>
      </c>
      <c r="AM45" s="301" t="e">
        <f t="shared" si="72"/>
        <v>#N/A</v>
      </c>
      <c r="AN45" s="302">
        <f t="shared" si="73"/>
        <v>6</v>
      </c>
      <c r="AO45" s="299">
        <f t="shared" si="74"/>
        <v>2</v>
      </c>
      <c r="AP45" s="303">
        <f t="shared" si="75"/>
        <v>6</v>
      </c>
      <c r="AQ45" s="304">
        <f t="shared" si="76"/>
        <v>4</v>
      </c>
      <c r="AR45" s="303">
        <f t="shared" si="77"/>
        <v>6</v>
      </c>
      <c r="AS45" s="304">
        <f t="shared" si="78"/>
        <v>3</v>
      </c>
      <c r="AT45" s="303">
        <f t="shared" si="79"/>
        <v>6</v>
      </c>
      <c r="AU45" s="304">
        <f t="shared" si="80"/>
        <v>3</v>
      </c>
      <c r="AV45" s="303">
        <f t="shared" si="81"/>
        <v>6</v>
      </c>
      <c r="AW45" s="304">
        <f t="shared" si="82"/>
        <v>1</v>
      </c>
      <c r="AX45" s="303">
        <f t="shared" si="83"/>
        <v>6</v>
      </c>
      <c r="AY45" s="304">
        <f t="shared" si="84"/>
        <v>3</v>
      </c>
      <c r="AZ45" s="299">
        <f t="shared" si="85"/>
        <v>6</v>
      </c>
      <c r="BA45" s="305">
        <f t="shared" si="86"/>
        <v>2</v>
      </c>
      <c r="BB45" s="307"/>
    </row>
    <row r="46" spans="1:54" s="286" customFormat="1" x14ac:dyDescent="0.25">
      <c r="A46" s="288" t="s">
        <v>58</v>
      </c>
      <c r="B46" s="289" t="s">
        <v>36</v>
      </c>
      <c r="C46" s="289" t="s">
        <v>178</v>
      </c>
      <c r="D46" s="290">
        <f>VLOOKUP($A46,'Total Areas'!A:D,4,FALSE)</f>
        <v>32.083536191323411</v>
      </c>
      <c r="E46" s="255" t="s">
        <v>65</v>
      </c>
      <c r="F46" s="255" t="s">
        <v>138</v>
      </c>
      <c r="G46" s="291">
        <f>VLOOKUP($A46,'Additional Tables'!$A:$I,3,FALSE)</f>
        <v>1.9182468888244507E-2</v>
      </c>
      <c r="H46" s="292">
        <f>VLOOKUP($A46,'Additional Tables'!$A:$I,4,FALSE)</f>
        <v>6.5851433844833504E-3</v>
      </c>
      <c r="I46" s="292">
        <f>VLOOKUP($A46,'Additional Tables'!$A:$I,5,FALSE)</f>
        <v>1.5E-3</v>
      </c>
      <c r="J46" s="293">
        <f>VLOOKUP($A46,'Additional Tables'!$A:$I,6,FALSE)</f>
        <v>4.4999999999999997E-3</v>
      </c>
      <c r="K46" s="291">
        <f>VLOOKUP($A46,'Additional Tables'!$A:$I,7,FALSE)</f>
        <v>9.1729866012096192E-2</v>
      </c>
      <c r="L46" s="292">
        <f>VLOOKUP($A46,'Additional Tables'!$A:$I,8,FALSE)</f>
        <v>6.1568585278571827E-3</v>
      </c>
      <c r="M46" s="293">
        <f>VLOOKUP($A46,'Additional Tables'!$A:$I,9,FALSE)</f>
        <v>1.0458699993903453E-2</v>
      </c>
      <c r="N46" s="294">
        <v>7.9450256701903631E-4</v>
      </c>
      <c r="O46" s="291">
        <v>0</v>
      </c>
      <c r="P46" s="295">
        <v>9.3103700762460159E-4</v>
      </c>
      <c r="Q46" s="296">
        <v>0</v>
      </c>
      <c r="R46" s="295">
        <v>4.7230828212106729E-4</v>
      </c>
      <c r="S46" s="296">
        <v>0</v>
      </c>
      <c r="T46" s="295">
        <v>7.3732352747529328E-4</v>
      </c>
      <c r="U46" s="296">
        <v>0</v>
      </c>
      <c r="V46" s="295">
        <v>5.2428676533091388E-4</v>
      </c>
      <c r="W46" s="296">
        <v>0</v>
      </c>
      <c r="X46" s="295">
        <v>1.1669075079947466E-4</v>
      </c>
      <c r="Y46" s="296">
        <v>0</v>
      </c>
      <c r="Z46" s="291">
        <v>8.6869411000702396E-5</v>
      </c>
      <c r="AA46" s="297">
        <v>0</v>
      </c>
      <c r="AB46" s="298">
        <v>1</v>
      </c>
      <c r="AD46" s="288" t="s">
        <v>58</v>
      </c>
      <c r="AE46" s="289" t="s">
        <v>36</v>
      </c>
      <c r="AF46" s="299">
        <f t="shared" si="66"/>
        <v>4</v>
      </c>
      <c r="AG46" s="255" t="s">
        <v>65</v>
      </c>
      <c r="AH46" s="299" t="e">
        <f t="shared" si="67"/>
        <v>#N/A</v>
      </c>
      <c r="AI46" s="300" t="e">
        <f t="shared" si="68"/>
        <v>#N/A</v>
      </c>
      <c r="AJ46" s="301" t="e">
        <f t="shared" si="69"/>
        <v>#N/A</v>
      </c>
      <c r="AK46" s="299" t="e">
        <f t="shared" si="70"/>
        <v>#N/A</v>
      </c>
      <c r="AL46" s="300" t="e">
        <f t="shared" si="71"/>
        <v>#N/A</v>
      </c>
      <c r="AM46" s="301" t="e">
        <f t="shared" si="72"/>
        <v>#N/A</v>
      </c>
      <c r="AN46" s="302">
        <f t="shared" si="73"/>
        <v>2</v>
      </c>
      <c r="AO46" s="299">
        <f t="shared" si="74"/>
        <v>2</v>
      </c>
      <c r="AP46" s="303">
        <f t="shared" si="75"/>
        <v>2</v>
      </c>
      <c r="AQ46" s="304">
        <f t="shared" si="76"/>
        <v>5</v>
      </c>
      <c r="AR46" s="303">
        <f t="shared" si="77"/>
        <v>3</v>
      </c>
      <c r="AS46" s="304">
        <f t="shared" si="78"/>
        <v>4</v>
      </c>
      <c r="AT46" s="303">
        <f t="shared" si="79"/>
        <v>5</v>
      </c>
      <c r="AU46" s="304">
        <f t="shared" si="80"/>
        <v>4</v>
      </c>
      <c r="AV46" s="303">
        <f t="shared" si="81"/>
        <v>2</v>
      </c>
      <c r="AW46" s="304">
        <f t="shared" si="82"/>
        <v>1</v>
      </c>
      <c r="AX46" s="303">
        <f t="shared" si="83"/>
        <v>3</v>
      </c>
      <c r="AY46" s="304">
        <f t="shared" si="84"/>
        <v>5</v>
      </c>
      <c r="AZ46" s="299">
        <f t="shared" si="85"/>
        <v>2</v>
      </c>
      <c r="BA46" s="305">
        <f t="shared" si="86"/>
        <v>2</v>
      </c>
      <c r="BB46" s="307"/>
    </row>
    <row r="47" spans="1:54" s="286" customFormat="1" ht="15.75" thickBot="1" x14ac:dyDescent="0.3">
      <c r="A47" s="337" t="s">
        <v>59</v>
      </c>
      <c r="B47" s="338" t="s">
        <v>36</v>
      </c>
      <c r="C47" s="338" t="s">
        <v>178</v>
      </c>
      <c r="D47" s="339">
        <f>VLOOKUP($A47,'Total Areas'!A:D,4,FALSE)</f>
        <v>13.762464268752073</v>
      </c>
      <c r="E47" s="281" t="s">
        <v>65</v>
      </c>
      <c r="F47" s="281" t="s">
        <v>138</v>
      </c>
      <c r="G47" s="340">
        <f>VLOOKUP($A47,'Additional Tables'!$A:$I,3,FALSE)</f>
        <v>8.7131625781790342E-3</v>
      </c>
      <c r="H47" s="341">
        <f>VLOOKUP($A47,'Additional Tables'!$A:$I,4,FALSE)</f>
        <v>2.0693833240171839E-3</v>
      </c>
      <c r="I47" s="341">
        <f>VLOOKUP($A47,'Additional Tables'!$A:$I,5,FALSE)</f>
        <v>6.9999999999999999E-4</v>
      </c>
      <c r="J47" s="342">
        <f>VLOOKUP($A47,'Additional Tables'!$A:$I,6,FALSE)</f>
        <v>5.0000000000000001E-4</v>
      </c>
      <c r="K47" s="340">
        <f>VLOOKUP($A47,'Additional Tables'!$A:$I,7,FALSE)</f>
        <v>1.0370963400303463E-2</v>
      </c>
      <c r="L47" s="341">
        <f>VLOOKUP($A47,'Additional Tables'!$A:$I,8,FALSE)</f>
        <v>1.8217472153483441E-3</v>
      </c>
      <c r="M47" s="342">
        <f>VLOOKUP($A47,'Additional Tables'!$A:$I,9,FALSE)</f>
        <v>2.0272969472756369E-3</v>
      </c>
      <c r="N47" s="343">
        <v>1.5966129668985374E-4</v>
      </c>
      <c r="O47" s="340">
        <v>0</v>
      </c>
      <c r="P47" s="344">
        <v>1.5196343789863889E-4</v>
      </c>
      <c r="Q47" s="345">
        <v>0</v>
      </c>
      <c r="R47" s="344">
        <v>6.3502696389910841E-5</v>
      </c>
      <c r="S47" s="345">
        <v>0</v>
      </c>
      <c r="T47" s="344">
        <v>9.6016932309259226E-4</v>
      </c>
      <c r="U47" s="345">
        <v>0</v>
      </c>
      <c r="V47" s="344">
        <v>1.0501975800528849E-4</v>
      </c>
      <c r="W47" s="345">
        <v>0</v>
      </c>
      <c r="X47" s="344">
        <v>4.5187919731586429E-5</v>
      </c>
      <c r="Y47" s="345">
        <v>0</v>
      </c>
      <c r="Z47" s="340">
        <v>2.343162152470564E-5</v>
      </c>
      <c r="AA47" s="346">
        <v>0</v>
      </c>
      <c r="AB47" s="309">
        <v>0</v>
      </c>
      <c r="AD47" s="337" t="s">
        <v>59</v>
      </c>
      <c r="AE47" s="338" t="s">
        <v>36</v>
      </c>
      <c r="AF47" s="347">
        <f t="shared" si="66"/>
        <v>2</v>
      </c>
      <c r="AG47" s="281" t="s">
        <v>65</v>
      </c>
      <c r="AH47" s="347" t="e">
        <f t="shared" si="67"/>
        <v>#N/A</v>
      </c>
      <c r="AI47" s="348" t="e">
        <f t="shared" si="68"/>
        <v>#N/A</v>
      </c>
      <c r="AJ47" s="349" t="e">
        <f t="shared" si="69"/>
        <v>#N/A</v>
      </c>
      <c r="AK47" s="347" t="e">
        <f t="shared" si="70"/>
        <v>#N/A</v>
      </c>
      <c r="AL47" s="348" t="e">
        <f t="shared" si="71"/>
        <v>#N/A</v>
      </c>
      <c r="AM47" s="349" t="e">
        <f t="shared" si="72"/>
        <v>#N/A</v>
      </c>
      <c r="AN47" s="350">
        <f t="shared" si="73"/>
        <v>3</v>
      </c>
      <c r="AO47" s="347">
        <f t="shared" si="74"/>
        <v>2</v>
      </c>
      <c r="AP47" s="351">
        <f t="shared" si="75"/>
        <v>3</v>
      </c>
      <c r="AQ47" s="352">
        <f t="shared" si="76"/>
        <v>5</v>
      </c>
      <c r="AR47" s="351">
        <f t="shared" si="77"/>
        <v>4</v>
      </c>
      <c r="AS47" s="352">
        <f t="shared" si="78"/>
        <v>4</v>
      </c>
      <c r="AT47" s="351">
        <f t="shared" si="79"/>
        <v>4</v>
      </c>
      <c r="AU47" s="352">
        <f t="shared" si="80"/>
        <v>4</v>
      </c>
      <c r="AV47" s="351">
        <f t="shared" si="81"/>
        <v>3</v>
      </c>
      <c r="AW47" s="352">
        <f t="shared" si="82"/>
        <v>1</v>
      </c>
      <c r="AX47" s="351">
        <f t="shared" si="83"/>
        <v>4</v>
      </c>
      <c r="AY47" s="352">
        <f t="shared" si="84"/>
        <v>5</v>
      </c>
      <c r="AZ47" s="347">
        <f t="shared" si="85"/>
        <v>4</v>
      </c>
      <c r="BA47" s="353">
        <f t="shared" si="86"/>
        <v>2</v>
      </c>
      <c r="BB47" s="310"/>
    </row>
    <row r="48" spans="1:54" s="286" customFormat="1" ht="15.75" thickBot="1" x14ac:dyDescent="0.3">
      <c r="A48" s="354"/>
      <c r="B48" s="355"/>
      <c r="C48" s="355"/>
      <c r="D48" s="356">
        <f>SUMIF(AB39:AB47,"&gt;=1",D39:D47)</f>
        <v>2012.3301266472706</v>
      </c>
      <c r="E48" s="357"/>
      <c r="F48" s="357"/>
      <c r="G48" s="358" t="e">
        <f t="shared" ref="G48:AA48" si="87">SUMIF($AB$39:$AB$47,"&gt;=1",G39:G47)</f>
        <v>#N/A</v>
      </c>
      <c r="H48" s="359" t="e">
        <f t="shared" si="87"/>
        <v>#N/A</v>
      </c>
      <c r="I48" s="359" t="e">
        <f t="shared" si="87"/>
        <v>#N/A</v>
      </c>
      <c r="J48" s="360" t="e">
        <f t="shared" si="87"/>
        <v>#N/A</v>
      </c>
      <c r="K48" s="358" t="e">
        <f t="shared" si="87"/>
        <v>#N/A</v>
      </c>
      <c r="L48" s="359" t="e">
        <f t="shared" si="87"/>
        <v>#N/A</v>
      </c>
      <c r="M48" s="360" t="e">
        <f t="shared" si="87"/>
        <v>#N/A</v>
      </c>
      <c r="N48" s="361">
        <f t="shared" si="87"/>
        <v>3.0488112044927108E-3</v>
      </c>
      <c r="O48" s="358">
        <f t="shared" si="87"/>
        <v>5.4769576844117457E-6</v>
      </c>
      <c r="P48" s="362">
        <f t="shared" si="87"/>
        <v>3.7074332868139641E-3</v>
      </c>
      <c r="Q48" s="363">
        <f t="shared" si="87"/>
        <v>1.076860627438118E-3</v>
      </c>
      <c r="R48" s="362">
        <f t="shared" si="87"/>
        <v>3.2776083495691397E-3</v>
      </c>
      <c r="S48" s="363">
        <f t="shared" si="87"/>
        <v>3.0842084005849055E-4</v>
      </c>
      <c r="T48" s="362">
        <f t="shared" si="87"/>
        <v>3.9150541096552187E-2</v>
      </c>
      <c r="U48" s="363">
        <f t="shared" si="87"/>
        <v>2.7415234077636888E-3</v>
      </c>
      <c r="V48" s="362">
        <f t="shared" si="87"/>
        <v>1.9809435563129625E-3</v>
      </c>
      <c r="W48" s="363">
        <f t="shared" si="87"/>
        <v>0</v>
      </c>
      <c r="X48" s="362">
        <f t="shared" si="87"/>
        <v>1.5904517744578484E-3</v>
      </c>
      <c r="Y48" s="363">
        <f t="shared" si="87"/>
        <v>1.0873782664515058E-3</v>
      </c>
      <c r="Z48" s="358">
        <f t="shared" si="87"/>
        <v>3.3223852438326527E-4</v>
      </c>
      <c r="AA48" s="364">
        <f t="shared" si="87"/>
        <v>4.1392705506087618E-5</v>
      </c>
      <c r="AB48" s="365">
        <f>COUNTIF(AB39:AB47,"&gt;0")</f>
        <v>8</v>
      </c>
      <c r="AD48" s="354"/>
      <c r="AE48" s="355"/>
      <c r="AF48" s="356"/>
      <c r="AG48" s="357"/>
      <c r="AH48" s="358"/>
      <c r="AI48" s="359"/>
      <c r="AJ48" s="360"/>
      <c r="AK48" s="358"/>
      <c r="AL48" s="359"/>
      <c r="AM48" s="360"/>
      <c r="AN48" s="361"/>
      <c r="AO48" s="358"/>
      <c r="AP48" s="362"/>
      <c r="AQ48" s="363"/>
      <c r="AR48" s="362"/>
      <c r="AS48" s="363"/>
      <c r="AT48" s="362"/>
      <c r="AU48" s="363"/>
      <c r="AV48" s="362"/>
      <c r="AW48" s="363"/>
      <c r="AX48" s="362"/>
      <c r="AY48" s="363"/>
      <c r="AZ48" s="358"/>
      <c r="BA48" s="364"/>
      <c r="BB48" s="366"/>
    </row>
    <row r="49" spans="1:54" s="286" customFormat="1" ht="15.75" thickBot="1" x14ac:dyDescent="0.3">
      <c r="A49" s="288"/>
      <c r="B49" s="289"/>
      <c r="C49" s="289"/>
      <c r="D49" s="290"/>
      <c r="E49" s="255"/>
      <c r="F49" s="255"/>
      <c r="G49" s="291"/>
      <c r="H49" s="292"/>
      <c r="I49" s="292"/>
      <c r="J49" s="293"/>
      <c r="K49" s="291"/>
      <c r="L49" s="292"/>
      <c r="M49" s="293"/>
      <c r="N49" s="294"/>
      <c r="O49" s="291"/>
      <c r="P49" s="295"/>
      <c r="Q49" s="296"/>
      <c r="R49" s="295"/>
      <c r="S49" s="296"/>
      <c r="T49" s="295"/>
      <c r="U49" s="296"/>
      <c r="V49" s="295"/>
      <c r="W49" s="296"/>
      <c r="X49" s="295"/>
      <c r="Y49" s="296"/>
      <c r="Z49" s="291"/>
      <c r="AA49" s="297"/>
      <c r="AB49" s="254"/>
      <c r="AD49" s="288"/>
      <c r="AE49" s="289"/>
      <c r="AF49" s="290"/>
      <c r="AG49" s="255"/>
      <c r="AH49" s="291"/>
      <c r="AI49" s="292"/>
      <c r="AJ49" s="293"/>
      <c r="AK49" s="291"/>
      <c r="AL49" s="292"/>
      <c r="AM49" s="293"/>
      <c r="AN49" s="294"/>
      <c r="AO49" s="291"/>
      <c r="AP49" s="295"/>
      <c r="AQ49" s="296"/>
      <c r="AR49" s="295"/>
      <c r="AS49" s="296"/>
      <c r="AT49" s="295"/>
      <c r="AU49" s="296"/>
      <c r="AV49" s="295"/>
      <c r="AW49" s="296"/>
      <c r="AX49" s="295"/>
      <c r="AY49" s="296"/>
      <c r="AZ49" s="291"/>
      <c r="BA49" s="297"/>
    </row>
    <row r="50" spans="1:54" s="286" customFormat="1" ht="15.75" thickBot="1" x14ac:dyDescent="0.3">
      <c r="A50" s="91" t="s">
        <v>71</v>
      </c>
      <c r="B50" s="92"/>
      <c r="C50" s="92"/>
      <c r="D50" s="93"/>
      <c r="E50" s="94"/>
      <c r="F50" s="94"/>
      <c r="G50" s="92"/>
      <c r="H50" s="93"/>
      <c r="I50" s="93"/>
      <c r="J50" s="95"/>
      <c r="K50" s="92"/>
      <c r="L50" s="93"/>
      <c r="M50" s="95"/>
      <c r="N50" s="91"/>
      <c r="O50" s="92"/>
      <c r="P50" s="96"/>
      <c r="Q50" s="97"/>
      <c r="R50" s="96"/>
      <c r="S50" s="97"/>
      <c r="T50" s="96"/>
      <c r="U50" s="97"/>
      <c r="V50" s="96"/>
      <c r="W50" s="97"/>
      <c r="X50" s="96"/>
      <c r="Y50" s="97"/>
      <c r="Z50" s="92"/>
      <c r="AA50" s="94"/>
      <c r="AB50" s="323" t="s">
        <v>89</v>
      </c>
      <c r="AD50" s="91" t="s">
        <v>71</v>
      </c>
      <c r="AE50" s="92"/>
      <c r="AF50" s="93"/>
      <c r="AG50" s="94"/>
      <c r="AH50" s="92"/>
      <c r="AI50" s="93"/>
      <c r="AJ50" s="95"/>
      <c r="AK50" s="92"/>
      <c r="AL50" s="93"/>
      <c r="AM50" s="95"/>
      <c r="AN50" s="91"/>
      <c r="AO50" s="92"/>
      <c r="AP50" s="96"/>
      <c r="AQ50" s="97"/>
      <c r="AR50" s="96"/>
      <c r="AS50" s="97"/>
      <c r="AT50" s="96"/>
      <c r="AU50" s="97"/>
      <c r="AV50" s="96"/>
      <c r="AW50" s="97"/>
      <c r="AX50" s="96"/>
      <c r="AY50" s="97"/>
      <c r="AZ50" s="92"/>
      <c r="BA50" s="94"/>
      <c r="BB50" s="287" t="s">
        <v>70</v>
      </c>
    </row>
    <row r="51" spans="1:54" s="286" customFormat="1" ht="15.75" thickBot="1" x14ac:dyDescent="0.3">
      <c r="A51" s="386" t="s">
        <v>34</v>
      </c>
      <c r="B51" s="387" t="s">
        <v>24</v>
      </c>
      <c r="C51" s="387" t="s">
        <v>24</v>
      </c>
      <c r="D51" s="388">
        <f>VLOOKUP($A51,'Total Areas'!A:D,4,FALSE)</f>
        <v>246.71029765399999</v>
      </c>
      <c r="E51" s="146" t="s">
        <v>67</v>
      </c>
      <c r="F51" s="146" t="s">
        <v>139</v>
      </c>
      <c r="G51" s="389"/>
      <c r="H51" s="390"/>
      <c r="I51" s="390"/>
      <c r="J51" s="391"/>
      <c r="K51" s="389"/>
      <c r="L51" s="390"/>
      <c r="M51" s="391"/>
      <c r="N51" s="392"/>
      <c r="O51" s="389"/>
      <c r="P51" s="393"/>
      <c r="Q51" s="394"/>
      <c r="R51" s="393"/>
      <c r="S51" s="394"/>
      <c r="T51" s="393"/>
      <c r="U51" s="394"/>
      <c r="V51" s="393"/>
      <c r="W51" s="394"/>
      <c r="X51" s="393"/>
      <c r="Y51" s="394"/>
      <c r="Z51" s="389"/>
      <c r="AA51" s="395"/>
      <c r="AB51" s="396">
        <v>1</v>
      </c>
      <c r="AD51" s="288" t="s">
        <v>34</v>
      </c>
      <c r="AE51" s="289" t="s">
        <v>36</v>
      </c>
      <c r="AF51" s="299"/>
      <c r="AG51" s="255"/>
      <c r="AH51" s="299"/>
      <c r="AI51" s="300"/>
      <c r="AJ51" s="301"/>
      <c r="AK51" s="299"/>
      <c r="AL51" s="300"/>
      <c r="AM51" s="301"/>
      <c r="AN51" s="302"/>
      <c r="AO51" s="299"/>
      <c r="AP51" s="303"/>
      <c r="AQ51" s="304"/>
      <c r="AR51" s="303"/>
      <c r="AS51" s="304"/>
      <c r="AT51" s="303"/>
      <c r="AU51" s="304"/>
      <c r="AV51" s="303"/>
      <c r="AW51" s="304"/>
      <c r="AX51" s="303"/>
      <c r="AY51" s="304"/>
      <c r="AZ51" s="299"/>
      <c r="BA51" s="305"/>
      <c r="BB51" s="306"/>
    </row>
    <row r="52" spans="1:54" s="286" customFormat="1" x14ac:dyDescent="0.25">
      <c r="A52" s="288" t="s">
        <v>52</v>
      </c>
      <c r="B52" s="289" t="s">
        <v>36</v>
      </c>
      <c r="C52" s="289" t="s">
        <v>178</v>
      </c>
      <c r="D52" s="290">
        <f>VLOOKUP($A52,'Total Areas'!A:D,4,FALSE)</f>
        <v>3.5411670821825543</v>
      </c>
      <c r="E52" s="255" t="s">
        <v>67</v>
      </c>
      <c r="F52" s="255" t="s">
        <v>138</v>
      </c>
      <c r="G52" s="291">
        <f>VLOOKUP($A52,'Additional Tables'!$A:$I,3,FALSE)</f>
        <v>0</v>
      </c>
      <c r="H52" s="292">
        <f>VLOOKUP($A52,'Additional Tables'!$A:$I,4,FALSE)</f>
        <v>0</v>
      </c>
      <c r="I52" s="292">
        <f>VLOOKUP($A52,'Additional Tables'!$A:$I,5,FALSE)</f>
        <v>0</v>
      </c>
      <c r="J52" s="293">
        <f>VLOOKUP($A52,'Additional Tables'!$A:$I,6,FALSE)</f>
        <v>0</v>
      </c>
      <c r="K52" s="291">
        <f>VLOOKUP($A52,'Additional Tables'!$A:$I,7,FALSE)</f>
        <v>5.4301818557552879E-3</v>
      </c>
      <c r="L52" s="292">
        <f>VLOOKUP($A52,'Additional Tables'!$A:$I,8,FALSE)</f>
        <v>5.7526496444790175E-5</v>
      </c>
      <c r="M52" s="293" t="str">
        <f>VLOOKUP($A52,'Additional Tables'!$A:$I,9,FALSE)</f>
        <v>Not eval.</v>
      </c>
      <c r="N52" s="294">
        <v>3.4495884532313292E-8</v>
      </c>
      <c r="O52" s="291">
        <v>0</v>
      </c>
      <c r="P52" s="295">
        <v>3.706444674252506E-8</v>
      </c>
      <c r="Q52" s="296">
        <v>1.3310567449033118E-5</v>
      </c>
      <c r="R52" s="295">
        <v>0</v>
      </c>
      <c r="S52" s="296">
        <v>0</v>
      </c>
      <c r="T52" s="295">
        <v>1.5913324069575471E-5</v>
      </c>
      <c r="U52" s="296">
        <v>0</v>
      </c>
      <c r="V52" s="295">
        <v>1.1695916138751027E-6</v>
      </c>
      <c r="W52" s="296">
        <v>0</v>
      </c>
      <c r="X52" s="295">
        <v>3.2938496506504361E-8</v>
      </c>
      <c r="Y52" s="296">
        <v>6.9557295956318502E-6</v>
      </c>
      <c r="Z52" s="291">
        <v>0</v>
      </c>
      <c r="AA52" s="297">
        <v>0</v>
      </c>
      <c r="AB52" s="298">
        <v>1</v>
      </c>
      <c r="AD52" s="288" t="s">
        <v>52</v>
      </c>
      <c r="AE52" s="289" t="s">
        <v>36</v>
      </c>
      <c r="AF52" s="299">
        <f>RANK(D52,D$52:D$55,1)</f>
        <v>2</v>
      </c>
      <c r="AG52" s="255" t="s">
        <v>67</v>
      </c>
      <c r="AH52" s="299">
        <f t="shared" ref="AH52:AI55" si="88">RANK(G52,G$52:G$55)</f>
        <v>1</v>
      </c>
      <c r="AI52" s="300">
        <f t="shared" si="88"/>
        <v>3</v>
      </c>
      <c r="AJ52" s="301">
        <f t="shared" ref="AJ52:BA55" si="89">RANK(J52,J$52:J$55)</f>
        <v>3</v>
      </c>
      <c r="AK52" s="299">
        <f t="shared" si="89"/>
        <v>4</v>
      </c>
      <c r="AL52" s="300">
        <f t="shared" si="89"/>
        <v>4</v>
      </c>
      <c r="AM52" s="301" t="e">
        <f t="shared" si="89"/>
        <v>#VALUE!</v>
      </c>
      <c r="AN52" s="302">
        <f t="shared" si="89"/>
        <v>1</v>
      </c>
      <c r="AO52" s="299">
        <f t="shared" si="89"/>
        <v>1</v>
      </c>
      <c r="AP52" s="303">
        <f t="shared" si="89"/>
        <v>3</v>
      </c>
      <c r="AQ52" s="304">
        <f t="shared" si="89"/>
        <v>1</v>
      </c>
      <c r="AR52" s="303">
        <f t="shared" si="89"/>
        <v>2</v>
      </c>
      <c r="AS52" s="304">
        <f t="shared" si="89"/>
        <v>1</v>
      </c>
      <c r="AT52" s="303">
        <f t="shared" si="89"/>
        <v>2</v>
      </c>
      <c r="AU52" s="304">
        <f t="shared" si="89"/>
        <v>1</v>
      </c>
      <c r="AV52" s="303">
        <f t="shared" si="89"/>
        <v>1</v>
      </c>
      <c r="AW52" s="304">
        <f t="shared" si="89"/>
        <v>1</v>
      </c>
      <c r="AX52" s="303">
        <f t="shared" si="89"/>
        <v>2</v>
      </c>
      <c r="AY52" s="304">
        <f t="shared" si="89"/>
        <v>1</v>
      </c>
      <c r="AZ52" s="299">
        <f t="shared" si="89"/>
        <v>1</v>
      </c>
      <c r="BA52" s="305">
        <f t="shared" si="89"/>
        <v>1</v>
      </c>
      <c r="BB52" s="306"/>
    </row>
    <row r="53" spans="1:54" s="286" customFormat="1" x14ac:dyDescent="0.25">
      <c r="A53" s="288" t="s">
        <v>57</v>
      </c>
      <c r="B53" s="289" t="s">
        <v>36</v>
      </c>
      <c r="C53" s="289" t="s">
        <v>178</v>
      </c>
      <c r="D53" s="290">
        <f>VLOOKUP($A53,'Total Areas'!A:D,4,FALSE)</f>
        <v>9.417736679411064</v>
      </c>
      <c r="E53" s="255" t="s">
        <v>67</v>
      </c>
      <c r="F53" s="255" t="s">
        <v>138</v>
      </c>
      <c r="G53" s="291">
        <f>VLOOKUP($A53,'Additional Tables'!$A:$I,3,FALSE)</f>
        <v>0</v>
      </c>
      <c r="H53" s="292">
        <f>VLOOKUP($A53,'Additional Tables'!$A:$I,4,FALSE)</f>
        <v>2.7398028980772744E-3</v>
      </c>
      <c r="I53" s="292">
        <f>VLOOKUP($A53,'Additional Tables'!$A:$I,5,FALSE)</f>
        <v>1E-4</v>
      </c>
      <c r="J53" s="293">
        <f>VLOOKUP($A53,'Additional Tables'!$A:$I,6,FALSE)</f>
        <v>1E-4</v>
      </c>
      <c r="K53" s="291">
        <f>VLOOKUP($A53,'Additional Tables'!$A:$I,7,FALSE)</f>
        <v>3.6110073163838956E-2</v>
      </c>
      <c r="L53" s="292">
        <f>VLOOKUP($A53,'Additional Tables'!$A:$I,8,FALSE)</f>
        <v>3.031077875465448E-3</v>
      </c>
      <c r="M53" s="293" t="str">
        <f>VLOOKUP($A53,'Additional Tables'!$A:$I,9,FALSE)</f>
        <v>Not eval.</v>
      </c>
      <c r="N53" s="294">
        <v>3.2394998057067057E-8</v>
      </c>
      <c r="O53" s="291">
        <v>0</v>
      </c>
      <c r="P53" s="295">
        <v>1.60795369688128E-6</v>
      </c>
      <c r="Q53" s="296">
        <v>0</v>
      </c>
      <c r="R53" s="295">
        <v>0</v>
      </c>
      <c r="S53" s="296">
        <v>0</v>
      </c>
      <c r="T53" s="295">
        <v>1.9505534222340942E-5</v>
      </c>
      <c r="U53" s="296">
        <v>0</v>
      </c>
      <c r="V53" s="295">
        <v>3.0682568954833973E-7</v>
      </c>
      <c r="W53" s="296">
        <v>0</v>
      </c>
      <c r="X53" s="295">
        <v>5.608167190109097E-8</v>
      </c>
      <c r="Y53" s="296">
        <v>0</v>
      </c>
      <c r="Z53" s="291">
        <v>0</v>
      </c>
      <c r="AA53" s="297">
        <v>0</v>
      </c>
      <c r="AB53" s="298">
        <v>1</v>
      </c>
      <c r="AD53" s="288" t="s">
        <v>57</v>
      </c>
      <c r="AE53" s="289" t="s">
        <v>36</v>
      </c>
      <c r="AF53" s="299">
        <f>RANK(D53,D$52:D$55,1)</f>
        <v>3</v>
      </c>
      <c r="AG53" s="255" t="s">
        <v>67</v>
      </c>
      <c r="AH53" s="299">
        <f t="shared" si="88"/>
        <v>1</v>
      </c>
      <c r="AI53" s="300">
        <f t="shared" si="88"/>
        <v>1</v>
      </c>
      <c r="AJ53" s="301">
        <f t="shared" si="89"/>
        <v>2</v>
      </c>
      <c r="AK53" s="299">
        <f t="shared" si="89"/>
        <v>1</v>
      </c>
      <c r="AL53" s="300">
        <f t="shared" si="89"/>
        <v>1</v>
      </c>
      <c r="AM53" s="301" t="e">
        <f t="shared" si="89"/>
        <v>#VALUE!</v>
      </c>
      <c r="AN53" s="302">
        <f t="shared" si="89"/>
        <v>2</v>
      </c>
      <c r="AO53" s="299">
        <f t="shared" si="89"/>
        <v>1</v>
      </c>
      <c r="AP53" s="303">
        <f t="shared" si="89"/>
        <v>1</v>
      </c>
      <c r="AQ53" s="304">
        <f t="shared" si="89"/>
        <v>2</v>
      </c>
      <c r="AR53" s="303">
        <f t="shared" si="89"/>
        <v>2</v>
      </c>
      <c r="AS53" s="304">
        <f t="shared" si="89"/>
        <v>1</v>
      </c>
      <c r="AT53" s="303">
        <f t="shared" si="89"/>
        <v>1</v>
      </c>
      <c r="AU53" s="304">
        <f t="shared" si="89"/>
        <v>1</v>
      </c>
      <c r="AV53" s="303">
        <f t="shared" si="89"/>
        <v>2</v>
      </c>
      <c r="AW53" s="304">
        <f t="shared" si="89"/>
        <v>1</v>
      </c>
      <c r="AX53" s="303">
        <f t="shared" si="89"/>
        <v>1</v>
      </c>
      <c r="AY53" s="304">
        <f t="shared" si="89"/>
        <v>2</v>
      </c>
      <c r="AZ53" s="299">
        <f t="shared" si="89"/>
        <v>1</v>
      </c>
      <c r="BA53" s="305">
        <f t="shared" si="89"/>
        <v>1</v>
      </c>
      <c r="BB53" s="307"/>
    </row>
    <row r="54" spans="1:54" s="286" customFormat="1" x14ac:dyDescent="0.25">
      <c r="A54" s="328" t="s">
        <v>33</v>
      </c>
      <c r="B54" s="324" t="s">
        <v>24</v>
      </c>
      <c r="C54" s="324" t="s">
        <v>24</v>
      </c>
      <c r="D54" s="290">
        <f>VLOOKUP($A54,'Total Areas'!A:D,4,FALSE)</f>
        <v>9.4229995417572265</v>
      </c>
      <c r="E54" s="255" t="s">
        <v>67</v>
      </c>
      <c r="F54" s="255" t="s">
        <v>138</v>
      </c>
      <c r="G54" s="325">
        <f>VLOOKUP($A54,'Additional Tables'!$A:$I,3,FALSE)</f>
        <v>0</v>
      </c>
      <c r="H54" s="326">
        <f>VLOOKUP($A54,'Additional Tables'!$A:$I,4,FALSE)</f>
        <v>1.9027105896028676E-3</v>
      </c>
      <c r="I54" s="326">
        <f>VLOOKUP($A54,'Additional Tables'!$A:$I,5,FALSE)</f>
        <v>1E-4</v>
      </c>
      <c r="J54" s="327">
        <f>VLOOKUP($A54,'Additional Tables'!$A:$I,6,FALSE)</f>
        <v>4.0000000000000002E-4</v>
      </c>
      <c r="K54" s="325">
        <f>VLOOKUP($A54,'Additional Tables'!$A:$I,7,FALSE)</f>
        <v>1.00827184017428E-2</v>
      </c>
      <c r="L54" s="326">
        <f>VLOOKUP($A54,'Additional Tables'!$A:$I,8,FALSE)</f>
        <v>2.0488472345375798E-3</v>
      </c>
      <c r="M54" s="327" t="str">
        <f>VLOOKUP($A54,'Additional Tables'!$A:$I,9,FALSE)</f>
        <v>Not eval.</v>
      </c>
      <c r="N54" s="328" t="s">
        <v>26</v>
      </c>
      <c r="O54" s="324" t="s">
        <v>26</v>
      </c>
      <c r="P54" s="329" t="s">
        <v>26</v>
      </c>
      <c r="Q54" s="330" t="s">
        <v>26</v>
      </c>
      <c r="R54" s="329" t="s">
        <v>26</v>
      </c>
      <c r="S54" s="330" t="s">
        <v>26</v>
      </c>
      <c r="T54" s="329" t="s">
        <v>26</v>
      </c>
      <c r="U54" s="330" t="s">
        <v>26</v>
      </c>
      <c r="V54" s="329" t="s">
        <v>26</v>
      </c>
      <c r="W54" s="330" t="s">
        <v>26</v>
      </c>
      <c r="X54" s="329" t="s">
        <v>26</v>
      </c>
      <c r="Y54" s="330" t="s">
        <v>26</v>
      </c>
      <c r="Z54" s="324" t="s">
        <v>26</v>
      </c>
      <c r="AA54" s="308" t="s">
        <v>26</v>
      </c>
      <c r="AB54" s="298">
        <v>1</v>
      </c>
      <c r="AD54" s="328" t="s">
        <v>33</v>
      </c>
      <c r="AE54" s="324" t="s">
        <v>24</v>
      </c>
      <c r="AF54" s="299">
        <f>RANK(D54,D$52:D$55,1)</f>
        <v>4</v>
      </c>
      <c r="AG54" s="255" t="s">
        <v>67</v>
      </c>
      <c r="AH54" s="332">
        <f t="shared" si="88"/>
        <v>1</v>
      </c>
      <c r="AI54" s="333">
        <f t="shared" si="88"/>
        <v>2</v>
      </c>
      <c r="AJ54" s="334">
        <f t="shared" si="89"/>
        <v>1</v>
      </c>
      <c r="AK54" s="332">
        <f t="shared" si="89"/>
        <v>3</v>
      </c>
      <c r="AL54" s="333">
        <f t="shared" si="89"/>
        <v>2</v>
      </c>
      <c r="AM54" s="334" t="e">
        <f t="shared" si="89"/>
        <v>#VALUE!</v>
      </c>
      <c r="AN54" s="302"/>
      <c r="AO54" s="299"/>
      <c r="AP54" s="303"/>
      <c r="AQ54" s="304"/>
      <c r="AR54" s="303"/>
      <c r="AS54" s="304"/>
      <c r="AT54" s="303"/>
      <c r="AU54" s="304"/>
      <c r="AV54" s="303"/>
      <c r="AW54" s="304"/>
      <c r="AX54" s="303"/>
      <c r="AY54" s="304"/>
      <c r="AZ54" s="299"/>
      <c r="BA54" s="305"/>
      <c r="BB54" s="307"/>
    </row>
    <row r="55" spans="1:54" s="286" customFormat="1" ht="15.75" thickBot="1" x14ac:dyDescent="0.3">
      <c r="A55" s="288" t="s">
        <v>62</v>
      </c>
      <c r="B55" s="289" t="s">
        <v>36</v>
      </c>
      <c r="C55" s="289" t="s">
        <v>178</v>
      </c>
      <c r="D55" s="290">
        <f>VLOOKUP($A55,'Total Areas'!A:D,4,FALSE)</f>
        <v>2.4098405480566361</v>
      </c>
      <c r="E55" s="255" t="s">
        <v>67</v>
      </c>
      <c r="F55" s="255" t="s">
        <v>139</v>
      </c>
      <c r="G55" s="291">
        <f>VLOOKUP($A55,'Additional Tables'!$A:$I,3,FALSE)</f>
        <v>0</v>
      </c>
      <c r="H55" s="292">
        <f>VLOOKUP($A55,'Additional Tables'!$A:$I,4,FALSE)</f>
        <v>0</v>
      </c>
      <c r="I55" s="292">
        <f>VLOOKUP($A55,'Additional Tables'!$A:$I,5,FALSE)</f>
        <v>0</v>
      </c>
      <c r="J55" s="293">
        <f>VLOOKUP($A55,'Additional Tables'!$A:$I,6,FALSE)</f>
        <v>0</v>
      </c>
      <c r="K55" s="291">
        <f>VLOOKUP($A55,'Additional Tables'!$A:$I,7,FALSE)</f>
        <v>3.0822778918631347E-2</v>
      </c>
      <c r="L55" s="292">
        <f>VLOOKUP($A55,'Additional Tables'!$A:$I,8,FALSE)</f>
        <v>3.2653169433025819E-4</v>
      </c>
      <c r="M55" s="293" t="str">
        <f>VLOOKUP($A55,'Additional Tables'!$A:$I,9,FALSE)</f>
        <v>Not eval.</v>
      </c>
      <c r="N55" s="294">
        <v>0</v>
      </c>
      <c r="O55" s="291">
        <v>0</v>
      </c>
      <c r="P55" s="295">
        <v>9.2213403270302123E-8</v>
      </c>
      <c r="Q55" s="296">
        <v>0</v>
      </c>
      <c r="R55" s="295">
        <v>4.9686875520921599E-7</v>
      </c>
      <c r="S55" s="296">
        <v>0</v>
      </c>
      <c r="T55" s="295">
        <v>6.1005634289325682E-7</v>
      </c>
      <c r="U55" s="296">
        <v>0</v>
      </c>
      <c r="V55" s="295">
        <v>0</v>
      </c>
      <c r="W55" s="296">
        <v>0</v>
      </c>
      <c r="X55" s="295">
        <v>0</v>
      </c>
      <c r="Y55" s="296">
        <v>0</v>
      </c>
      <c r="Z55" s="291">
        <v>0</v>
      </c>
      <c r="AA55" s="297">
        <v>0</v>
      </c>
      <c r="AB55" s="309">
        <v>1</v>
      </c>
      <c r="AD55" s="288" t="s">
        <v>62</v>
      </c>
      <c r="AE55" s="289" t="s">
        <v>36</v>
      </c>
      <c r="AF55" s="299">
        <f>RANK(D55,D$52:D$55,1)</f>
        <v>1</v>
      </c>
      <c r="AG55" s="255" t="s">
        <v>67</v>
      </c>
      <c r="AH55" s="299">
        <f t="shared" si="88"/>
        <v>1</v>
      </c>
      <c r="AI55" s="300">
        <f t="shared" si="88"/>
        <v>3</v>
      </c>
      <c r="AJ55" s="301">
        <f t="shared" si="89"/>
        <v>3</v>
      </c>
      <c r="AK55" s="299">
        <f t="shared" si="89"/>
        <v>2</v>
      </c>
      <c r="AL55" s="300">
        <f t="shared" si="89"/>
        <v>3</v>
      </c>
      <c r="AM55" s="301" t="e">
        <f t="shared" si="89"/>
        <v>#VALUE!</v>
      </c>
      <c r="AN55" s="302">
        <f t="shared" si="89"/>
        <v>3</v>
      </c>
      <c r="AO55" s="299">
        <f t="shared" si="89"/>
        <v>1</v>
      </c>
      <c r="AP55" s="303">
        <f t="shared" si="89"/>
        <v>2</v>
      </c>
      <c r="AQ55" s="304">
        <f t="shared" si="89"/>
        <v>2</v>
      </c>
      <c r="AR55" s="303">
        <f t="shared" si="89"/>
        <v>1</v>
      </c>
      <c r="AS55" s="304">
        <f t="shared" si="89"/>
        <v>1</v>
      </c>
      <c r="AT55" s="303">
        <f t="shared" si="89"/>
        <v>3</v>
      </c>
      <c r="AU55" s="304">
        <f t="shared" si="89"/>
        <v>1</v>
      </c>
      <c r="AV55" s="303">
        <f t="shared" si="89"/>
        <v>3</v>
      </c>
      <c r="AW55" s="304">
        <f t="shared" si="89"/>
        <v>1</v>
      </c>
      <c r="AX55" s="303">
        <f t="shared" si="89"/>
        <v>3</v>
      </c>
      <c r="AY55" s="304">
        <f t="shared" si="89"/>
        <v>2</v>
      </c>
      <c r="AZ55" s="299">
        <f t="shared" si="89"/>
        <v>1</v>
      </c>
      <c r="BA55" s="305">
        <f t="shared" si="89"/>
        <v>1</v>
      </c>
      <c r="BB55" s="310"/>
    </row>
    <row r="56" spans="1:54" s="286" customFormat="1" ht="15.75" thickBot="1" x14ac:dyDescent="0.3">
      <c r="A56" s="354"/>
      <c r="B56" s="355"/>
      <c r="C56" s="355"/>
      <c r="D56" s="356">
        <f>SUMIF(AB51:AB55,"&gt;1",D51:D55)</f>
        <v>0</v>
      </c>
      <c r="E56" s="357"/>
      <c r="F56" s="357"/>
      <c r="G56" s="358">
        <f t="shared" ref="G56:AA56" si="90">SUMIF($AB$52:$AB$55,"&gt;=1",G52:G55)</f>
        <v>0</v>
      </c>
      <c r="H56" s="359">
        <f t="shared" si="90"/>
        <v>4.642513487680142E-3</v>
      </c>
      <c r="I56" s="359">
        <f t="shared" si="90"/>
        <v>2.0000000000000001E-4</v>
      </c>
      <c r="J56" s="360">
        <f t="shared" si="90"/>
        <v>5.0000000000000001E-4</v>
      </c>
      <c r="K56" s="358">
        <f t="shared" si="90"/>
        <v>8.2445752339968384E-2</v>
      </c>
      <c r="L56" s="359">
        <f t="shared" si="90"/>
        <v>5.4639833007780764E-3</v>
      </c>
      <c r="M56" s="360">
        <f t="shared" si="90"/>
        <v>0</v>
      </c>
      <c r="N56" s="361">
        <f t="shared" si="90"/>
        <v>6.6890882589380356E-8</v>
      </c>
      <c r="O56" s="358">
        <f t="shared" si="90"/>
        <v>0</v>
      </c>
      <c r="P56" s="362">
        <f t="shared" si="90"/>
        <v>1.7372315468941072E-6</v>
      </c>
      <c r="Q56" s="363">
        <f t="shared" si="90"/>
        <v>1.3310567449033118E-5</v>
      </c>
      <c r="R56" s="362">
        <f t="shared" si="90"/>
        <v>4.9686875520921599E-7</v>
      </c>
      <c r="S56" s="363">
        <f t="shared" si="90"/>
        <v>0</v>
      </c>
      <c r="T56" s="362">
        <f t="shared" si="90"/>
        <v>3.6028914634809671E-5</v>
      </c>
      <c r="U56" s="363">
        <f t="shared" si="90"/>
        <v>0</v>
      </c>
      <c r="V56" s="362">
        <f t="shared" si="90"/>
        <v>1.4764173034234425E-6</v>
      </c>
      <c r="W56" s="363">
        <f t="shared" si="90"/>
        <v>0</v>
      </c>
      <c r="X56" s="362">
        <f t="shared" si="90"/>
        <v>8.9020168407595338E-8</v>
      </c>
      <c r="Y56" s="363">
        <f t="shared" si="90"/>
        <v>6.9557295956318502E-6</v>
      </c>
      <c r="Z56" s="358">
        <f t="shared" si="90"/>
        <v>0</v>
      </c>
      <c r="AA56" s="364">
        <f t="shared" si="90"/>
        <v>0</v>
      </c>
      <c r="AB56" s="365">
        <f>COUNTIF(AB51:AB55,"&gt;0")</f>
        <v>5</v>
      </c>
      <c r="AD56" s="354"/>
      <c r="AE56" s="355"/>
      <c r="AF56" s="356"/>
      <c r="AG56" s="357"/>
      <c r="AH56" s="358"/>
      <c r="AI56" s="359"/>
      <c r="AJ56" s="360"/>
      <c r="AK56" s="358"/>
      <c r="AL56" s="359"/>
      <c r="AM56" s="360"/>
      <c r="AN56" s="361"/>
      <c r="AO56" s="358"/>
      <c r="AP56" s="362"/>
      <c r="AQ56" s="363"/>
      <c r="AR56" s="362"/>
      <c r="AS56" s="363"/>
      <c r="AT56" s="362"/>
      <c r="AU56" s="363"/>
      <c r="AV56" s="362"/>
      <c r="AW56" s="363"/>
      <c r="AX56" s="362"/>
      <c r="AY56" s="363"/>
      <c r="AZ56" s="358"/>
      <c r="BA56" s="364"/>
      <c r="BB56" s="366"/>
    </row>
    <row r="57" spans="1:54" x14ac:dyDescent="0.25">
      <c r="A57" s="229" t="s">
        <v>166</v>
      </c>
    </row>
    <row r="61" spans="1:54" ht="15.75" thickBot="1" x14ac:dyDescent="0.3"/>
    <row r="62" spans="1:54" ht="15" customHeight="1" x14ac:dyDescent="0.25">
      <c r="A62" s="246"/>
      <c r="B62" s="802" t="s">
        <v>81</v>
      </c>
      <c r="C62" s="244"/>
      <c r="D62" s="801" t="s">
        <v>77</v>
      </c>
      <c r="E62" s="802"/>
      <c r="F62" s="802"/>
      <c r="G62" s="803"/>
      <c r="H62" s="801" t="s">
        <v>78</v>
      </c>
      <c r="I62" s="810"/>
      <c r="J62" s="811"/>
      <c r="K62" s="815" t="s">
        <v>2</v>
      </c>
      <c r="L62" s="816"/>
      <c r="M62" s="816"/>
      <c r="N62" s="816"/>
      <c r="O62" s="816"/>
      <c r="P62" s="816"/>
      <c r="Q62" s="816"/>
      <c r="R62" s="816"/>
      <c r="S62" s="816"/>
      <c r="T62" s="816"/>
      <c r="U62" s="816"/>
      <c r="V62" s="816"/>
      <c r="W62" s="816"/>
      <c r="X62" s="247"/>
      <c r="Y62" s="821" t="s">
        <v>97</v>
      </c>
      <c r="AB62"/>
    </row>
    <row r="63" spans="1:54" ht="21" customHeight="1" x14ac:dyDescent="0.25">
      <c r="A63" s="248"/>
      <c r="B63" s="805"/>
      <c r="C63" s="245"/>
      <c r="D63" s="804"/>
      <c r="E63" s="805"/>
      <c r="F63" s="805"/>
      <c r="G63" s="806"/>
      <c r="H63" s="812"/>
      <c r="I63" s="813"/>
      <c r="J63" s="814"/>
      <c r="K63" s="817" t="s">
        <v>5</v>
      </c>
      <c r="L63" s="808"/>
      <c r="M63" s="807" t="s">
        <v>6</v>
      </c>
      <c r="N63" s="808"/>
      <c r="O63" s="807" t="s">
        <v>7</v>
      </c>
      <c r="P63" s="808"/>
      <c r="Q63" s="807" t="s">
        <v>8</v>
      </c>
      <c r="R63" s="808"/>
      <c r="S63" s="807" t="s">
        <v>9</v>
      </c>
      <c r="T63" s="808"/>
      <c r="U63" s="807" t="s">
        <v>10</v>
      </c>
      <c r="V63" s="808"/>
      <c r="W63" s="807" t="s">
        <v>11</v>
      </c>
      <c r="X63" s="809"/>
      <c r="Y63" s="822"/>
      <c r="AB63"/>
    </row>
    <row r="64" spans="1:54" ht="23.25" thickBot="1" x14ac:dyDescent="0.3">
      <c r="A64" s="248"/>
      <c r="B64" s="245" t="s">
        <v>63</v>
      </c>
      <c r="C64" s="245"/>
      <c r="D64" s="141" t="s">
        <v>18</v>
      </c>
      <c r="E64" s="142" t="s">
        <v>19</v>
      </c>
      <c r="F64" s="397" t="s">
        <v>187</v>
      </c>
      <c r="G64" s="398" t="s">
        <v>188</v>
      </c>
      <c r="H64" s="251" t="s">
        <v>18</v>
      </c>
      <c r="I64" s="245" t="s">
        <v>19</v>
      </c>
      <c r="J64" s="399" t="s">
        <v>189</v>
      </c>
      <c r="K64" s="248" t="s">
        <v>21</v>
      </c>
      <c r="L64" s="251" t="s">
        <v>22</v>
      </c>
      <c r="M64" s="250" t="s">
        <v>21</v>
      </c>
      <c r="N64" s="249" t="s">
        <v>22</v>
      </c>
      <c r="O64" s="250" t="s">
        <v>21</v>
      </c>
      <c r="P64" s="249" t="s">
        <v>22</v>
      </c>
      <c r="Q64" s="250" t="s">
        <v>21</v>
      </c>
      <c r="R64" s="249" t="s">
        <v>22</v>
      </c>
      <c r="S64" s="250" t="s">
        <v>21</v>
      </c>
      <c r="T64" s="249" t="s">
        <v>22</v>
      </c>
      <c r="U64" s="250" t="s">
        <v>21</v>
      </c>
      <c r="V64" s="249" t="s">
        <v>22</v>
      </c>
      <c r="W64" s="251" t="s">
        <v>21</v>
      </c>
      <c r="X64" s="251" t="s">
        <v>22</v>
      </c>
      <c r="Y64" s="823"/>
      <c r="AB64"/>
    </row>
    <row r="65" spans="1:28" ht="15.75" thickBot="1" x14ac:dyDescent="0.3">
      <c r="A65" s="143" t="s">
        <v>95</v>
      </c>
      <c r="B65" s="144">
        <f>Data!C49</f>
        <v>1693.7710450394541</v>
      </c>
      <c r="C65" s="144"/>
      <c r="D65" s="147" t="e">
        <f>Data!H49</f>
        <v>#N/A</v>
      </c>
      <c r="E65" s="145" t="e">
        <f>Data!I49</f>
        <v>#N/A</v>
      </c>
      <c r="F65" s="145"/>
      <c r="G65" s="148" t="e">
        <f>Data!K49</f>
        <v>#N/A</v>
      </c>
      <c r="H65" s="147" t="e">
        <f>Data!O49</f>
        <v>#N/A</v>
      </c>
      <c r="I65" s="145" t="e">
        <f>Data!P49</f>
        <v>#N/A</v>
      </c>
      <c r="J65" s="148" t="e">
        <f>Data!Q49</f>
        <v>#N/A</v>
      </c>
      <c r="K65" s="147">
        <f>Data!R49</f>
        <v>0</v>
      </c>
      <c r="L65" s="145">
        <f>Data!S49</f>
        <v>0</v>
      </c>
      <c r="M65" s="149">
        <f>Data!T49</f>
        <v>0</v>
      </c>
      <c r="N65" s="145">
        <f>Data!U49</f>
        <v>0</v>
      </c>
      <c r="O65" s="149">
        <f>Data!V49</f>
        <v>0</v>
      </c>
      <c r="P65" s="145">
        <f>Data!W49</f>
        <v>0</v>
      </c>
      <c r="Q65" s="149">
        <f>Data!X49</f>
        <v>0</v>
      </c>
      <c r="R65" s="145">
        <f>Data!Y49</f>
        <v>0</v>
      </c>
      <c r="S65" s="149">
        <f>Data!Z49</f>
        <v>0</v>
      </c>
      <c r="T65" s="145">
        <f>Data!AA49</f>
        <v>0</v>
      </c>
      <c r="U65" s="149">
        <f>Data!AB49</f>
        <v>0</v>
      </c>
      <c r="V65" s="145">
        <f>Data!AC49</f>
        <v>0</v>
      </c>
      <c r="W65" s="149">
        <f>Data!AD49</f>
        <v>0</v>
      </c>
      <c r="X65" s="148">
        <f>Data!AE49</f>
        <v>0</v>
      </c>
      <c r="Y65" s="146">
        <f>Data!AF48</f>
        <v>9</v>
      </c>
      <c r="AB65"/>
    </row>
    <row r="66" spans="1:28" ht="15.75" thickBot="1" x14ac:dyDescent="0.3">
      <c r="A66" s="143" t="s">
        <v>96</v>
      </c>
      <c r="B66" s="144">
        <f>SUM(D14,D27,D36,D48,D56)</f>
        <v>2702.6438196237145</v>
      </c>
      <c r="C66" s="144"/>
      <c r="D66" s="147" t="e">
        <f t="shared" ref="D66:E66" si="91">SUM(G14,G27,G36,G48,G56)</f>
        <v>#N/A</v>
      </c>
      <c r="E66" s="145" t="e">
        <f t="shared" si="91"/>
        <v>#N/A</v>
      </c>
      <c r="F66" s="145"/>
      <c r="G66" s="148" t="e">
        <f t="shared" ref="G66:Y66" si="92">SUM(J14,J27,J36,J48,J56)</f>
        <v>#N/A</v>
      </c>
      <c r="H66" s="147" t="e">
        <f t="shared" si="92"/>
        <v>#N/A</v>
      </c>
      <c r="I66" s="145" t="e">
        <f t="shared" si="92"/>
        <v>#N/A</v>
      </c>
      <c r="J66" s="148" t="e">
        <f t="shared" si="92"/>
        <v>#N/A</v>
      </c>
      <c r="K66" s="147">
        <f t="shared" si="92"/>
        <v>2.9230189376342988E-2</v>
      </c>
      <c r="L66" s="145">
        <f t="shared" si="92"/>
        <v>1.1926979376298811E-2</v>
      </c>
      <c r="M66" s="149">
        <f t="shared" si="92"/>
        <v>3.0731078329495249E-2</v>
      </c>
      <c r="N66" s="145">
        <f t="shared" si="92"/>
        <v>8.6575733064184358E-3</v>
      </c>
      <c r="O66" s="149">
        <f t="shared" si="92"/>
        <v>4.0673470732385392E-2</v>
      </c>
      <c r="P66" s="145">
        <f t="shared" si="92"/>
        <v>1.8734164360885108E-2</v>
      </c>
      <c r="Q66" s="149">
        <f t="shared" si="92"/>
        <v>4.8853413128510416E-2</v>
      </c>
      <c r="R66" s="145">
        <f t="shared" si="92"/>
        <v>8.1793238009550944E-3</v>
      </c>
      <c r="S66" s="149">
        <f t="shared" si="92"/>
        <v>1.0944003672090348E-2</v>
      </c>
      <c r="T66" s="145">
        <f t="shared" si="92"/>
        <v>0</v>
      </c>
      <c r="U66" s="149">
        <f t="shared" si="92"/>
        <v>1.5666624809641358E-2</v>
      </c>
      <c r="V66" s="145">
        <f t="shared" si="92"/>
        <v>9.9534190219121247E-3</v>
      </c>
      <c r="W66" s="149">
        <f t="shared" si="92"/>
        <v>2.4760980971126605E-2</v>
      </c>
      <c r="X66" s="148">
        <f t="shared" si="92"/>
        <v>7.5648757362203785E-3</v>
      </c>
      <c r="Y66" s="146">
        <f t="shared" si="92"/>
        <v>26</v>
      </c>
      <c r="AB66"/>
    </row>
    <row r="67" spans="1:28" ht="33.75" customHeight="1" thickBot="1" x14ac:dyDescent="0.3">
      <c r="A67" s="150" t="s">
        <v>98</v>
      </c>
      <c r="B67" s="144">
        <f>B66</f>
        <v>2702.6438196237145</v>
      </c>
      <c r="C67" s="144"/>
      <c r="D67" s="147" t="e">
        <f>D66-(1-$B$69)*(SUMIF($AB41:$AB42,"&gt;0",G41:G42))</f>
        <v>#N/A</v>
      </c>
      <c r="E67" s="145" t="e">
        <f>E66-(1-$B$69)*(SUMIF($AB41:$AB42,"&gt;0",H41:H42))</f>
        <v>#N/A</v>
      </c>
      <c r="F67" s="145"/>
      <c r="G67" s="148" t="e">
        <f t="shared" ref="G67:X67" si="93">G66-(1-$B$69)*(SUMIF($AB41:$AB42,"&gt;0",J41:J42))</f>
        <v>#N/A</v>
      </c>
      <c r="H67" s="147" t="e">
        <f t="shared" si="93"/>
        <v>#N/A</v>
      </c>
      <c r="I67" s="145" t="e">
        <f t="shared" si="93"/>
        <v>#N/A</v>
      </c>
      <c r="J67" s="148" t="e">
        <f t="shared" si="93"/>
        <v>#N/A</v>
      </c>
      <c r="K67" s="147">
        <f t="shared" si="93"/>
        <v>2.9210958903604308E-2</v>
      </c>
      <c r="L67" s="145">
        <f t="shared" si="93"/>
        <v>1.1924240897456605E-2</v>
      </c>
      <c r="M67" s="149">
        <f t="shared" si="93"/>
        <v>3.0710973552293585E-2</v>
      </c>
      <c r="N67" s="145">
        <f t="shared" si="93"/>
        <v>8.5264179836716733E-3</v>
      </c>
      <c r="O67" s="149">
        <f t="shared" si="93"/>
        <v>3.9933448038437187E-2</v>
      </c>
      <c r="P67" s="145">
        <f t="shared" si="93"/>
        <v>1.8672395335540395E-2</v>
      </c>
      <c r="Q67" s="149">
        <f t="shared" si="93"/>
        <v>3.1039444458720145E-2</v>
      </c>
      <c r="R67" s="145">
        <f t="shared" si="93"/>
        <v>7.9748196294681228E-3</v>
      </c>
      <c r="S67" s="149">
        <f t="shared" si="93"/>
        <v>1.0923314109013805E-2</v>
      </c>
      <c r="T67" s="145">
        <f t="shared" si="93"/>
        <v>0</v>
      </c>
      <c r="U67" s="149">
        <f t="shared" si="93"/>
        <v>1.510658099857641E-2</v>
      </c>
      <c r="V67" s="145">
        <f t="shared" si="93"/>
        <v>9.8014653484612101E-3</v>
      </c>
      <c r="W67" s="149">
        <f t="shared" si="93"/>
        <v>2.4747357554725926E-2</v>
      </c>
      <c r="X67" s="148">
        <f t="shared" si="93"/>
        <v>7.5648757362203785E-3</v>
      </c>
      <c r="Y67" s="146">
        <f>Y66</f>
        <v>26</v>
      </c>
    </row>
    <row r="68" spans="1:28" ht="15.75" thickBot="1" x14ac:dyDescent="0.3">
      <c r="A68" s="230" t="s">
        <v>167</v>
      </c>
      <c r="J68" t="s">
        <v>190</v>
      </c>
    </row>
    <row r="69" spans="1:28" ht="15.75" thickBot="1" x14ac:dyDescent="0.3">
      <c r="A69" s="151" t="s">
        <v>99</v>
      </c>
      <c r="B69" s="156">
        <v>0.5</v>
      </c>
      <c r="C69" s="257"/>
      <c r="D69" t="s">
        <v>100</v>
      </c>
    </row>
    <row r="70" spans="1:28" x14ac:dyDescent="0.25">
      <c r="D70" t="s">
        <v>168</v>
      </c>
    </row>
    <row r="71" spans="1:28" ht="15.75" thickBot="1" x14ac:dyDescent="0.3"/>
    <row r="72" spans="1:28" ht="17.25" x14ac:dyDescent="0.25">
      <c r="A72" t="s">
        <v>175</v>
      </c>
      <c r="B72" s="231">
        <f>B65-D41</f>
        <v>768.69647464717696</v>
      </c>
      <c r="C72" s="258"/>
      <c r="D72" s="232" t="s">
        <v>172</v>
      </c>
      <c r="E72" s="233"/>
      <c r="F72" s="233"/>
      <c r="G72" s="233"/>
      <c r="H72" s="233"/>
      <c r="I72" s="234"/>
    </row>
    <row r="73" spans="1:28" ht="17.25" x14ac:dyDescent="0.25">
      <c r="B73" s="235">
        <f>B67-D42-D41</f>
        <v>1090.1385500224185</v>
      </c>
      <c r="C73" s="259"/>
      <c r="D73" s="236" t="s">
        <v>173</v>
      </c>
      <c r="E73" s="237"/>
      <c r="F73" s="237"/>
      <c r="G73" s="237"/>
      <c r="H73" s="237"/>
      <c r="I73" s="238"/>
    </row>
    <row r="74" spans="1:28" ht="17.25" x14ac:dyDescent="0.25">
      <c r="B74" s="235">
        <f>B73-B72</f>
        <v>321.44207537524153</v>
      </c>
      <c r="C74" s="259"/>
      <c r="D74" s="236" t="s">
        <v>174</v>
      </c>
      <c r="E74" s="237"/>
      <c r="F74" s="237"/>
      <c r="G74" s="237"/>
      <c r="H74" s="237"/>
      <c r="I74" s="238"/>
    </row>
    <row r="75" spans="1:28" x14ac:dyDescent="0.25">
      <c r="B75" s="239" t="e">
        <f>G66/G65</f>
        <v>#N/A</v>
      </c>
      <c r="C75" s="260"/>
      <c r="D75" s="236" t="s">
        <v>169</v>
      </c>
      <c r="E75" s="237"/>
      <c r="F75" s="237"/>
      <c r="G75" s="237"/>
      <c r="H75" s="237"/>
      <c r="I75" s="238"/>
    </row>
    <row r="76" spans="1:28" x14ac:dyDescent="0.25">
      <c r="B76" s="239" t="e">
        <f>J66/J65</f>
        <v>#N/A</v>
      </c>
      <c r="C76" s="260"/>
      <c r="D76" s="236" t="s">
        <v>170</v>
      </c>
      <c r="E76" s="237"/>
      <c r="F76" s="237"/>
      <c r="G76" s="237"/>
      <c r="H76" s="237"/>
      <c r="I76" s="238"/>
    </row>
    <row r="77" spans="1:28" ht="15.75" thickBot="1" x14ac:dyDescent="0.3">
      <c r="B77" s="240">
        <f>B73/B72</f>
        <v>1.418165148373784</v>
      </c>
      <c r="C77" s="261"/>
      <c r="D77" s="241" t="s">
        <v>171</v>
      </c>
      <c r="E77" s="242"/>
      <c r="F77" s="242"/>
      <c r="G77" s="242"/>
      <c r="H77" s="242"/>
      <c r="I77" s="243"/>
    </row>
  </sheetData>
  <mergeCells count="36">
    <mergeCell ref="AB1:AB4"/>
    <mergeCell ref="D1:D2"/>
    <mergeCell ref="AF1:AF2"/>
    <mergeCell ref="AZ2:BA2"/>
    <mergeCell ref="AH1:AJ2"/>
    <mergeCell ref="AK1:AM2"/>
    <mergeCell ref="AN1:AZ1"/>
    <mergeCell ref="AN2:AO2"/>
    <mergeCell ref="AP2:AQ2"/>
    <mergeCell ref="AR2:AS2"/>
    <mergeCell ref="AT2:AU2"/>
    <mergeCell ref="AV2:AW2"/>
    <mergeCell ref="AX2:AY2"/>
    <mergeCell ref="K1:M2"/>
    <mergeCell ref="G1:J2"/>
    <mergeCell ref="W63:X63"/>
    <mergeCell ref="B62:B63"/>
    <mergeCell ref="H62:J63"/>
    <mergeCell ref="K62:W62"/>
    <mergeCell ref="N1:Z1"/>
    <mergeCell ref="N2:O2"/>
    <mergeCell ref="P2:Q2"/>
    <mergeCell ref="R2:S2"/>
    <mergeCell ref="T2:U2"/>
    <mergeCell ref="V2:W2"/>
    <mergeCell ref="X2:Y2"/>
    <mergeCell ref="Z2:AA2"/>
    <mergeCell ref="K63:L63"/>
    <mergeCell ref="M63:N63"/>
    <mergeCell ref="F1:F3"/>
    <mergeCell ref="Y62:Y64"/>
    <mergeCell ref="D62:G63"/>
    <mergeCell ref="O63:P63"/>
    <mergeCell ref="Q63:R63"/>
    <mergeCell ref="S63:T63"/>
    <mergeCell ref="U63:V63"/>
  </mergeCells>
  <conditionalFormatting sqref="G52:G55 G17:G26 G28 G37 G30:G35 G5:G13">
    <cfRule type="colorScale" priority="123">
      <colorScale>
        <cfvo type="min"/>
        <cfvo type="max"/>
        <color rgb="FFFFEF9C"/>
        <color rgb="FFFF7128"/>
      </colorScale>
    </cfRule>
  </conditionalFormatting>
  <conditionalFormatting sqref="H52:I55 H17:I26 H28:I28 H37:I37 H30:I35 H5:I13">
    <cfRule type="colorScale" priority="124">
      <colorScale>
        <cfvo type="min"/>
        <cfvo type="max"/>
        <color rgb="FFFFEF9C"/>
        <color rgb="FFFF7128"/>
      </colorScale>
    </cfRule>
  </conditionalFormatting>
  <conditionalFormatting sqref="J52:J55 J17:J26 J28 J37 J30:J35 J5:J13">
    <cfRule type="colorScale" priority="128">
      <colorScale>
        <cfvo type="min"/>
        <cfvo type="max"/>
        <color rgb="FFFFEF9C"/>
        <color rgb="FFFF7128"/>
      </colorScale>
    </cfRule>
  </conditionalFormatting>
  <conditionalFormatting sqref="K52:K55 K17:K26 K28 K37 K30:K35 K5:K13">
    <cfRule type="colorScale" priority="130">
      <colorScale>
        <cfvo type="min"/>
        <cfvo type="max"/>
        <color rgb="FFFFEF9C"/>
        <color rgb="FFFF7128"/>
      </colorScale>
    </cfRule>
  </conditionalFormatting>
  <conditionalFormatting sqref="L52:L55 L17:L26 L28 L37 L30:L35 L5:L13">
    <cfRule type="colorScale" priority="131">
      <colorScale>
        <cfvo type="min"/>
        <cfvo type="max"/>
        <color rgb="FFFFEF9C"/>
        <color rgb="FFFF7128"/>
      </colorScale>
    </cfRule>
  </conditionalFormatting>
  <conditionalFormatting sqref="M52:M55 M17:M26 M28 M37 M30:M35 M5:M13">
    <cfRule type="colorScale" priority="135">
      <colorScale>
        <cfvo type="min"/>
        <cfvo type="max"/>
        <color rgb="FFFFEF9C"/>
        <color rgb="FFFF7128"/>
      </colorScale>
    </cfRule>
  </conditionalFormatting>
  <conditionalFormatting sqref="N17:N26 N49 N28 N39:N47 N52:N55 N37 N30:N35 N5:N13">
    <cfRule type="colorScale" priority="137">
      <colorScale>
        <cfvo type="min"/>
        <cfvo type="max"/>
        <color rgb="FFFFEF9C"/>
        <color rgb="FFFF7128"/>
      </colorScale>
    </cfRule>
  </conditionalFormatting>
  <conditionalFormatting sqref="O17:O26 O49 O28 O39:O47 O52:O55 O37 O30:O35 O5:O13">
    <cfRule type="colorScale" priority="138">
      <colorScale>
        <cfvo type="min"/>
        <cfvo type="max"/>
        <color rgb="FFFFEF9C"/>
        <color rgb="FFFF7128"/>
      </colorScale>
    </cfRule>
  </conditionalFormatting>
  <conditionalFormatting sqref="P17:P26 P49 P28 P39:P47 P52:P55 P37 P30:P35 P5:P13">
    <cfRule type="colorScale" priority="139">
      <colorScale>
        <cfvo type="min"/>
        <cfvo type="max"/>
        <color rgb="FFFFEF9C"/>
        <color rgb="FFFF7128"/>
      </colorScale>
    </cfRule>
  </conditionalFormatting>
  <conditionalFormatting sqref="Q17:Q26 Q49 Q28 Q39:Q47 Q52:Q55 Q37 Q30:Q35 Q5:Q13">
    <cfRule type="colorScale" priority="140">
      <colorScale>
        <cfvo type="min"/>
        <cfvo type="max"/>
        <color rgb="FFFFEF9C"/>
        <color rgb="FFFF7128"/>
      </colorScale>
    </cfRule>
  </conditionalFormatting>
  <conditionalFormatting sqref="R17:R26 R49 R28 R39:R47 R52:R55 R37 R30:R35 R5:R13">
    <cfRule type="colorScale" priority="141">
      <colorScale>
        <cfvo type="min"/>
        <cfvo type="max"/>
        <color rgb="FFFFEF9C"/>
        <color rgb="FFFF7128"/>
      </colorScale>
    </cfRule>
  </conditionalFormatting>
  <conditionalFormatting sqref="S17:S26 S49 S28 S39:S47 S52:S55 S37 S30:S35 S5:S13">
    <cfRule type="colorScale" priority="142">
      <colorScale>
        <cfvo type="min"/>
        <cfvo type="max"/>
        <color rgb="FFFFEF9C"/>
        <color rgb="FFFF7128"/>
      </colorScale>
    </cfRule>
  </conditionalFormatting>
  <conditionalFormatting sqref="T17:T26 T49 T28 T39:T47 T52:T55 T37 T30:T35 T5:T13">
    <cfRule type="colorScale" priority="143">
      <colorScale>
        <cfvo type="min"/>
        <cfvo type="max"/>
        <color rgb="FFFFEF9C"/>
        <color rgb="FFFF7128"/>
      </colorScale>
    </cfRule>
  </conditionalFormatting>
  <conditionalFormatting sqref="U17:U26 U49 U28 U39:U47 U52:U55 U37 U30:U35 U5:U13">
    <cfRule type="colorScale" priority="144">
      <colorScale>
        <cfvo type="min"/>
        <cfvo type="max"/>
        <color rgb="FFFFEF9C"/>
        <color rgb="FFFF7128"/>
      </colorScale>
    </cfRule>
  </conditionalFormatting>
  <conditionalFormatting sqref="V17:V26 V49 V28 V39:V47 V52:V55 V37 V30:V35 V5:V13">
    <cfRule type="colorScale" priority="145">
      <colorScale>
        <cfvo type="min"/>
        <cfvo type="max"/>
        <color rgb="FFFFEF9C"/>
        <color rgb="FFFF7128"/>
      </colorScale>
    </cfRule>
  </conditionalFormatting>
  <conditionalFormatting sqref="W17:W26 W49 W28 W39:W47 W52:W55 W37 W30:W35 W5:W13">
    <cfRule type="colorScale" priority="146">
      <colorScale>
        <cfvo type="min"/>
        <cfvo type="max"/>
        <color rgb="FFFFEF9C"/>
        <color rgb="FFFF7128"/>
      </colorScale>
    </cfRule>
  </conditionalFormatting>
  <conditionalFormatting sqref="X17:X26 X49 X28 X39:X47 X52:X55 X37 X30:X35 X5:X13">
    <cfRule type="colorScale" priority="147">
      <colorScale>
        <cfvo type="min"/>
        <cfvo type="max"/>
        <color rgb="FFFFEF9C"/>
        <color rgb="FFFF7128"/>
      </colorScale>
    </cfRule>
  </conditionalFormatting>
  <conditionalFormatting sqref="Y17:Y26 Y49 Y28 Y39:Y47 Y52:Y55 Y37 Y30:Y35 Y5:Y13">
    <cfRule type="colorScale" priority="148">
      <colorScale>
        <cfvo type="min"/>
        <cfvo type="max"/>
        <color rgb="FFFFEF9C"/>
        <color rgb="FFFF7128"/>
      </colorScale>
    </cfRule>
  </conditionalFormatting>
  <conditionalFormatting sqref="Z17:Z26 Z49 Z28 Z39:Z47 Z52:Z55 Z37 Z30:Z35 Z5:Z13">
    <cfRule type="colorScale" priority="149">
      <colorScale>
        <cfvo type="min"/>
        <cfvo type="max"/>
        <color rgb="FFFFEF9C"/>
        <color rgb="FFFF7128"/>
      </colorScale>
    </cfRule>
  </conditionalFormatting>
  <conditionalFormatting sqref="AA17:AA26 AA49 AA28 AA39:AA47 AA52:AA55 AA37 AA30:AA35 AA5:AA13">
    <cfRule type="colorScale" priority="150">
      <colorScale>
        <cfvo type="min"/>
        <cfvo type="max"/>
        <color rgb="FFFFEF9C"/>
        <color rgb="FFFF7128"/>
      </colorScale>
    </cfRule>
  </conditionalFormatting>
  <conditionalFormatting sqref="G39:G47 G49">
    <cfRule type="colorScale" priority="152">
      <colorScale>
        <cfvo type="min"/>
        <cfvo type="max"/>
        <color rgb="FFFFEF9C"/>
        <color rgb="FFFF7128"/>
      </colorScale>
    </cfRule>
  </conditionalFormatting>
  <conditionalFormatting sqref="H39:I47 H49:I49">
    <cfRule type="colorScale" priority="154">
      <colorScale>
        <cfvo type="min"/>
        <cfvo type="max"/>
        <color rgb="FFFFEF9C"/>
        <color rgb="FFFF7128"/>
      </colorScale>
    </cfRule>
  </conditionalFormatting>
  <conditionalFormatting sqref="J39:J47 J49">
    <cfRule type="colorScale" priority="156">
      <colorScale>
        <cfvo type="min"/>
        <cfvo type="max"/>
        <color rgb="FFFFEF9C"/>
        <color rgb="FFFF7128"/>
      </colorScale>
    </cfRule>
  </conditionalFormatting>
  <conditionalFormatting sqref="K39:K47 K49">
    <cfRule type="colorScale" priority="158">
      <colorScale>
        <cfvo type="min"/>
        <cfvo type="max"/>
        <color rgb="FFFFEF9C"/>
        <color rgb="FFFF7128"/>
      </colorScale>
    </cfRule>
  </conditionalFormatting>
  <conditionalFormatting sqref="L39:L47 L49">
    <cfRule type="colorScale" priority="160">
      <colorScale>
        <cfvo type="min"/>
        <cfvo type="max"/>
        <color rgb="FFFFEF9C"/>
        <color rgb="FFFF7128"/>
      </colorScale>
    </cfRule>
  </conditionalFormatting>
  <conditionalFormatting sqref="M39:M47 M49">
    <cfRule type="colorScale" priority="162">
      <colorScale>
        <cfvo type="min"/>
        <cfvo type="max"/>
        <color rgb="FFFFEF9C"/>
        <color rgb="FFFF7128"/>
      </colorScale>
    </cfRule>
  </conditionalFormatting>
  <conditionalFormatting sqref="G15">
    <cfRule type="colorScale" priority="93">
      <colorScale>
        <cfvo type="min"/>
        <cfvo type="max"/>
        <color rgb="FFFFEF9C"/>
        <color rgb="FFFF7128"/>
      </colorScale>
    </cfRule>
  </conditionalFormatting>
  <conditionalFormatting sqref="H15:I15">
    <cfRule type="colorScale" priority="92">
      <colorScale>
        <cfvo type="min"/>
        <cfvo type="max"/>
        <color rgb="FFFFEF9C"/>
        <color rgb="FFFF7128"/>
      </colorScale>
    </cfRule>
  </conditionalFormatting>
  <conditionalFormatting sqref="J15">
    <cfRule type="colorScale" priority="91">
      <colorScale>
        <cfvo type="min"/>
        <cfvo type="max"/>
        <color rgb="FFFFEF9C"/>
        <color rgb="FFFF7128"/>
      </colorScale>
    </cfRule>
  </conditionalFormatting>
  <conditionalFormatting sqref="K15">
    <cfRule type="colorScale" priority="90">
      <colorScale>
        <cfvo type="min"/>
        <cfvo type="max"/>
        <color rgb="FFFFEF9C"/>
        <color rgb="FFFF7128"/>
      </colorScale>
    </cfRule>
  </conditionalFormatting>
  <conditionalFormatting sqref="L15">
    <cfRule type="colorScale" priority="89">
      <colorScale>
        <cfvo type="min"/>
        <cfvo type="max"/>
        <color rgb="FFFFEF9C"/>
        <color rgb="FFFF7128"/>
      </colorScale>
    </cfRule>
  </conditionalFormatting>
  <conditionalFormatting sqref="M15">
    <cfRule type="colorScale" priority="88">
      <colorScale>
        <cfvo type="min"/>
        <cfvo type="max"/>
        <color rgb="FFFFEF9C"/>
        <color rgb="FFFF7128"/>
      </colorScale>
    </cfRule>
  </conditionalFormatting>
  <conditionalFormatting sqref="N15">
    <cfRule type="colorScale" priority="87">
      <colorScale>
        <cfvo type="min"/>
        <cfvo type="max"/>
        <color rgb="FFFFEF9C"/>
        <color rgb="FFFF7128"/>
      </colorScale>
    </cfRule>
  </conditionalFormatting>
  <conditionalFormatting sqref="O15">
    <cfRule type="colorScale" priority="86">
      <colorScale>
        <cfvo type="min"/>
        <cfvo type="max"/>
        <color rgb="FFFFEF9C"/>
        <color rgb="FFFF7128"/>
      </colorScale>
    </cfRule>
  </conditionalFormatting>
  <conditionalFormatting sqref="P15">
    <cfRule type="colorScale" priority="85">
      <colorScale>
        <cfvo type="min"/>
        <cfvo type="max"/>
        <color rgb="FFFFEF9C"/>
        <color rgb="FFFF7128"/>
      </colorScale>
    </cfRule>
  </conditionalFormatting>
  <conditionalFormatting sqref="Q15">
    <cfRule type="colorScale" priority="84">
      <colorScale>
        <cfvo type="min"/>
        <cfvo type="max"/>
        <color rgb="FFFFEF9C"/>
        <color rgb="FFFF7128"/>
      </colorScale>
    </cfRule>
  </conditionalFormatting>
  <conditionalFormatting sqref="R15">
    <cfRule type="colorScale" priority="83">
      <colorScale>
        <cfvo type="min"/>
        <cfvo type="max"/>
        <color rgb="FFFFEF9C"/>
        <color rgb="FFFF7128"/>
      </colorScale>
    </cfRule>
  </conditionalFormatting>
  <conditionalFormatting sqref="S15">
    <cfRule type="colorScale" priority="82">
      <colorScale>
        <cfvo type="min"/>
        <cfvo type="max"/>
        <color rgb="FFFFEF9C"/>
        <color rgb="FFFF7128"/>
      </colorScale>
    </cfRule>
  </conditionalFormatting>
  <conditionalFormatting sqref="T15">
    <cfRule type="colorScale" priority="81">
      <colorScale>
        <cfvo type="min"/>
        <cfvo type="max"/>
        <color rgb="FFFFEF9C"/>
        <color rgb="FFFF7128"/>
      </colorScale>
    </cfRule>
  </conditionalFormatting>
  <conditionalFormatting sqref="U15">
    <cfRule type="colorScale" priority="80">
      <colorScale>
        <cfvo type="min"/>
        <cfvo type="max"/>
        <color rgb="FFFFEF9C"/>
        <color rgb="FFFF7128"/>
      </colorScale>
    </cfRule>
  </conditionalFormatting>
  <conditionalFormatting sqref="V15">
    <cfRule type="colorScale" priority="79">
      <colorScale>
        <cfvo type="min"/>
        <cfvo type="max"/>
        <color rgb="FFFFEF9C"/>
        <color rgb="FFFF7128"/>
      </colorScale>
    </cfRule>
  </conditionalFormatting>
  <conditionalFormatting sqref="W15">
    <cfRule type="colorScale" priority="78">
      <colorScale>
        <cfvo type="min"/>
        <cfvo type="max"/>
        <color rgb="FFFFEF9C"/>
        <color rgb="FFFF7128"/>
      </colorScale>
    </cfRule>
  </conditionalFormatting>
  <conditionalFormatting sqref="X15">
    <cfRule type="colorScale" priority="77">
      <colorScale>
        <cfvo type="min"/>
        <cfvo type="max"/>
        <color rgb="FFFFEF9C"/>
        <color rgb="FFFF7128"/>
      </colorScale>
    </cfRule>
  </conditionalFormatting>
  <conditionalFormatting sqref="Y15">
    <cfRule type="colorScale" priority="76">
      <colorScale>
        <cfvo type="min"/>
        <cfvo type="max"/>
        <color rgb="FFFFEF9C"/>
        <color rgb="FFFF7128"/>
      </colorScale>
    </cfRule>
  </conditionalFormatting>
  <conditionalFormatting sqref="Z15">
    <cfRule type="colorScale" priority="75">
      <colorScale>
        <cfvo type="min"/>
        <cfvo type="max"/>
        <color rgb="FFFFEF9C"/>
        <color rgb="FFFF7128"/>
      </colorScale>
    </cfRule>
  </conditionalFormatting>
  <conditionalFormatting sqref="AA15">
    <cfRule type="colorScale" priority="74">
      <colorScale>
        <cfvo type="min"/>
        <cfvo type="max"/>
        <color rgb="FFFFEF9C"/>
        <color rgb="FFFF7128"/>
      </colorScale>
    </cfRule>
  </conditionalFormatting>
  <conditionalFormatting sqref="D17:D26 D49 D28 D39:D47 D52:D55 D37 D30:D35 D5:D13">
    <cfRule type="colorScale" priority="24">
      <colorScale>
        <cfvo type="min"/>
        <cfvo type="max"/>
        <color rgb="FFFFEF9C"/>
        <color rgb="FFFF7128"/>
      </colorScale>
    </cfRule>
  </conditionalFormatting>
  <conditionalFormatting sqref="D15">
    <cfRule type="colorScale" priority="23">
      <colorScale>
        <cfvo type="min"/>
        <cfvo type="max"/>
        <color rgb="FFFFEF9C"/>
        <color rgb="FFFF7128"/>
      </colorScale>
    </cfRule>
  </conditionalFormatting>
  <conditionalFormatting sqref="G51">
    <cfRule type="colorScale" priority="22">
      <colorScale>
        <cfvo type="min"/>
        <cfvo type="max"/>
        <color rgb="FFFFEF9C"/>
        <color rgb="FFFF7128"/>
      </colorScale>
    </cfRule>
  </conditionalFormatting>
  <conditionalFormatting sqref="H51:I51">
    <cfRule type="colorScale" priority="21">
      <colorScale>
        <cfvo type="min"/>
        <cfvo type="max"/>
        <color rgb="FFFFEF9C"/>
        <color rgb="FFFF7128"/>
      </colorScale>
    </cfRule>
  </conditionalFormatting>
  <conditionalFormatting sqref="J51">
    <cfRule type="colorScale" priority="20">
      <colorScale>
        <cfvo type="min"/>
        <cfvo type="max"/>
        <color rgb="FFFFEF9C"/>
        <color rgb="FFFF7128"/>
      </colorScale>
    </cfRule>
  </conditionalFormatting>
  <conditionalFormatting sqref="K51">
    <cfRule type="colorScale" priority="19">
      <colorScale>
        <cfvo type="min"/>
        <cfvo type="max"/>
        <color rgb="FFFFEF9C"/>
        <color rgb="FFFF7128"/>
      </colorScale>
    </cfRule>
  </conditionalFormatting>
  <conditionalFormatting sqref="L51">
    <cfRule type="colorScale" priority="18">
      <colorScale>
        <cfvo type="min"/>
        <cfvo type="max"/>
        <color rgb="FFFFEF9C"/>
        <color rgb="FFFF7128"/>
      </colorScale>
    </cfRule>
  </conditionalFormatting>
  <conditionalFormatting sqref="M51">
    <cfRule type="colorScale" priority="17">
      <colorScale>
        <cfvo type="min"/>
        <cfvo type="max"/>
        <color rgb="FFFFEF9C"/>
        <color rgb="FFFF7128"/>
      </colorScale>
    </cfRule>
  </conditionalFormatting>
  <conditionalFormatting sqref="N51">
    <cfRule type="colorScale" priority="16">
      <colorScale>
        <cfvo type="min"/>
        <cfvo type="max"/>
        <color rgb="FFFFEF9C"/>
        <color rgb="FFFF7128"/>
      </colorScale>
    </cfRule>
  </conditionalFormatting>
  <conditionalFormatting sqref="O51">
    <cfRule type="colorScale" priority="15">
      <colorScale>
        <cfvo type="min"/>
        <cfvo type="max"/>
        <color rgb="FFFFEF9C"/>
        <color rgb="FFFF7128"/>
      </colorScale>
    </cfRule>
  </conditionalFormatting>
  <conditionalFormatting sqref="P51">
    <cfRule type="colorScale" priority="14">
      <colorScale>
        <cfvo type="min"/>
        <cfvo type="max"/>
        <color rgb="FFFFEF9C"/>
        <color rgb="FFFF7128"/>
      </colorScale>
    </cfRule>
  </conditionalFormatting>
  <conditionalFormatting sqref="Q51">
    <cfRule type="colorScale" priority="13">
      <colorScale>
        <cfvo type="min"/>
        <cfvo type="max"/>
        <color rgb="FFFFEF9C"/>
        <color rgb="FFFF7128"/>
      </colorScale>
    </cfRule>
  </conditionalFormatting>
  <conditionalFormatting sqref="R51">
    <cfRule type="colorScale" priority="12">
      <colorScale>
        <cfvo type="min"/>
        <cfvo type="max"/>
        <color rgb="FFFFEF9C"/>
        <color rgb="FFFF7128"/>
      </colorScale>
    </cfRule>
  </conditionalFormatting>
  <conditionalFormatting sqref="S51">
    <cfRule type="colorScale" priority="11">
      <colorScale>
        <cfvo type="min"/>
        <cfvo type="max"/>
        <color rgb="FFFFEF9C"/>
        <color rgb="FFFF7128"/>
      </colorScale>
    </cfRule>
  </conditionalFormatting>
  <conditionalFormatting sqref="T51">
    <cfRule type="colorScale" priority="10">
      <colorScale>
        <cfvo type="min"/>
        <cfvo type="max"/>
        <color rgb="FFFFEF9C"/>
        <color rgb="FFFF7128"/>
      </colorScale>
    </cfRule>
  </conditionalFormatting>
  <conditionalFormatting sqref="U51">
    <cfRule type="colorScale" priority="9">
      <colorScale>
        <cfvo type="min"/>
        <cfvo type="max"/>
        <color rgb="FFFFEF9C"/>
        <color rgb="FFFF7128"/>
      </colorScale>
    </cfRule>
  </conditionalFormatting>
  <conditionalFormatting sqref="V51">
    <cfRule type="colorScale" priority="8">
      <colorScale>
        <cfvo type="min"/>
        <cfvo type="max"/>
        <color rgb="FFFFEF9C"/>
        <color rgb="FFFF7128"/>
      </colorScale>
    </cfRule>
  </conditionalFormatting>
  <conditionalFormatting sqref="W51">
    <cfRule type="colorScale" priority="7">
      <colorScale>
        <cfvo type="min"/>
        <cfvo type="max"/>
        <color rgb="FFFFEF9C"/>
        <color rgb="FFFF7128"/>
      </colorScale>
    </cfRule>
  </conditionalFormatting>
  <conditionalFormatting sqref="X51">
    <cfRule type="colorScale" priority="6">
      <colorScale>
        <cfvo type="min"/>
        <cfvo type="max"/>
        <color rgb="FFFFEF9C"/>
        <color rgb="FFFF7128"/>
      </colorScale>
    </cfRule>
  </conditionalFormatting>
  <conditionalFormatting sqref="Y51">
    <cfRule type="colorScale" priority="5">
      <colorScale>
        <cfvo type="min"/>
        <cfvo type="max"/>
        <color rgb="FFFFEF9C"/>
        <color rgb="FFFF7128"/>
      </colorScale>
    </cfRule>
  </conditionalFormatting>
  <conditionalFormatting sqref="Z51">
    <cfRule type="colorScale" priority="4">
      <colorScale>
        <cfvo type="min"/>
        <cfvo type="max"/>
        <color rgb="FFFFEF9C"/>
        <color rgb="FFFF7128"/>
      </colorScale>
    </cfRule>
  </conditionalFormatting>
  <conditionalFormatting sqref="AA51">
    <cfRule type="colorScale" priority="3">
      <colorScale>
        <cfvo type="min"/>
        <cfvo type="max"/>
        <color rgb="FFFFEF9C"/>
        <color rgb="FFFF7128"/>
      </colorScale>
    </cfRule>
  </conditionalFormatting>
  <conditionalFormatting sqref="D51">
    <cfRule type="colorScale" priority="1">
      <colorScale>
        <cfvo type="min"/>
        <cfvo type="max"/>
        <color rgb="FFFFEF9C"/>
        <color rgb="FFFF7128"/>
      </colorScale>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Data</vt:lpstr>
      <vt:lpstr>Readme</vt:lpstr>
      <vt:lpstr>EWG MPA Recommendations</vt:lpstr>
      <vt:lpstr>EWG MPA Options</vt:lpstr>
      <vt:lpstr>MPA Descriptions</vt:lpstr>
      <vt:lpstr>Council Decision Tool</vt:lpstr>
      <vt:lpstr>Council Decision Tool 2</vt:lpstr>
      <vt:lpstr>EWG Recommends</vt:lpstr>
      <vt:lpstr>Evaluation</vt:lpstr>
      <vt:lpstr>Ranks (by area)</vt:lpstr>
      <vt:lpstr>Total Areas</vt:lpstr>
      <vt:lpstr>Point Observations</vt:lpstr>
      <vt:lpstr>Existing MPAs</vt:lpstr>
      <vt:lpstr>Connectivity</vt:lpstr>
      <vt:lpstr>Fishery Impacts</vt:lpstr>
      <vt:lpstr>EWG Recs - NC</vt:lpstr>
      <vt:lpstr>EWG Recs - SC</vt:lpstr>
      <vt:lpstr>EWG Recs - GA</vt:lpstr>
      <vt:lpstr>EWG Recs - NEFL</vt:lpstr>
      <vt:lpstr>EWG Recs - SEFL</vt:lpstr>
      <vt:lpstr>values</vt:lpstr>
      <vt:lpstr>Additional Figures</vt:lpstr>
      <vt:lpstr>Additional Tables</vt:lpstr>
    </vt:vector>
  </TitlesOfParts>
  <Company>US DOC NOAA NMFS SERO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nick.farmer</dc:creator>
  <cp:lastModifiedBy>Nick Farmer</cp:lastModifiedBy>
  <dcterms:created xsi:type="dcterms:W3CDTF">2013-02-06T13:00:14Z</dcterms:created>
  <dcterms:modified xsi:type="dcterms:W3CDTF">2013-11-13T14:59:13Z</dcterms:modified>
</cp:coreProperties>
</file>